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932" activeTab="0"/>
  </bookViews>
  <sheets>
    <sheet name="1.mell" sheetId="1" r:id="rId1"/>
    <sheet name="2.mell" sheetId="2" r:id="rId2"/>
    <sheet name="3.mell" sheetId="3" r:id="rId3"/>
    <sheet name="4.mell " sheetId="4" r:id="rId4"/>
    <sheet name="5.mell" sheetId="5" r:id="rId5"/>
    <sheet name="6.mell" sheetId="6" r:id="rId6"/>
    <sheet name="7.mell" sheetId="7" r:id="rId7"/>
  </sheets>
  <definedNames>
    <definedName name="_xlnm.Print_Titles" localSheetId="2">'3.mell'!$4:$5</definedName>
    <definedName name="_xlnm.Print_Titles" localSheetId="3">'4.mell '!$5:$8</definedName>
    <definedName name="_xlnm.Print_Titles" localSheetId="4">'5.mell'!$5:$7</definedName>
    <definedName name="_xlnm.Print_Titles" localSheetId="5">'6.mell'!$4:$5</definedName>
    <definedName name="_xlnm.Print_Area" localSheetId="0">'1.mell'!$A$1:$O$31</definedName>
    <definedName name="_xlnm.Print_Area" localSheetId="1">'2.mell'!$A$1:$E$49</definedName>
    <definedName name="_xlnm.Print_Area" localSheetId="2">'3.mell'!$A$1:$H$202</definedName>
    <definedName name="_xlnm.Print_Area" localSheetId="3">'4.mell '!$A$1:$N$21</definedName>
    <definedName name="_xlnm.Print_Area" localSheetId="4">'5.mell'!$A$1:$R$164</definedName>
    <definedName name="_xlnm.Print_Area" localSheetId="5">'6.mell'!$A$1:$D$91</definedName>
    <definedName name="_xlnm.Print_Area" localSheetId="6">'7.mell'!$A$1:$E$18</definedName>
  </definedNames>
  <calcPr fullCalcOnLoad="1"/>
</workbook>
</file>

<file path=xl/sharedStrings.xml><?xml version="1.0" encoding="utf-8"?>
<sst xmlns="http://schemas.openxmlformats.org/spreadsheetml/2006/main" count="1145" uniqueCount="517">
  <si>
    <t>Városi csapadékcsatorna fennmaradási engedély V. ütem</t>
  </si>
  <si>
    <t>Intézményi villamosenergia</t>
  </si>
  <si>
    <t xml:space="preserve">Közfoglalkoztatás </t>
  </si>
  <si>
    <t>Útépítés</t>
  </si>
  <si>
    <t>Ezer Ft - ban</t>
  </si>
  <si>
    <t>BEVÉTELI ELŐIRÁNYZAT FELHASZNÁLÁS ALAKULÁSA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</si>
  <si>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</si>
  <si>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</si>
  <si>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</si>
  <si>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</si>
  <si>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</si>
  <si>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</si>
  <si>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</si>
  <si>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</si>
  <si>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</si>
  <si>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</si>
  <si>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</si>
  <si>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</si>
  <si>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</si>
  <si>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</si>
  <si>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</si>
  <si>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</si>
  <si>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</si>
  <si>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</si>
  <si>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</si>
  <si>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</si>
  <si>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</si>
  <si>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</si>
  <si>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</si>
  <si>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</si>
  <si>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KIADÁSI ELŐIRÁNYZAT FELHASZNÁLÁS ALAKULÁSA</t>
  </si>
  <si>
    <t>Személyi juttatások</t>
  </si>
  <si>
    <t>Dologi kiadások</t>
  </si>
  <si>
    <t>MEGNEVEZÉS</t>
  </si>
  <si>
    <t>Működési</t>
  </si>
  <si>
    <t>Felhalmozási</t>
  </si>
  <si>
    <t>Összesen</t>
  </si>
  <si>
    <t>célú</t>
  </si>
  <si>
    <t>BEVÉTELEK</t>
  </si>
  <si>
    <t>I.</t>
  </si>
  <si>
    <t>II.</t>
  </si>
  <si>
    <t>KIADÁSOK</t>
  </si>
  <si>
    <t>Beruházások</t>
  </si>
  <si>
    <t>Felújítások</t>
  </si>
  <si>
    <t>III.</t>
  </si>
  <si>
    <t>M E G N E V E Z É S</t>
  </si>
  <si>
    <t>Gépjárműadó</t>
  </si>
  <si>
    <t>Talajterhelési díj</t>
  </si>
  <si>
    <t>Lakásfenntartás támogatása</t>
  </si>
  <si>
    <t>Mezőőri feladatok ellátására támogatás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</si>
  <si>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</si>
  <si>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</si>
  <si>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</si>
  <si>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</si>
  <si>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</si>
  <si>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</si>
  <si>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</si>
  <si>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</si>
  <si>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</si>
  <si>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Egyéb felhalmozási célú kiadások</t>
  </si>
  <si>
    <t>Cím</t>
  </si>
  <si>
    <t>Cím ,</t>
  </si>
  <si>
    <t>Személyi</t>
  </si>
  <si>
    <t>Dologi</t>
  </si>
  <si>
    <t>Beruházá-</t>
  </si>
  <si>
    <t>Létszám-</t>
  </si>
  <si>
    <t>Alcím</t>
  </si>
  <si>
    <t xml:space="preserve">             alcím megnevezése</t>
  </si>
  <si>
    <t>kiadások</t>
  </si>
  <si>
    <t>célú kiadások</t>
  </si>
  <si>
    <t>sok, felújí-</t>
  </si>
  <si>
    <t>keret</t>
  </si>
  <si>
    <t>Szám</t>
  </si>
  <si>
    <t>tások</t>
  </si>
  <si>
    <t>Város -és községgazdálkodási szolgáltatás</t>
  </si>
  <si>
    <t>Közvilágítás</t>
  </si>
  <si>
    <t>Ö S S Z E S E N</t>
  </si>
  <si>
    <t xml:space="preserve"> </t>
  </si>
  <si>
    <t xml:space="preserve">Ellátottak pénzbeli juttatása </t>
  </si>
  <si>
    <t>Sikeres Magyarországért Panel Plusz Hitelprogram</t>
  </si>
  <si>
    <t>Lakbértámogatás</t>
  </si>
  <si>
    <t>Közgyógy-ellátás</t>
  </si>
  <si>
    <t>Köztemetés</t>
  </si>
  <si>
    <t>Petőfi Sándor Városi Könyvtár</t>
  </si>
  <si>
    <t xml:space="preserve">Petőfi Szülőház és Emlékmúzeum </t>
  </si>
  <si>
    <t>Dolgozóknak nyújtott lakásvásárlási-, lakásépítési kölcsön</t>
  </si>
  <si>
    <t>Környezetvédelmi bírság</t>
  </si>
  <si>
    <t xml:space="preserve">Felújítások </t>
  </si>
  <si>
    <t>Finanszírozási kiadások</t>
  </si>
  <si>
    <t xml:space="preserve">      Áruértékesítéshez, szolgáltatásnyújtáshoz kapcsolódó ÁFA befizetések</t>
  </si>
  <si>
    <t>Óvodáztatási támogatás</t>
  </si>
  <si>
    <t>Önkormányzat igazgatási tevékenysége</t>
  </si>
  <si>
    <t>Igazgatási tevékenység</t>
  </si>
  <si>
    <t>Adóigazgatási tevékenység</t>
  </si>
  <si>
    <t xml:space="preserve">     Állategészségügyi tevékenység</t>
  </si>
  <si>
    <t>Víztermelés, -kezelés, - ellátás</t>
  </si>
  <si>
    <t>Lakó- és nem lakóépület építése, felújítása</t>
  </si>
  <si>
    <t>Egyéb építmény építése</t>
  </si>
  <si>
    <t>Közutak üzemeltetése, fenntartársa</t>
  </si>
  <si>
    <t xml:space="preserve">     Önkormányzati vagyon hasznosításával kapcsolatos kiadások</t>
  </si>
  <si>
    <t>Zöldterület-kezelés, parkfenntartás, parképítés</t>
  </si>
  <si>
    <t>Testületi feladatok</t>
  </si>
  <si>
    <t xml:space="preserve">     Költségvetési tartalékok</t>
  </si>
  <si>
    <t xml:space="preserve">     Mezőőri feladatok</t>
  </si>
  <si>
    <t>Központi költségvetési befizetések</t>
  </si>
  <si>
    <t>Önkormányzatok nemzetközi kapcsolatai</t>
  </si>
  <si>
    <t>Közterület rendjének fenntartása</t>
  </si>
  <si>
    <t>Bűnmegelőzés</t>
  </si>
  <si>
    <t>Önkéntes Tűzoltó Egyesület támogatása</t>
  </si>
  <si>
    <t>Ár- és belvízvédelemmel összefüggő tevékenységek</t>
  </si>
  <si>
    <t>Lakásfenntartási támogatás normatív alapon</t>
  </si>
  <si>
    <t>Egyéb szociális ellátások bentlakás nélkül</t>
  </si>
  <si>
    <t>Kulturális műsorok, rendezvények, kiállítások szervezése</t>
  </si>
  <si>
    <t xml:space="preserve">      Szüreti Napok</t>
  </si>
  <si>
    <t>Közművelődési tevékenységek és támogatásuk</t>
  </si>
  <si>
    <t>Szabadidős park, fürdő- és strandszolgáltatás</t>
  </si>
  <si>
    <t>Köztemető fenntartása és működtetése</t>
  </si>
  <si>
    <t>1</t>
  </si>
  <si>
    <t>Közfoglalkoztatás</t>
  </si>
  <si>
    <t>Egyéb működési célú kiadások</t>
  </si>
  <si>
    <t>juttatások</t>
  </si>
  <si>
    <t>Ellátottak pénzbeli juttatásai</t>
  </si>
  <si>
    <t>Egyéb veszélyes hulladékok kezelése</t>
  </si>
  <si>
    <t>Szennyvíz-kezelés</t>
  </si>
  <si>
    <t>Képviselő-testületi ülések, városi rendezvények közvetítése</t>
  </si>
  <si>
    <t xml:space="preserve">     Önkormányzati kötvénnyel kapcsolatos kiadások</t>
  </si>
  <si>
    <t>Mezőgazdaság igazgatási és szabályozási feladatai</t>
  </si>
  <si>
    <t>Köz- és díszvilágítás</t>
  </si>
  <si>
    <t xml:space="preserve">     Térfigyelő kamera üzemeltetése</t>
  </si>
  <si>
    <t>Oktatási feladatok</t>
  </si>
  <si>
    <t>BURSA - támogatás önerő</t>
  </si>
  <si>
    <t xml:space="preserve">     PPP tornaterem szolgáltatási díja</t>
  </si>
  <si>
    <t>Állami lakástámogatások jogszabály alapján - Sikeres Magyarországért Panel Plusz</t>
  </si>
  <si>
    <t>Közművelődési intézmények, közösségi színterek működtetése, Tourinform Iroda működtetése</t>
  </si>
  <si>
    <t>Felhal-mozási</t>
  </si>
  <si>
    <t>-ebből OEP</t>
  </si>
  <si>
    <t>Egyéb köztisztasági tevékenységek</t>
  </si>
  <si>
    <t>Köztisztaság pályáztatás alapján</t>
  </si>
  <si>
    <t>Díszvilágítás</t>
  </si>
  <si>
    <t>Környezetvédelmi Alap felhasználása</t>
  </si>
  <si>
    <t>Közhatalmi bevételek</t>
  </si>
  <si>
    <t>Önkormányzati bérlakások felújítása, kialakítása - önerő</t>
  </si>
  <si>
    <t>23.</t>
  </si>
  <si>
    <t>34.</t>
  </si>
  <si>
    <t>Anyakönyvi eljárás díja</t>
  </si>
  <si>
    <t>20.</t>
  </si>
  <si>
    <t>22.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</si>
  <si>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</si>
  <si>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</si>
  <si>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</si>
  <si>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</si>
  <si>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</si>
  <si>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</si>
  <si>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</si>
  <si>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</si>
  <si>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</si>
  <si>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36.</t>
  </si>
  <si>
    <t>Önkormányzati intézmények bevételei</t>
  </si>
  <si>
    <t>ebből: OEP támogatás</t>
  </si>
  <si>
    <t>k</t>
  </si>
  <si>
    <t>ö</t>
  </si>
  <si>
    <t>Munkaadókat terhelő járulékok és szociális hozzájárulási adó</t>
  </si>
  <si>
    <t>Működési költségvetés</t>
  </si>
  <si>
    <t xml:space="preserve">Működési költségvetés összesen </t>
  </si>
  <si>
    <t>Felhalmozási költségvetés</t>
  </si>
  <si>
    <t xml:space="preserve">Felhalmozási költségvetés összesen </t>
  </si>
  <si>
    <t>Működési költségvetés összesen:</t>
  </si>
  <si>
    <t>Munkaadókat terhelő</t>
  </si>
  <si>
    <t>járulékok és szociális</t>
  </si>
  <si>
    <t>hozzájárulási adó</t>
  </si>
  <si>
    <t>Ebből: kötelező feladatellátás</t>
  </si>
  <si>
    <t>önként vállalt feladatok</t>
  </si>
  <si>
    <t>Rendszeres szociális segély</t>
  </si>
  <si>
    <t>Foglalkoztatást helyettesítő támogatás</t>
  </si>
  <si>
    <t xml:space="preserve">Rendszeres szociális segély </t>
  </si>
  <si>
    <t>Ebből: kötelező feladatellátáshoz kapcsolódó</t>
  </si>
  <si>
    <t>önként vállalt feladatok ellátásához kapcsolódó</t>
  </si>
  <si>
    <t>Kiemelt önkormányzati, városi rendezvények, fizetendő jogdíjak</t>
  </si>
  <si>
    <t>A 0560/46. és a 0560/47 hrsz-ú ingatlanokon földút kialakítása</t>
  </si>
  <si>
    <t>Kötvény felhasználása fejlesztési feladatokhoz</t>
  </si>
  <si>
    <t>Pályázatokhoz önerő, pályázatok előkészítő szakaszainak kiadásai</t>
  </si>
  <si>
    <t>Kiskőrös Város szennyvízelvezetésének végleges megoldása  - KEOP-1.2.0/09-11-2011-0042</t>
  </si>
  <si>
    <t>Társulási hozzájárulás</t>
  </si>
  <si>
    <t>Magyarországi Baptista Egyház részére családsegítés normatíva továbbutalása</t>
  </si>
  <si>
    <t>INTÉZMÉNYEK ÖSSZESEN ( 1. - 5. sorok )</t>
  </si>
  <si>
    <t>Európai Uniós forrásból finanszírozott támogatással megvalósuló programok, projektek</t>
  </si>
  <si>
    <t>Európai Uniós forrásból finanszírozott támogatással megvalósuló programokhoz, projektekhez történő hozzájárulás</t>
  </si>
  <si>
    <t>27.</t>
  </si>
  <si>
    <t>Önkormányzat bevételei</t>
  </si>
  <si>
    <t>AZ ÖNKORMÁNYZAT ÉS A POLGÁRMESTERI HIVATAL BEVÉTELEI</t>
  </si>
  <si>
    <t>AZ ÖNKORMÁNYZAT ÁLTAL IRÁNYÍTOTT KÖLTSÉGVETÉSI SZERVEK  BEVÉTELEI</t>
  </si>
  <si>
    <t>Saját bevételből, hazai támogatásból megvalósuló programok, projektek</t>
  </si>
  <si>
    <t>Utak fenntartása, építése</t>
  </si>
  <si>
    <t xml:space="preserve">        önként vállalt feladatok</t>
  </si>
  <si>
    <t>Polgármesteri Hivatal</t>
  </si>
  <si>
    <t>Összesen 1-5. sorok</t>
  </si>
  <si>
    <t>Polgármesteri Hivatal tevékenysége</t>
  </si>
  <si>
    <t>Petőfi Sándor Társaság támogatása</t>
  </si>
  <si>
    <t>Kiskőrös Városért Alapítvány támogatása</t>
  </si>
  <si>
    <t xml:space="preserve">Kiskőrösi Sportigazgatóság </t>
  </si>
  <si>
    <t>Kiskőrösi Óvodák</t>
  </si>
  <si>
    <t>Kiskőrösi Sportigazgatóság</t>
  </si>
  <si>
    <t>állami (államigazgatási) feladat</t>
  </si>
  <si>
    <t>önként vállalt feladatokhoz</t>
  </si>
  <si>
    <t>ebből: kötelező feladatellátáshoz</t>
  </si>
  <si>
    <t>Ebből: kötelező feladatellátáshoz</t>
  </si>
  <si>
    <t>- általános működési támogatás</t>
  </si>
  <si>
    <t>á</t>
  </si>
  <si>
    <t>Jogalkotás</t>
  </si>
  <si>
    <t>Társulás  - Háziorvosi ügyelet támogatása</t>
  </si>
  <si>
    <t>Települési marketing és média</t>
  </si>
  <si>
    <t>Kiskőrösi Advent</t>
  </si>
  <si>
    <t>Sportcélok támogatása</t>
  </si>
  <si>
    <t>Férfi kézilabda támogatása</t>
  </si>
  <si>
    <t>Kiskőrösi Labdarúgó Klub támogatása</t>
  </si>
  <si>
    <t>Küzdősportok támogatása</t>
  </si>
  <si>
    <t>Kiskőrös Város Hegyközsége támogatása</t>
  </si>
  <si>
    <t>Borversenyek, Agrárexpo támogatása</t>
  </si>
  <si>
    <t>(Sz)Építő irodalom - TÁMOP-3.2.3/A-11/1-2012</t>
  </si>
  <si>
    <t>Jégelhárító rendszer működtetése</t>
  </si>
  <si>
    <t>Állami (államigazgatási) feladatellátáshoz</t>
  </si>
  <si>
    <t>Önként vállalt feladatellátáshoz</t>
  </si>
  <si>
    <t xml:space="preserve">Polgármesteri Hivatal bevételei </t>
  </si>
  <si>
    <t>Ebből:kötelező feladatellátáshoz</t>
  </si>
  <si>
    <t>POLGÁRMESTERI HIVATAL KIADÁSAI ÖSSZESEN (6. sor)</t>
  </si>
  <si>
    <t>ezer Ft</t>
  </si>
  <si>
    <t>47/2012. Képv.testületi határozat alapján ingatlanrész megvásárlása</t>
  </si>
  <si>
    <t>Kiskőrös és Térsége Ivóvízminőség-javító Önkormányzati Társulás - KEOP-1.3.0/09-11-2011-0015 - "EU Önerő Alap" támogatás továbbutalása</t>
  </si>
  <si>
    <t>Kiskőrös Város Önkormányzatának városközpont rehabilitációs projektje - DAOP-5.1.2/A-09-2f-2011-0005</t>
  </si>
  <si>
    <r>
      <t>Társulás - DAOP-4.2.1-11 „</t>
    </r>
    <r>
      <rPr>
        <i/>
        <sz val="10"/>
        <rFont val="Times New Roman"/>
        <family val="1"/>
      </rPr>
      <t>Nevelési intézmények fejlesztése</t>
    </r>
    <r>
      <rPr>
        <sz val="10"/>
        <rFont val="Times New Roman"/>
        <family val="1"/>
      </rPr>
      <t>” KTKT Óvoda Batthyány Utcai Tagóvodája - támogatás</t>
    </r>
  </si>
  <si>
    <t>Társulás oktatási és nevelési feladatainak támogatása</t>
  </si>
  <si>
    <t>Társulás - Kerékpárút-hálózat fejlesztése - KÖZOP-3.2.0/C-08-2010-0008 megelőlegezés utófinanszírozás miatti kölcsön</t>
  </si>
  <si>
    <t>Az Önkormányzat által irányított költségvetési szervek bevételei összesen A</t>
  </si>
  <si>
    <t xml:space="preserve">Finanszírozási bevételek </t>
  </si>
  <si>
    <t>Finanszírozási bevételek</t>
  </si>
  <si>
    <t>BEVÉTELEK MINDÖSSZESEN (I.+II.+III.)</t>
  </si>
  <si>
    <t>Petőfi Sándor Evangélikus Óvoda, Általános Iskola, Gimnázium és Kertészeti Szakközépiskola - KEOP-2012-5.5.0/A - önerő és sikerdíj</t>
  </si>
  <si>
    <t>Polgármesteri Hivatal pénzbeli és természetbeni ellátásai</t>
  </si>
  <si>
    <t xml:space="preserve">     Vagyon hasznosításával kapcsolatos kiadások</t>
  </si>
  <si>
    <t>Kisoroszi tábor fenntartása, működtetése</t>
  </si>
  <si>
    <t>Étkezés</t>
  </si>
  <si>
    <t>35.</t>
  </si>
  <si>
    <t>ÖNKORMÁNYZATI KIADÁSOK ÖSSZESEN ( 7-35. sorok )</t>
  </si>
  <si>
    <t>Kiskőrösi Női KSZSE támogatása</t>
  </si>
  <si>
    <t>Bem DSE  támogatása</t>
  </si>
  <si>
    <t>Egészségügyi, Gyermekjóléti és Szociális Intézmény</t>
  </si>
  <si>
    <t>Civil szervezetek, személyek támogatása</t>
  </si>
  <si>
    <t>Kiskőrösi Idősek Otthona felújítása, bővítése, technológiai korszerűsítése - TIOP-3.4.2-11/1-2012-0164</t>
  </si>
  <si>
    <t>Saját bevételből, hazai támogatásból megvalósuló programok, projektek támogatása</t>
  </si>
  <si>
    <t>Társulási feladatok ellátása</t>
  </si>
  <si>
    <t>Digitális alaptérkép</t>
  </si>
  <si>
    <t>Rendszeres gyermekvédelmi kedvezmény</t>
  </si>
  <si>
    <t>Közétkeztetéshez beszerzések</t>
  </si>
  <si>
    <t>Településrendezési terv</t>
  </si>
  <si>
    <t>rovat</t>
  </si>
  <si>
    <t>KÖLTSÉGVETÉSI BEVÉTELEK               (B1-7.)</t>
  </si>
  <si>
    <t>A</t>
  </si>
  <si>
    <t>B</t>
  </si>
  <si>
    <t>B111</t>
  </si>
  <si>
    <t>B112</t>
  </si>
  <si>
    <t>- egyes köznevelési feladatok támogatása</t>
  </si>
  <si>
    <t>B113</t>
  </si>
  <si>
    <t>B114</t>
  </si>
  <si>
    <t>- kulturális feladatok támogatása</t>
  </si>
  <si>
    <t>B115</t>
  </si>
  <si>
    <t>B116</t>
  </si>
  <si>
    <t>- kiegészítő támogatások</t>
  </si>
  <si>
    <t>B12. Elvonások és befizetések bevételei</t>
  </si>
  <si>
    <t>B13. Működési célú garancia- és kezességvállalásból származó megtérülések</t>
  </si>
  <si>
    <t>B14. Működési célú visszatérítendő támogatások, kölcsönök visszatérülése</t>
  </si>
  <si>
    <t>B15. Működési célú visszatérítendő támogatások, kölcsönök igénybevétele</t>
  </si>
  <si>
    <t>B16. Egyéb működési célú támogatások:</t>
  </si>
  <si>
    <t>Rendszeres gyermekvédelmi támogatás</t>
  </si>
  <si>
    <t>Társulási feladatokhoz támogatás</t>
  </si>
  <si>
    <t>B31. Jövedelemadók</t>
  </si>
  <si>
    <t>B32. Szociális hozzájárulási adó és járulákok</t>
  </si>
  <si>
    <t>Magánszemélyek kommunális adója</t>
  </si>
  <si>
    <t>Iparűzési adó</t>
  </si>
  <si>
    <t>Idegenforgalmi adó bevételek</t>
  </si>
  <si>
    <t>B36. Egyéb közhatalmi bevételek:</t>
  </si>
  <si>
    <t>B36</t>
  </si>
  <si>
    <t>Igazgatási szolgáltatási díjak</t>
  </si>
  <si>
    <t>Szabálysértési és közigazgatási bírságok önkormányzatot megillető része</t>
  </si>
  <si>
    <t>Ket. alapján kiszabott eljárási bírságok</t>
  </si>
  <si>
    <t>B4. Működési bevételek</t>
  </si>
  <si>
    <t>B404</t>
  </si>
  <si>
    <t>B403</t>
  </si>
  <si>
    <t>B408</t>
  </si>
  <si>
    <t>B402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</si>
  <si>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</si>
  <si>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</si>
  <si>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</si>
  <si>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</si>
  <si>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KÖLTSÉGVETÉSI BEVÉTELEK ÖSSZESEN A+B</t>
  </si>
  <si>
    <t>KÖLTSÉGVETÉSI KIADÁSOK                                       (K1-8.)</t>
  </si>
  <si>
    <t>Működési költségvetés:</t>
  </si>
  <si>
    <t>K11.-12.</t>
  </si>
  <si>
    <t>K2.</t>
  </si>
  <si>
    <t>K31.-35.</t>
  </si>
  <si>
    <t>K41.-48.</t>
  </si>
  <si>
    <t>K5.</t>
  </si>
  <si>
    <t>Felhalmozási költségvetés:</t>
  </si>
  <si>
    <t>K6.</t>
  </si>
  <si>
    <t>K7.</t>
  </si>
  <si>
    <t>K8.</t>
  </si>
  <si>
    <t>Felhalmozási költségvetés összesen:</t>
  </si>
  <si>
    <t>K9.Finanszírozási kiadások:</t>
  </si>
  <si>
    <t xml:space="preserve">KIADÁSOK ÖSSZESEN </t>
  </si>
  <si>
    <t>- ebből: kötelező feladatellátás</t>
  </si>
  <si>
    <t>államigazgatási (állami) feladatok</t>
  </si>
  <si>
    <t>KIADÁSOK MINDÖSSZESEN (I+II+III)</t>
  </si>
  <si>
    <t>Ellátottak</t>
  </si>
  <si>
    <t>pénzbeli</t>
  </si>
  <si>
    <t>juttatásai</t>
  </si>
  <si>
    <t>Felhalmozási célú átvett pénzeszközök</t>
  </si>
  <si>
    <t>Működési célú átvett pénzeszközök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</si>
  <si>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</si>
  <si>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</si>
  <si>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</si>
  <si>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</si>
  <si>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Összesen ( II./1-7.)</t>
  </si>
  <si>
    <t>- szociális, gyermekjóléti és gyermekétkeztetési feladatok támogatása</t>
  </si>
  <si>
    <t>- működési célú központosított előirányzatok</t>
  </si>
  <si>
    <t>B3. Közhatalmi bevételek (B31.+…+B36.)</t>
  </si>
  <si>
    <t>B8131</t>
  </si>
  <si>
    <t xml:space="preserve">Egészségre nevelő és szemléletformáló életmódprogramok a kistérségben - TÁMOP-6.1.2/11/3 </t>
  </si>
  <si>
    <t xml:space="preserve">Egészségre nevelő és szemléletformáló életmódprogramok a kistérségben - TÁMOP-6.1.2/11/3-2012-0022 </t>
  </si>
  <si>
    <t>Egészségre nevelő és szemléletformáló életmódprogramok a kistérségben - TÁMOP-6.1.2/11/3</t>
  </si>
  <si>
    <t>Kiskőrös és Térsége Ivóvízminőség-javító Önkormányzati Társulás - KEOP-1.3.0/09-11-2011-0015 - "EU Önerő Alap" támogatás</t>
  </si>
  <si>
    <t>Bem József Általános Iskola napelemes rendszer - KEOP-4.10.0/A/12-2013-0450</t>
  </si>
  <si>
    <t>Petőfi Sándor Művelődési Központ napelemes rendszer - KEOP-4.10.0/A/12-2013-0441</t>
  </si>
  <si>
    <t>Polgármesteri Hivatal napelemes rendszer - KEOP-4.10.0/A/12/2013-0254</t>
  </si>
  <si>
    <t>Kiskőrösi Strandfürdő napelemes rendszer - KEOP-4.10.0/A/12/2013-0254</t>
  </si>
  <si>
    <t>Szervezetfejlesztés- ÁROP-1.A.5.-2013-2013-0045</t>
  </si>
  <si>
    <t>Önkormányzati segély</t>
  </si>
  <si>
    <t>Mellrákszűrés</t>
  </si>
  <si>
    <t>Tranzakciós illeték, kamatkiadások, bankköltségek</t>
  </si>
  <si>
    <t>B33. Bérhez és foglalkoztatáshoz kapcsolódó adók</t>
  </si>
  <si>
    <t>Működési célú</t>
  </si>
  <si>
    <t>B1. Működési célú támogatások államháztartáson belülről (B11.+…+B16.):</t>
  </si>
  <si>
    <t>B401</t>
  </si>
  <si>
    <t>B409</t>
  </si>
  <si>
    <t>B410</t>
  </si>
  <si>
    <t>Egyéb pénzügyi műveletek bevételei</t>
  </si>
  <si>
    <t>Egyéb működési bevételek</t>
  </si>
  <si>
    <t>B72</t>
  </si>
  <si>
    <t>Polgármesteri Hivatal:</t>
  </si>
  <si>
    <t>Önkormányzat:</t>
  </si>
  <si>
    <t>Rendőrség támogatása</t>
  </si>
  <si>
    <t>B11. Önkormányzat működési támogatásai:</t>
  </si>
  <si>
    <t>B2. Felhalmozási célú támogatások államháztartáson belülről (B21.+…+B25) - Önkormányzat:</t>
  </si>
  <si>
    <t>B34. Vagyoni típusú adók - Önkormányzat:</t>
  </si>
  <si>
    <t>B35. Termékek és szolgáltatások adói - Önkormányzat:</t>
  </si>
  <si>
    <t>B. Az Önkormányzat és a Polgármesteri Hivatal bevételei összesen B1.+…+B8.</t>
  </si>
  <si>
    <t>Működési célú támogatások államháztar-táson belülről     B1.</t>
  </si>
  <si>
    <t>Felhalmozási célú átvett pénzeszközök     B7.</t>
  </si>
  <si>
    <t>Működési célú átvett pénzeszközök            B6.</t>
  </si>
  <si>
    <t>Felhalmozási célú támogatások államháztar-táson belülről      B2.</t>
  </si>
  <si>
    <t>Felhal-mozási     célú</t>
  </si>
  <si>
    <t>Bem József Általános Iskola - vizesblokk felújítása - önerő</t>
  </si>
  <si>
    <t>Kiskőrösi Bem Diáksport Egyesület - Bem József Általános Iskola - vizesblokk felújítása - önerő</t>
  </si>
  <si>
    <t>Műfüves futballpálya felépítése - Magyar Labdarúgó Szövetség - önerő</t>
  </si>
  <si>
    <t xml:space="preserve">B16 </t>
  </si>
  <si>
    <t xml:space="preserve">B25 </t>
  </si>
  <si>
    <t>B351121</t>
  </si>
  <si>
    <t>B34114</t>
  </si>
  <si>
    <t>B354121</t>
  </si>
  <si>
    <t>B355121</t>
  </si>
  <si>
    <t>- családsegítés, gyermekjólét</t>
  </si>
  <si>
    <t>- bölcsődei ellátás</t>
  </si>
  <si>
    <t>- gyermekétkeztetés</t>
  </si>
  <si>
    <t>- bentlakásos intézmény</t>
  </si>
  <si>
    <t>Kamatbevételek</t>
  </si>
  <si>
    <t>Erdőtelki út menti burkolt csapadékvíz elvezető árok</t>
  </si>
  <si>
    <t xml:space="preserve">Múzeum kiállításainak korszerűsítése </t>
  </si>
  <si>
    <t>Betétek elhelyezése</t>
  </si>
  <si>
    <t>37.</t>
  </si>
  <si>
    <t>B817</t>
  </si>
  <si>
    <t>Betétek megszűntetése</t>
  </si>
  <si>
    <t>Szolgáltatások ellenértéke</t>
  </si>
  <si>
    <r>
      <t xml:space="preserve">KIADÁSOK ÖSSZESEN </t>
    </r>
    <r>
      <rPr>
        <sz val="8"/>
        <rFont val="Times New Roman CE"/>
        <family val="1"/>
      </rPr>
      <t>( 1-37. sorok )</t>
    </r>
  </si>
  <si>
    <t>B355122</t>
  </si>
  <si>
    <t>1,1-4</t>
  </si>
  <si>
    <t>Kiskőrös, Bem Iskola és Petőfi Kollégium épületenergetikai fejlesztése - KEOP-5.5.0/B/12-2013-0321</t>
  </si>
  <si>
    <t>János Vitéz Látogatóközpont kialakítása Kiskőrösön - DAOP-2.1.1/J-12-2012-0060</t>
  </si>
  <si>
    <t>János Vitéz Látogatóközpont kialakítása Kiskőrösön - DAOP -2.1.1/J-12-2012-0060</t>
  </si>
  <si>
    <t>Intézményi beruházások, kisértékű tárgyi eszköz beszerzések</t>
  </si>
  <si>
    <t>Önkormányzati beruházások</t>
  </si>
  <si>
    <t>Áru- és készletértékesítés ellenértéke</t>
  </si>
  <si>
    <t>Közvetített szolgáltatások ellenértéke</t>
  </si>
  <si>
    <t>Egyéb közhatalmi bevételek</t>
  </si>
  <si>
    <t>ezer Ft-ban</t>
  </si>
  <si>
    <t>Tulajdonosi bevételek</t>
  </si>
  <si>
    <t>Szennyvíz lakossági befizetés</t>
  </si>
  <si>
    <t>Önkormányzati pénzbeli, természetbeni ellátások</t>
  </si>
  <si>
    <t>B52-53</t>
  </si>
  <si>
    <t>Kollégium - földszint átalakítás</t>
  </si>
  <si>
    <t>- szociális feladatok egyéb támogatása</t>
  </si>
  <si>
    <t>államház-tartáson kívülre</t>
  </si>
  <si>
    <t>államház-tartáson belülre</t>
  </si>
  <si>
    <t>tarta-lékok</t>
  </si>
  <si>
    <t>Települési támogatás</t>
  </si>
  <si>
    <t>Önkormányzati felújítások</t>
  </si>
  <si>
    <t>Egyéb felhalmozás célú kiadások</t>
  </si>
  <si>
    <t>BERUHÁZÁSOK, FELÚJÍTÁSOK ÉS EGYÉB FELHALMOZÁSI</t>
  </si>
  <si>
    <t>JELLEGŰ KIADÁSOK, TÁMOGATÁSOK ÖSSZESEN</t>
  </si>
  <si>
    <t>Beruházások és felújítások összesen</t>
  </si>
  <si>
    <t>Ágazati pótlék</t>
  </si>
  <si>
    <t>Önkormányzati hozzájárulás</t>
  </si>
  <si>
    <t>B407</t>
  </si>
  <si>
    <t>B406</t>
  </si>
  <si>
    <t>Ellátási díjak</t>
  </si>
  <si>
    <t>Kiszámlázott általános forgalmi adó</t>
  </si>
  <si>
    <t>Általános forgalmi adó visszatérítés</t>
  </si>
  <si>
    <t>B405</t>
  </si>
  <si>
    <t xml:space="preserve">Közfoglalkoztatás eszközök beszerzése </t>
  </si>
  <si>
    <t>Kiskőrösi Polgármesteri Hivatal</t>
  </si>
  <si>
    <t>Állati hulladékgyűjtő telep kialakítása</t>
  </si>
  <si>
    <t>Szociális lakásvásárlás, munkáltatói kölcsönök, belvízkárosult lakások visszatérítendő kölcsönei</t>
  </si>
  <si>
    <t>Társulás - KEOP-1.3.0/09-11-2011-0015. önerő kiegészítés - Ivóvízminőség-javító beruházás</t>
  </si>
  <si>
    <t>k: kötelező, ö: önként vállalt, á: államigaz-gatás feladat</t>
  </si>
  <si>
    <t>k: kötelező, ö: önként vállalt, á: államigaz-gatási feladat</t>
  </si>
  <si>
    <t>k: kötelező, ö: önként vállalt, á: állam-igaz-gatási feladat</t>
  </si>
  <si>
    <t>KÖLTSÉGVETÉSI BEVÉTELEK ÖSSZESEN (I.+II.)</t>
  </si>
  <si>
    <t>Az Önkormányzat által irányított költségvetési szervek költségvetési bevételei</t>
  </si>
  <si>
    <t>Az Önkormányzat és a Polgármesteri Hivatal költségvetési bevételei</t>
  </si>
  <si>
    <t xml:space="preserve">KÖLTSÉGVETÉSI KIADÁSOK ÖSSZESEN </t>
  </si>
  <si>
    <t>Költségvetési egyenleg - hiány (Költségvetési bevételek összesen -Költségvetési kiadások összesen)</t>
  </si>
  <si>
    <t xml:space="preserve">Költségvetési hiány finanszírozása -  belső finanszírozás - előző évek tartalékának/pénzmaradványának igénybevétele </t>
  </si>
  <si>
    <t xml:space="preserve"> Értékbecslések, tulajdoni lapok, térképkivonatok, vázrajzok, ingatlan-nyilvántartási eljárás díjai, közbeszerzési eljárások lebonyolítása, közzétételi díjak, ellenjegyzést igénylő szerződések ügyvédi munkadíjai</t>
  </si>
  <si>
    <t>Bem József Általános Iskola - központi fűtés átalakítás, szennyvíz-csatorna rendszer átalakítás</t>
  </si>
  <si>
    <t>Polgári védelmi feladatok, védőeszközök tárolása, kezelése</t>
  </si>
  <si>
    <t>Értékesítések</t>
  </si>
  <si>
    <t>Cím megnevezése</t>
  </si>
  <si>
    <t>Költségvetési bevételek B1-B7.</t>
  </si>
  <si>
    <t>Finanszírozási bevételek B8.</t>
  </si>
  <si>
    <t xml:space="preserve">Előző évi pénzmaradvány           </t>
  </si>
  <si>
    <t>B4</t>
  </si>
  <si>
    <t>B6, B7</t>
  </si>
  <si>
    <t>Támogatások államháztartáson belülről, átvett pénzeszközök</t>
  </si>
  <si>
    <t>B1, B2</t>
  </si>
  <si>
    <t xml:space="preserve">Előző év költségvetési maradványának igénybevétele, előző évek tartalékának maradványa </t>
  </si>
  <si>
    <t>2015. évi bérkompenzáció</t>
  </si>
  <si>
    <t>- 2015. évi bérkompenzáció</t>
  </si>
  <si>
    <t>- szociális támogatások, segélyek</t>
  </si>
  <si>
    <t>Közösségi rendezvények külterületi feltételeinek biztosítása - LEADER</t>
  </si>
  <si>
    <t>Együttműködés fejlesztése a Kiskőrösi járásban - ÁROP-1.A3-2014-2014-0107</t>
  </si>
  <si>
    <t>- szociális ágazati pótlék</t>
  </si>
  <si>
    <t>Kiskőrösi Bírkózó Klub - volt iskolaépület sportcélú felújítása</t>
  </si>
  <si>
    <t>Hétszínvirág Oktatási és Kulturális Alapítvány támogatása</t>
  </si>
  <si>
    <t>2015. évi nettó finanszírozás megelőlegezésének visszafizetése</t>
  </si>
  <si>
    <t>1. melléklet a …. /2015. (…) önk. rendelethez</t>
  </si>
  <si>
    <t>2. melléklet a …. /2015. (…) önk. rendelethez</t>
  </si>
  <si>
    <t>3. melléklet a …. /2015. (…) önk. rendelethez</t>
  </si>
  <si>
    <t>4. melléklet a …. /2015. (…) önk. rendelethez</t>
  </si>
  <si>
    <t>5. melléklet a …. /2015. (…) önk. rendelethez</t>
  </si>
  <si>
    <t>6. melléklet a …. /2015. (…) önk. rendelethez</t>
  </si>
  <si>
    <t>DÉMÁSZ oszlopok kiváltások</t>
  </si>
  <si>
    <t>Könyvtári érdekeltségnövelő támogatás</t>
  </si>
  <si>
    <t>- nyári gyerekétkeztetés</t>
  </si>
  <si>
    <t xml:space="preserve">Választás </t>
  </si>
  <si>
    <t>Intézményi 2015. évi szabad pénzmaradvány</t>
  </si>
  <si>
    <t>Bem Iskola Alapítvány támogatása</t>
  </si>
  <si>
    <t>- bérkompenzáció</t>
  </si>
  <si>
    <t>Kőrösszolg Kft. - intézményüzemeltetési feladatai</t>
  </si>
  <si>
    <t>Kőrösszolg Kft. - köztisztasági és parkfenntartási feladatai</t>
  </si>
  <si>
    <t>Gyermekétkeztetés feltételeit javító fejlesztések - Batthyány utcai óvoda fejlesztése - önerő</t>
  </si>
  <si>
    <t>B21</t>
  </si>
  <si>
    <t>János Vitéz Látogatóközpont kialakítása Kiskőrösön - DAOP -2.1.1/J-12-2012-0060 pályázat</t>
  </si>
  <si>
    <t>János Vitéz Látogatóközpont kialakítása Kiskőrösön - DAOP -2.1.1/J-12-2012-0060 pályázat kiadásainak támogatása</t>
  </si>
  <si>
    <t>Városi Sporttelepen fedett lelátó kialakítása - önerő</t>
  </si>
  <si>
    <t>Kiskőrös Városért Alapítvány - Petőfi témájú dombormű - önerő</t>
  </si>
  <si>
    <t>B75</t>
  </si>
  <si>
    <t>Egészségügyi, Gyermekjóléti és Szociális Intézmény 270e:2074031/869041101, 1635e:3102021/873011102</t>
  </si>
  <si>
    <t>Kiskőrösi Sportigazgatóság 14015:318e, 14018:200e, 14019:240e, 14020:1076e, 14021:300e</t>
  </si>
  <si>
    <t xml:space="preserve">     PPP tanuszoda szolgáltatási díja, fürdő üzemeltetési díja</t>
  </si>
  <si>
    <t>Petőfi Szülőház és Emlékmúzeum tömörraktárának kialakítása</t>
  </si>
  <si>
    <t xml:space="preserve">     Műfüves futballpálya felépítése - Magyar Labdarúgó Szövetség - önerő</t>
  </si>
  <si>
    <r>
      <t xml:space="preserve">ÖNKORMÁNYZAT ÉS A POLGÁRMESTERI HIVATAL KIADÁSAI FINANSZÍROZÁSI KIADÁSOKKAL ÖSSZESEN </t>
    </r>
    <r>
      <rPr>
        <sz val="8"/>
        <rFont val="Times New Roman CE"/>
        <family val="1"/>
      </rPr>
      <t>(7-37. sorok)</t>
    </r>
  </si>
  <si>
    <t>Működési bevételek    B3-4.</t>
  </si>
  <si>
    <t>Épületek építése, fenntartása, üzemeltetése</t>
  </si>
  <si>
    <t>Kerékpárút-hálózat fejlesztése - DAOP-3.1.2/A-11-2011-0011</t>
  </si>
  <si>
    <t>Margittai néptáncosok Kiskőrösön</t>
  </si>
  <si>
    <t>Épületenergetikai fejlesztés - KEOP - 5.7.0.</t>
  </si>
  <si>
    <t>- kiegészítő szociális ágazati pótlék</t>
  </si>
  <si>
    <t>- átmeneti ivóvízellátás biztosításával kapcsolatos költségek támogatása</t>
  </si>
  <si>
    <t xml:space="preserve">Petőfi témájú dombormű </t>
  </si>
  <si>
    <t>Petőfi témájú dombormű</t>
  </si>
  <si>
    <t>Petőfi Szülőház és Emlékmúzeum/Szlovák Tájház néprajzi kiállítás/látványtár/foglalkoztató terem hármas egységének kialakítása</t>
  </si>
  <si>
    <t xml:space="preserve">Petőfi Szülőház és Emlékmúzeum/Szlovák Tájház néprajzi kiállítás/látványtár/foglalkoztató terem hármas egységének kialakítása </t>
  </si>
  <si>
    <t>Lakosság részére nyújtott alapszolgáltatások fejlesztése</t>
  </si>
  <si>
    <t>Kiskőrösi Szüret 2015 és Szlovák Nemzetiségi Napok - NKA</t>
  </si>
  <si>
    <t>Egészségfejlesztési Iroda</t>
  </si>
  <si>
    <t>BURSA - támogatás</t>
  </si>
  <si>
    <t>Kiskőrös Város Önkormányzatának városközpont rehabilitációs projektje - DAOP-5.1.2/A-09-2f-2011-0005 pályázat kiadásainak támogatása</t>
  </si>
  <si>
    <t>B411</t>
  </si>
  <si>
    <t>Szendrey és Klapka utca - járdaépítés</t>
  </si>
  <si>
    <t>Béke utca - járdaépítés</t>
  </si>
  <si>
    <t>Földes utak útalappal történő kiépítése</t>
  </si>
  <si>
    <t>Ivóvízközmű felújítás</t>
  </si>
  <si>
    <t>Szennyvízközmű felújítás</t>
  </si>
  <si>
    <t>Kiskőrös Gyógy és Strandfürdő, Tanuszoda és Kemping tanuszodájának technológiai hő- és villamosenergiaigényének kielégítése megújuló energiaforrások alkalmazásával - KEOP-4.10.0/U/15-2015-0010</t>
  </si>
  <si>
    <t>Biztosítók által fizetett kártérítés</t>
  </si>
  <si>
    <t xml:space="preserve">Széles út építése </t>
  </si>
  <si>
    <t>7. melléklet a …. /2015. (…) önk. rendelethez</t>
  </si>
  <si>
    <t>Sor-szám</t>
  </si>
  <si>
    <t>Feladat</t>
  </si>
  <si>
    <t>2015. évi előirányzat</t>
  </si>
  <si>
    <t>Az átcsoportosítás jogát gyakorolja</t>
  </si>
  <si>
    <t>Rendkívüli javítások, karbantartások elvégzése, halaszthatatlan kisértékű tárgyi eszközök pótlása</t>
  </si>
  <si>
    <t>Polgármester</t>
  </si>
  <si>
    <t>Indokolt létszámcsökkentés végrehajtása érdekében felmerülő végkielégítés, egyéb nem tervezett rendkívüli személyi juttatás fedezete</t>
  </si>
  <si>
    <t>Képviselő-testület</t>
  </si>
  <si>
    <t>Más forrásból nem finanszírozható, városi feladatok ellátása</t>
  </si>
  <si>
    <t>Az Önkormányzat és az általa irányított költségvetési szervek dologi kiadásai indokolt kiegészítéséhez szükséges tartalék</t>
  </si>
  <si>
    <t>Bem József Általános Iskola sport célú beruházásához, felújításához önerő</t>
  </si>
  <si>
    <t>Összesen: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</si>
</sst>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00000"/>
    <numFmt numFmtId="170" formatCode="0.0%"/>
    <numFmt numFmtId="171" formatCode="_-* #,##0.000\ &quot;Ft&quot;_-;\-* #,##0.000\ &quot;Ft&quot;_-;_-* &quot;-&quot;??\ &quot;Ft&quot;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0.000"/>
    <numFmt numFmtId="175" formatCode="#,##0.000"/>
    <numFmt numFmtId="176" formatCode="#,##0.0000"/>
    <numFmt numFmtId="177" formatCode="00"/>
    <numFmt numFmtId="178" formatCode="0000000"/>
    <numFmt numFmtId="179" formatCode="0.000000"/>
    <numFmt numFmtId="180" formatCode="0.00000"/>
    <numFmt numFmtId="181" formatCode="0.0000"/>
    <numFmt numFmtId="182" formatCode="_-* #,##0.0\ _F_t_-;\-* #,##0.0\ _F_t_-;_-* &quot;-&quot;??\ _F_t_-;_-@_-"/>
    <numFmt numFmtId="183" formatCode="_-* #,##0\ _F_t_-;\-* #,##0\ _F_t_-;_-* &quot;-&quot;??\ _F_t_-;_-@_-"/>
    <numFmt numFmtId="184" formatCode="#,##0.00;[Red]\-#,##0.00"/>
    <numFmt numFmtId="185" formatCode="#,##0;[Red]\-#,##0"/>
    <numFmt numFmtId="186" formatCode="&quot;H-&quot;0000"/>
    <numFmt numFmtId="187" formatCode="[$¥€-2]\ #\ ##,000_);[Red]\([$€-2]\ #\ ##,000\)"/>
  </numFmts>
  <fonts count="9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ahoma"/>
      <family val="2"/>
    </font>
    <font>
      <sz val="6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sz val="7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 CE"/>
      <family val="1"/>
    </font>
    <font>
      <sz val="10"/>
      <color indexed="8"/>
      <name val="Times New Roman"/>
      <family val="1"/>
    </font>
    <font>
      <i/>
      <sz val="8"/>
      <name val="Times New Roman CE"/>
      <family val="1"/>
    </font>
    <font>
      <sz val="7"/>
      <color indexed="10"/>
      <name val="Times New Roman CE"/>
      <family val="1"/>
    </font>
    <font>
      <b/>
      <i/>
      <sz val="7"/>
      <name val="Times New Roman CE"/>
      <family val="1"/>
    </font>
    <font>
      <i/>
      <sz val="7"/>
      <name val="Times New Roman CE"/>
      <family val="1"/>
    </font>
    <font>
      <i/>
      <sz val="7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"/>
      <family val="1"/>
    </font>
    <font>
      <b/>
      <sz val="10"/>
      <color indexed="8"/>
      <name val="Times New Roman CE"/>
      <family val="1"/>
    </font>
    <font>
      <i/>
      <sz val="10"/>
      <name val="Arial CE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Tahoma"/>
      <family val="2"/>
    </font>
    <font>
      <sz val="10"/>
      <color indexed="10"/>
      <name val="Tahoma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7"/>
      <name val="Times New Roman"/>
      <family val="1"/>
    </font>
    <font>
      <sz val="8"/>
      <name val="Arial CE"/>
      <family val="0"/>
    </font>
    <font>
      <i/>
      <sz val="8"/>
      <name val="Tahoma"/>
      <family val="2"/>
    </font>
    <font>
      <i/>
      <sz val="8"/>
      <name val="Times New Roman"/>
      <family val="1"/>
    </font>
    <font>
      <i/>
      <sz val="10"/>
      <color indexed="8"/>
      <name val="Times New Roman CE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medium"/>
      <bottom style="thin"/>
    </border>
    <border>
      <left style="medium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double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14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2" fillId="25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0" fillId="27" borderId="7" applyNumberFormat="0" applyFont="0" applyAlignment="0" applyProtection="0"/>
    <xf numFmtId="0" fontId="90" fillId="28" borderId="0" applyNumberFormat="0" applyBorder="0" applyAlignment="0" applyProtection="0"/>
    <xf numFmtId="0" fontId="91" fillId="29" borderId="8" applyNumberFormat="0" applyAlignment="0" applyProtection="0"/>
    <xf numFmtId="0" fontId="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0" borderId="0" applyNumberFormat="0" applyBorder="0" applyAlignment="0" applyProtection="0"/>
    <xf numFmtId="0" fontId="95" fillId="31" borderId="0" applyNumberFormat="0" applyBorder="0" applyAlignment="0" applyProtection="0"/>
    <xf numFmtId="0" fontId="96" fillId="29" borderId="1" applyNumberFormat="0" applyAlignment="0" applyProtection="0"/>
    <xf numFmtId="9" fontId="0" fillId="0" borderId="0" applyFont="0" applyFill="0" applyBorder="0" applyAlignment="0" applyProtection="0"/>
  </cellStyleXfs>
  <cellXfs count="1041">
    <xf numFmtId="0" fontId="0" fillId="0" borderId="0" xfId="0" applyAlignment="1">
      <alignment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>
      <alignment vertical="center" shrinkToFit="1"/>
    </xf>
    <xf numFmtId="3" fontId="11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Fill="1" applyAlignment="1">
      <alignment vertical="center" shrinkToFit="1"/>
    </xf>
    <xf numFmtId="49" fontId="18" fillId="0" borderId="0" xfId="0" applyNumberFormat="1" applyFont="1" applyFill="1" applyAlignment="1">
      <alignment vertical="center" shrinkToFit="1"/>
    </xf>
    <xf numFmtId="0" fontId="20" fillId="0" borderId="0" xfId="0" applyFont="1" applyFill="1" applyBorder="1" applyAlignment="1">
      <alignment horizontal="justify" vertical="center" shrinkToFit="1"/>
    </xf>
    <xf numFmtId="0" fontId="6" fillId="0" borderId="1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26" fillId="0" borderId="0" xfId="0" applyFont="1" applyAlignment="1">
      <alignment/>
    </xf>
    <xf numFmtId="49" fontId="23" fillId="0" borderId="15" xfId="0" applyNumberFormat="1" applyFont="1" applyFill="1" applyBorder="1" applyAlignment="1">
      <alignment horizontal="left" vertical="center" indent="1" shrinkToFit="1"/>
    </xf>
    <xf numFmtId="0" fontId="23" fillId="0" borderId="16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49" fontId="27" fillId="0" borderId="17" xfId="0" applyNumberFormat="1" applyFont="1" applyFill="1" applyBorder="1" applyAlignment="1">
      <alignment vertical="center" shrinkToFit="1"/>
    </xf>
    <xf numFmtId="49" fontId="29" fillId="0" borderId="18" xfId="0" applyNumberFormat="1" applyFont="1" applyFill="1" applyBorder="1" applyAlignment="1">
      <alignment vertical="center" shrinkToFit="1"/>
    </xf>
    <xf numFmtId="49" fontId="27" fillId="0" borderId="18" xfId="0" applyNumberFormat="1" applyFont="1" applyFill="1" applyBorder="1" applyAlignment="1">
      <alignment vertical="center" shrinkToFit="1"/>
    </xf>
    <xf numFmtId="49" fontId="27" fillId="0" borderId="19" xfId="0" applyNumberFormat="1" applyFont="1" applyFill="1" applyBorder="1" applyAlignment="1">
      <alignment horizontal="justify" vertical="center" shrinkToFit="1"/>
    </xf>
    <xf numFmtId="49" fontId="29" fillId="0" borderId="20" xfId="0" applyNumberFormat="1" applyFont="1" applyFill="1" applyBorder="1" applyAlignment="1">
      <alignment vertical="center" shrinkToFit="1"/>
    </xf>
    <xf numFmtId="0" fontId="27" fillId="0" borderId="19" xfId="0" applyFont="1" applyBorder="1" applyAlignment="1">
      <alignment/>
    </xf>
    <xf numFmtId="3" fontId="17" fillId="0" borderId="0" xfId="57" applyNumberFormat="1" applyFont="1" applyFill="1" applyAlignment="1">
      <alignment horizontal="center" vertical="center"/>
      <protection/>
    </xf>
    <xf numFmtId="3" fontId="15" fillId="0" borderId="0" xfId="57" applyNumberFormat="1" applyFont="1" applyFill="1" applyAlignment="1">
      <alignment vertical="center"/>
      <protection/>
    </xf>
    <xf numFmtId="3" fontId="22" fillId="0" borderId="0" xfId="57" applyNumberFormat="1" applyFont="1" applyFill="1" applyAlignment="1">
      <alignment vertical="center"/>
      <protection/>
    </xf>
    <xf numFmtId="3" fontId="24" fillId="0" borderId="20" xfId="57" applyNumberFormat="1" applyFont="1" applyFill="1" applyBorder="1" applyAlignment="1">
      <alignment horizontal="center" vertical="center"/>
      <protection/>
    </xf>
    <xf numFmtId="3" fontId="16" fillId="0" borderId="0" xfId="57" applyNumberFormat="1" applyFont="1" applyFill="1" applyBorder="1" applyAlignment="1">
      <alignment horizontal="center" vertical="center"/>
      <protection/>
    </xf>
    <xf numFmtId="3" fontId="24" fillId="0" borderId="18" xfId="57" applyNumberFormat="1" applyFont="1" applyFill="1" applyBorder="1" applyAlignment="1">
      <alignment horizontal="center" vertical="center"/>
      <protection/>
    </xf>
    <xf numFmtId="3" fontId="24" fillId="0" borderId="14" xfId="57" applyNumberFormat="1" applyFont="1" applyFill="1" applyBorder="1" applyAlignment="1">
      <alignment horizontal="center" vertical="center"/>
      <protection/>
    </xf>
    <xf numFmtId="3" fontId="16" fillId="0" borderId="21" xfId="57" applyNumberFormat="1" applyFont="1" applyFill="1" applyBorder="1" applyAlignment="1">
      <alignment horizontal="center" vertical="center"/>
      <protection/>
    </xf>
    <xf numFmtId="3" fontId="14" fillId="0" borderId="22" xfId="57" applyNumberFormat="1" applyFont="1" applyFill="1" applyBorder="1" applyAlignment="1">
      <alignment vertical="center"/>
      <protection/>
    </xf>
    <xf numFmtId="3" fontId="24" fillId="0" borderId="22" xfId="57" applyNumberFormat="1" applyFont="1" applyFill="1" applyBorder="1" applyAlignment="1">
      <alignment vertical="center"/>
      <protection/>
    </xf>
    <xf numFmtId="3" fontId="16" fillId="0" borderId="23" xfId="57" applyNumberFormat="1" applyFont="1" applyFill="1" applyBorder="1" applyAlignment="1">
      <alignment horizontal="center" vertical="center"/>
      <protection/>
    </xf>
    <xf numFmtId="3" fontId="14" fillId="0" borderId="24" xfId="57" applyNumberFormat="1" applyFont="1" applyFill="1" applyBorder="1" applyAlignment="1">
      <alignment vertical="center"/>
      <protection/>
    </xf>
    <xf numFmtId="3" fontId="22" fillId="0" borderId="24" xfId="57" applyNumberFormat="1" applyFont="1" applyFill="1" applyBorder="1" applyAlignment="1">
      <alignment horizontal="left" vertical="center" indent="1"/>
      <protection/>
    </xf>
    <xf numFmtId="3" fontId="24" fillId="0" borderId="24" xfId="57" applyNumberFormat="1" applyFont="1" applyFill="1" applyBorder="1" applyAlignment="1">
      <alignment vertical="center"/>
      <protection/>
    </xf>
    <xf numFmtId="3" fontId="16" fillId="0" borderId="25" xfId="57" applyNumberFormat="1" applyFont="1" applyFill="1" applyBorder="1" applyAlignment="1">
      <alignment horizontal="center" vertical="center"/>
      <protection/>
    </xf>
    <xf numFmtId="3" fontId="22" fillId="0" borderId="18" xfId="57" applyNumberFormat="1" applyFont="1" applyFill="1" applyBorder="1" applyAlignment="1">
      <alignment horizontal="left" vertical="center" indent="1"/>
      <protection/>
    </xf>
    <xf numFmtId="3" fontId="24" fillId="0" borderId="18" xfId="57" applyNumberFormat="1" applyFont="1" applyFill="1" applyBorder="1" applyAlignment="1">
      <alignment vertical="center"/>
      <protection/>
    </xf>
    <xf numFmtId="3" fontId="24" fillId="0" borderId="26" xfId="57" applyNumberFormat="1" applyFont="1" applyFill="1" applyBorder="1" applyAlignment="1">
      <alignment vertical="center"/>
      <protection/>
    </xf>
    <xf numFmtId="3" fontId="16" fillId="0" borderId="27" xfId="57" applyNumberFormat="1" applyFont="1" applyFill="1" applyBorder="1" applyAlignment="1">
      <alignment horizontal="center" vertical="center"/>
      <protection/>
    </xf>
    <xf numFmtId="3" fontId="14" fillId="0" borderId="28" xfId="57" applyNumberFormat="1" applyFont="1" applyFill="1" applyBorder="1" applyAlignment="1">
      <alignment horizontal="center" vertical="center"/>
      <protection/>
    </xf>
    <xf numFmtId="3" fontId="22" fillId="0" borderId="28" xfId="57" applyNumberFormat="1" applyFont="1" applyFill="1" applyBorder="1" applyAlignment="1">
      <alignment horizontal="left" vertical="center" indent="1"/>
      <protection/>
    </xf>
    <xf numFmtId="3" fontId="16" fillId="0" borderId="29" xfId="57" applyNumberFormat="1" applyFont="1" applyFill="1" applyBorder="1" applyAlignment="1">
      <alignment horizontal="center" vertical="center"/>
      <protection/>
    </xf>
    <xf numFmtId="3" fontId="14" fillId="0" borderId="30" xfId="57" applyNumberFormat="1" applyFont="1" applyFill="1" applyBorder="1" applyAlignment="1">
      <alignment horizontal="center" vertical="center"/>
      <protection/>
    </xf>
    <xf numFmtId="3" fontId="22" fillId="0" borderId="30" xfId="57" applyNumberFormat="1" applyFont="1" applyFill="1" applyBorder="1" applyAlignment="1">
      <alignment horizontal="left" vertical="center" indent="1"/>
      <protection/>
    </xf>
    <xf numFmtId="3" fontId="22" fillId="0" borderId="30" xfId="57" applyNumberFormat="1" applyFont="1" applyFill="1" applyBorder="1" applyAlignment="1">
      <alignment vertical="center"/>
      <protection/>
    </xf>
    <xf numFmtId="3" fontId="16" fillId="0" borderId="31" xfId="57" applyNumberFormat="1" applyFont="1" applyFill="1" applyBorder="1" applyAlignment="1">
      <alignment horizontal="center" vertical="center"/>
      <protection/>
    </xf>
    <xf numFmtId="3" fontId="14" fillId="0" borderId="32" xfId="57" applyNumberFormat="1" applyFont="1" applyFill="1" applyBorder="1" applyAlignment="1">
      <alignment horizontal="center" vertical="center"/>
      <protection/>
    </xf>
    <xf numFmtId="3" fontId="22" fillId="0" borderId="32" xfId="57" applyNumberFormat="1" applyFont="1" applyFill="1" applyBorder="1" applyAlignment="1">
      <alignment horizontal="left" vertical="center" wrapText="1" indent="1"/>
      <protection/>
    </xf>
    <xf numFmtId="3" fontId="22" fillId="0" borderId="32" xfId="57" applyNumberFormat="1" applyFont="1" applyFill="1" applyBorder="1" applyAlignment="1">
      <alignment vertical="center"/>
      <protection/>
    </xf>
    <xf numFmtId="3" fontId="14" fillId="0" borderId="18" xfId="57" applyNumberFormat="1" applyFont="1" applyFill="1" applyBorder="1" applyAlignment="1">
      <alignment horizontal="center" vertical="center"/>
      <protection/>
    </xf>
    <xf numFmtId="3" fontId="17" fillId="0" borderId="0" xfId="57" applyNumberFormat="1" applyFont="1" applyFill="1" applyAlignment="1">
      <alignment vertical="center"/>
      <protection/>
    </xf>
    <xf numFmtId="3" fontId="14" fillId="0" borderId="29" xfId="57" applyNumberFormat="1" applyFont="1" applyFill="1" applyBorder="1" applyAlignment="1">
      <alignment horizontal="center" vertical="center"/>
      <protection/>
    </xf>
    <xf numFmtId="3" fontId="14" fillId="0" borderId="27" xfId="57" applyNumberFormat="1" applyFont="1" applyFill="1" applyBorder="1" applyAlignment="1">
      <alignment horizontal="center" vertical="center"/>
      <protection/>
    </xf>
    <xf numFmtId="1" fontId="14" fillId="0" borderId="30" xfId="57" applyNumberFormat="1" applyFont="1" applyFill="1" applyBorder="1" applyAlignment="1">
      <alignment horizontal="center" vertical="center"/>
      <protection/>
    </xf>
    <xf numFmtId="1" fontId="14" fillId="0" borderId="32" xfId="57" applyNumberFormat="1" applyFont="1" applyFill="1" applyBorder="1" applyAlignment="1">
      <alignment horizontal="center" vertical="center"/>
      <protection/>
    </xf>
    <xf numFmtId="3" fontId="16" fillId="0" borderId="33" xfId="57" applyNumberFormat="1" applyFont="1" applyFill="1" applyBorder="1" applyAlignment="1">
      <alignment horizontal="center" vertical="center"/>
      <protection/>
    </xf>
    <xf numFmtId="3" fontId="22" fillId="0" borderId="32" xfId="57" applyNumberFormat="1" applyFont="1" applyFill="1" applyBorder="1" applyAlignment="1">
      <alignment horizontal="left" vertical="center" indent="1"/>
      <protection/>
    </xf>
    <xf numFmtId="3" fontId="16" fillId="0" borderId="34" xfId="57" applyNumberFormat="1" applyFont="1" applyFill="1" applyBorder="1" applyAlignment="1">
      <alignment horizontal="center" vertical="center"/>
      <protection/>
    </xf>
    <xf numFmtId="3" fontId="14" fillId="0" borderId="20" xfId="57" applyNumberFormat="1" applyFont="1" applyFill="1" applyBorder="1" applyAlignment="1">
      <alignment horizontal="center" vertical="center"/>
      <protection/>
    </xf>
    <xf numFmtId="3" fontId="24" fillId="0" borderId="20" xfId="57" applyNumberFormat="1" applyFont="1" applyFill="1" applyBorder="1" applyAlignment="1">
      <alignment vertical="center"/>
      <protection/>
    </xf>
    <xf numFmtId="164" fontId="14" fillId="0" borderId="28" xfId="57" applyNumberFormat="1" applyFont="1" applyFill="1" applyBorder="1" applyAlignment="1">
      <alignment horizontal="center" vertical="center"/>
      <protection/>
    </xf>
    <xf numFmtId="3" fontId="14" fillId="0" borderId="24" xfId="57" applyNumberFormat="1" applyFont="1" applyFill="1" applyBorder="1" applyAlignment="1">
      <alignment horizontal="center" vertical="center"/>
      <protection/>
    </xf>
    <xf numFmtId="164" fontId="14" fillId="0" borderId="30" xfId="57" applyNumberFormat="1" applyFont="1" applyFill="1" applyBorder="1" applyAlignment="1">
      <alignment horizontal="center" vertical="center"/>
      <protection/>
    </xf>
    <xf numFmtId="3" fontId="16" fillId="0" borderId="35" xfId="57" applyNumberFormat="1" applyFont="1" applyFill="1" applyBorder="1" applyAlignment="1">
      <alignment horizontal="center" vertical="center"/>
      <protection/>
    </xf>
    <xf numFmtId="164" fontId="14" fillId="0" borderId="24" xfId="57" applyNumberFormat="1" applyFont="1" applyFill="1" applyBorder="1" applyAlignment="1">
      <alignment horizontal="center" vertical="center"/>
      <protection/>
    </xf>
    <xf numFmtId="3" fontId="24" fillId="0" borderId="26" xfId="57" applyNumberFormat="1" applyFont="1" applyFill="1" applyBorder="1" applyAlignment="1">
      <alignment horizontal="left" vertical="center" indent="1"/>
      <protection/>
    </xf>
    <xf numFmtId="3" fontId="24" fillId="0" borderId="18" xfId="57" applyNumberFormat="1" applyFont="1" applyFill="1" applyBorder="1" applyAlignment="1">
      <alignment horizontal="left" vertical="center"/>
      <protection/>
    </xf>
    <xf numFmtId="3" fontId="16" fillId="0" borderId="20" xfId="57" applyNumberFormat="1" applyFont="1" applyFill="1" applyBorder="1" applyAlignment="1">
      <alignment horizontal="left" vertical="center"/>
      <protection/>
    </xf>
    <xf numFmtId="3" fontId="14" fillId="0" borderId="29" xfId="57" applyNumberFormat="1" applyFont="1" applyFill="1" applyBorder="1" applyAlignment="1">
      <alignment horizontal="left" vertical="center"/>
      <protection/>
    </xf>
    <xf numFmtId="3" fontId="14" fillId="0" borderId="30" xfId="57" applyNumberFormat="1" applyFont="1" applyFill="1" applyBorder="1" applyAlignment="1">
      <alignment horizontal="left" vertical="center" indent="1"/>
      <protection/>
    </xf>
    <xf numFmtId="49" fontId="27" fillId="0" borderId="19" xfId="0" applyNumberFormat="1" applyFont="1" applyFill="1" applyBorder="1" applyAlignment="1">
      <alignment vertical="center" shrinkToFit="1"/>
    </xf>
    <xf numFmtId="3" fontId="24" fillId="0" borderId="20" xfId="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3" fontId="24" fillId="0" borderId="20" xfId="57" applyNumberFormat="1" applyFont="1" applyFill="1" applyBorder="1" applyAlignment="1">
      <alignment horizontal="left" vertical="center"/>
      <protection/>
    </xf>
    <xf numFmtId="3" fontId="22" fillId="0" borderId="30" xfId="57" applyNumberFormat="1" applyFont="1" applyFill="1" applyBorder="1" applyAlignment="1">
      <alignment horizontal="left" vertical="center" wrapText="1" indent="1"/>
      <protection/>
    </xf>
    <xf numFmtId="3" fontId="24" fillId="0" borderId="14" xfId="57" applyNumberFormat="1" applyFont="1" applyFill="1" applyBorder="1" applyAlignment="1">
      <alignment vertical="center"/>
      <protection/>
    </xf>
    <xf numFmtId="3" fontId="24" fillId="0" borderId="32" xfId="57" applyNumberFormat="1" applyFont="1" applyFill="1" applyBorder="1" applyAlignment="1">
      <alignment horizontal="left" vertical="center" indent="1"/>
      <protection/>
    </xf>
    <xf numFmtId="3" fontId="24" fillId="0" borderId="22" xfId="57" applyNumberFormat="1" applyFont="1" applyFill="1" applyBorder="1" applyAlignment="1">
      <alignment horizontal="left" vertical="center"/>
      <protection/>
    </xf>
    <xf numFmtId="0" fontId="31" fillId="0" borderId="19" xfId="0" applyFont="1" applyFill="1" applyBorder="1" applyAlignment="1">
      <alignment horizontal="justify" vertical="center" shrinkToFit="1"/>
    </xf>
    <xf numFmtId="0" fontId="27" fillId="0" borderId="17" xfId="0" applyFont="1" applyBorder="1" applyAlignment="1">
      <alignment/>
    </xf>
    <xf numFmtId="3" fontId="0" fillId="0" borderId="0" xfId="0" applyNumberFormat="1" applyAlignment="1">
      <alignment/>
    </xf>
    <xf numFmtId="49" fontId="28" fillId="0" borderId="19" xfId="0" applyNumberFormat="1" applyFont="1" applyFill="1" applyBorder="1" applyAlignment="1">
      <alignment vertical="center" shrinkToFit="1"/>
    </xf>
    <xf numFmtId="3" fontId="24" fillId="0" borderId="26" xfId="57" applyNumberFormat="1" applyFont="1" applyFill="1" applyBorder="1" applyAlignment="1">
      <alignment horizontal="left" vertical="center" wrapText="1"/>
      <protection/>
    </xf>
    <xf numFmtId="3" fontId="24" fillId="0" borderId="18" xfId="57" applyNumberFormat="1" applyFont="1" applyFill="1" applyBorder="1" applyAlignment="1">
      <alignment horizontal="center" vertical="center" wrapText="1"/>
      <protection/>
    </xf>
    <xf numFmtId="3" fontId="24" fillId="0" borderId="14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right" vertical="center"/>
      <protection/>
    </xf>
    <xf numFmtId="1" fontId="33" fillId="0" borderId="24" xfId="57" applyNumberFormat="1" applyFont="1" applyFill="1" applyBorder="1" applyAlignment="1">
      <alignment horizontal="right" vertical="center"/>
      <protection/>
    </xf>
    <xf numFmtId="1" fontId="33" fillId="0" borderId="20" xfId="57" applyNumberFormat="1" applyFont="1" applyFill="1" applyBorder="1" applyAlignment="1">
      <alignment horizontal="right" vertical="center"/>
      <protection/>
    </xf>
    <xf numFmtId="1" fontId="33" fillId="0" borderId="22" xfId="57" applyNumberFormat="1" applyFont="1" applyFill="1" applyBorder="1" applyAlignment="1">
      <alignment horizontal="right" vertical="center"/>
      <protection/>
    </xf>
    <xf numFmtId="3" fontId="34" fillId="0" borderId="23" xfId="57" applyNumberFormat="1" applyFont="1" applyFill="1" applyBorder="1" applyAlignment="1">
      <alignment horizontal="center" vertical="center"/>
      <protection/>
    </xf>
    <xf numFmtId="3" fontId="37" fillId="0" borderId="0" xfId="57" applyNumberFormat="1" applyFont="1" applyFill="1" applyAlignment="1">
      <alignment vertical="center"/>
      <protection/>
    </xf>
    <xf numFmtId="3" fontId="36" fillId="0" borderId="24" xfId="57" applyNumberFormat="1" applyFont="1" applyFill="1" applyBorder="1" applyAlignment="1">
      <alignment horizontal="left" vertical="center" indent="2"/>
      <protection/>
    </xf>
    <xf numFmtId="1" fontId="14" fillId="0" borderId="32" xfId="57" applyNumberFormat="1" applyFont="1" applyFill="1" applyBorder="1" applyAlignment="1">
      <alignment horizontal="right" vertical="center"/>
      <protection/>
    </xf>
    <xf numFmtId="1" fontId="14" fillId="0" borderId="30" xfId="57" applyNumberFormat="1" applyFont="1" applyFill="1" applyBorder="1" applyAlignment="1">
      <alignment horizontal="right" vertical="center"/>
      <protection/>
    </xf>
    <xf numFmtId="3" fontId="36" fillId="0" borderId="30" xfId="57" applyNumberFormat="1" applyFont="1" applyFill="1" applyBorder="1" applyAlignment="1">
      <alignment horizontal="left" vertical="center" indent="2"/>
      <protection/>
    </xf>
    <xf numFmtId="1" fontId="14" fillId="0" borderId="18" xfId="57" applyNumberFormat="1" applyFont="1" applyFill="1" applyBorder="1" applyAlignment="1">
      <alignment horizontal="right" vertical="center"/>
      <protection/>
    </xf>
    <xf numFmtId="1" fontId="14" fillId="0" borderId="28" xfId="57" applyNumberFormat="1" applyFont="1" applyFill="1" applyBorder="1" applyAlignment="1">
      <alignment horizontal="right" vertical="center"/>
      <protection/>
    </xf>
    <xf numFmtId="1" fontId="35" fillId="0" borderId="30" xfId="57" applyNumberFormat="1" applyFont="1" applyFill="1" applyBorder="1" applyAlignment="1">
      <alignment horizontal="right" vertical="center"/>
      <protection/>
    </xf>
    <xf numFmtId="1" fontId="14" fillId="0" borderId="22" xfId="57" applyNumberFormat="1" applyFont="1" applyFill="1" applyBorder="1" applyAlignment="1">
      <alignment horizontal="right" vertical="center"/>
      <protection/>
    </xf>
    <xf numFmtId="1" fontId="14" fillId="0" borderId="26" xfId="57" applyNumberFormat="1" applyFont="1" applyFill="1" applyBorder="1" applyAlignment="1">
      <alignment horizontal="right" vertical="center"/>
      <protection/>
    </xf>
    <xf numFmtId="3" fontId="35" fillId="0" borderId="23" xfId="57" applyNumberFormat="1" applyFont="1" applyFill="1" applyBorder="1" applyAlignment="1">
      <alignment horizontal="center" vertical="center"/>
      <protection/>
    </xf>
    <xf numFmtId="1" fontId="35" fillId="0" borderId="24" xfId="57" applyNumberFormat="1" applyFont="1" applyFill="1" applyBorder="1" applyAlignment="1">
      <alignment horizontal="right" vertical="center"/>
      <protection/>
    </xf>
    <xf numFmtId="1" fontId="14" fillId="0" borderId="24" xfId="57" applyNumberFormat="1" applyFont="1" applyFill="1" applyBorder="1" applyAlignment="1">
      <alignment horizontal="right" vertical="center"/>
      <protection/>
    </xf>
    <xf numFmtId="1" fontId="14" fillId="0" borderId="26" xfId="57" applyNumberFormat="1" applyFont="1" applyFill="1" applyBorder="1" applyAlignment="1">
      <alignment horizontal="right" vertical="center"/>
      <protection/>
    </xf>
    <xf numFmtId="0" fontId="27" fillId="0" borderId="17" xfId="0" applyFont="1" applyBorder="1" applyAlignment="1">
      <alignment wrapText="1"/>
    </xf>
    <xf numFmtId="49" fontId="27" fillId="0" borderId="18" xfId="0" applyNumberFormat="1" applyFont="1" applyFill="1" applyBorder="1" applyAlignment="1">
      <alignment vertical="center" wrapText="1"/>
    </xf>
    <xf numFmtId="3" fontId="34" fillId="0" borderId="31" xfId="57" applyNumberFormat="1" applyFont="1" applyFill="1" applyBorder="1" applyAlignment="1">
      <alignment horizontal="center" vertical="center"/>
      <protection/>
    </xf>
    <xf numFmtId="1" fontId="35" fillId="0" borderId="32" xfId="57" applyNumberFormat="1" applyFont="1" applyFill="1" applyBorder="1" applyAlignment="1">
      <alignment horizontal="right" vertical="center"/>
      <protection/>
    </xf>
    <xf numFmtId="3" fontId="22" fillId="0" borderId="30" xfId="57" applyNumberFormat="1" applyFont="1" applyFill="1" applyBorder="1" applyAlignment="1">
      <alignment vertical="center" shrinkToFit="1"/>
      <protection/>
    </xf>
    <xf numFmtId="1" fontId="14" fillId="0" borderId="20" xfId="57" applyNumberFormat="1" applyFont="1" applyFill="1" applyBorder="1" applyAlignment="1">
      <alignment horizontal="right" vertical="center"/>
      <protection/>
    </xf>
    <xf numFmtId="3" fontId="24" fillId="0" borderId="20" xfId="57" applyNumberFormat="1" applyFont="1" applyFill="1" applyBorder="1" applyAlignment="1">
      <alignment vertical="center" shrinkToFit="1"/>
      <protection/>
    </xf>
    <xf numFmtId="1" fontId="16" fillId="0" borderId="26" xfId="57" applyNumberFormat="1" applyFont="1" applyFill="1" applyBorder="1" applyAlignment="1">
      <alignment horizontal="right" vertical="center"/>
      <protection/>
    </xf>
    <xf numFmtId="3" fontId="32" fillId="0" borderId="0" xfId="0" applyNumberFormat="1" applyFont="1" applyFill="1" applyAlignment="1">
      <alignment vertical="center"/>
    </xf>
    <xf numFmtId="1" fontId="14" fillId="0" borderId="14" xfId="57" applyNumberFormat="1" applyFont="1" applyFill="1" applyBorder="1" applyAlignment="1">
      <alignment horizontal="right" vertical="center"/>
      <protection/>
    </xf>
    <xf numFmtId="3" fontId="22" fillId="0" borderId="28" xfId="57" applyNumberFormat="1" applyFont="1" applyFill="1" applyBorder="1" applyAlignment="1">
      <alignment horizontal="left" vertical="center" wrapText="1" indent="1"/>
      <protection/>
    </xf>
    <xf numFmtId="3" fontId="38" fillId="0" borderId="0" xfId="57" applyNumberFormat="1" applyFont="1" applyFill="1" applyAlignment="1">
      <alignment vertical="center"/>
      <protection/>
    </xf>
    <xf numFmtId="164" fontId="14" fillId="0" borderId="32" xfId="57" applyNumberFormat="1" applyFont="1" applyFill="1" applyBorder="1" applyAlignment="1">
      <alignment horizontal="center" vertical="center"/>
      <protection/>
    </xf>
    <xf numFmtId="1" fontId="35" fillId="0" borderId="32" xfId="57" applyNumberFormat="1" applyFont="1" applyFill="1" applyBorder="1" applyAlignment="1">
      <alignment horizontal="right" vertical="center"/>
      <protection/>
    </xf>
    <xf numFmtId="3" fontId="14" fillId="0" borderId="24" xfId="57" applyNumberFormat="1" applyFont="1" applyFill="1" applyBorder="1" applyAlignment="1">
      <alignment horizontal="center" vertical="center"/>
      <protection/>
    </xf>
    <xf numFmtId="3" fontId="14" fillId="0" borderId="14" xfId="57" applyNumberFormat="1" applyFont="1" applyFill="1" applyBorder="1" applyAlignment="1">
      <alignment horizontal="center" vertical="center"/>
      <protection/>
    </xf>
    <xf numFmtId="3" fontId="14" fillId="0" borderId="22" xfId="57" applyNumberFormat="1" applyFont="1" applyFill="1" applyBorder="1" applyAlignment="1">
      <alignment horizontal="center" vertical="center"/>
      <protection/>
    </xf>
    <xf numFmtId="3" fontId="14" fillId="0" borderId="22" xfId="57" applyNumberFormat="1" applyFont="1" applyFill="1" applyBorder="1" applyAlignment="1">
      <alignment horizontal="center" vertical="center"/>
      <protection/>
    </xf>
    <xf numFmtId="3" fontId="14" fillId="0" borderId="26" xfId="57" applyNumberFormat="1" applyFont="1" applyFill="1" applyBorder="1" applyAlignment="1">
      <alignment horizontal="center" vertical="center"/>
      <protection/>
    </xf>
    <xf numFmtId="3" fontId="14" fillId="0" borderId="26" xfId="57" applyNumberFormat="1" applyFont="1" applyFill="1" applyBorder="1" applyAlignment="1">
      <alignment horizontal="center" vertical="center"/>
      <protection/>
    </xf>
    <xf numFmtId="0" fontId="6" fillId="0" borderId="36" xfId="0" applyFont="1" applyFill="1" applyBorder="1" applyAlignment="1">
      <alignment vertical="center" shrinkToFit="1"/>
    </xf>
    <xf numFmtId="49" fontId="28" fillId="0" borderId="18" xfId="0" applyNumberFormat="1" applyFont="1" applyFill="1" applyBorder="1" applyAlignment="1">
      <alignment vertical="center" wrapText="1"/>
    </xf>
    <xf numFmtId="3" fontId="24" fillId="0" borderId="37" xfId="57" applyNumberFormat="1" applyFont="1" applyFill="1" applyBorder="1" applyAlignment="1">
      <alignment horizontal="right" vertical="center"/>
      <protection/>
    </xf>
    <xf numFmtId="0" fontId="28" fillId="0" borderId="18" xfId="0" applyFont="1" applyBorder="1" applyAlignment="1">
      <alignment horizontal="left" vertical="center" shrinkToFit="1"/>
    </xf>
    <xf numFmtId="0" fontId="40" fillId="0" borderId="0" xfId="0" applyFont="1" applyFill="1" applyBorder="1" applyAlignment="1">
      <alignment vertical="center" shrinkToFit="1"/>
    </xf>
    <xf numFmtId="0" fontId="28" fillId="0" borderId="19" xfId="0" applyFont="1" applyBorder="1" applyAlignment="1">
      <alignment horizontal="left" vertical="center" shrinkToFit="1"/>
    </xf>
    <xf numFmtId="3" fontId="16" fillId="0" borderId="26" xfId="57" applyNumberFormat="1" applyFont="1" applyFill="1" applyBorder="1" applyAlignment="1">
      <alignment horizontal="center" vertical="center"/>
      <protection/>
    </xf>
    <xf numFmtId="1" fontId="16" fillId="0" borderId="26" xfId="57" applyNumberFormat="1" applyFont="1" applyFill="1" applyBorder="1" applyAlignment="1">
      <alignment horizontal="right" vertical="center"/>
      <protection/>
    </xf>
    <xf numFmtId="3" fontId="24" fillId="0" borderId="26" xfId="57" applyNumberFormat="1" applyFont="1" applyFill="1" applyBorder="1" applyAlignment="1">
      <alignment horizontal="left" vertical="center"/>
      <protection/>
    </xf>
    <xf numFmtId="3" fontId="16" fillId="0" borderId="20" xfId="57" applyNumberFormat="1" applyFont="1" applyFill="1" applyBorder="1" applyAlignment="1">
      <alignment horizontal="center" vertical="center"/>
      <protection/>
    </xf>
    <xf numFmtId="1" fontId="16" fillId="0" borderId="20" xfId="57" applyNumberFormat="1" applyFont="1" applyFill="1" applyBorder="1" applyAlignment="1">
      <alignment horizontal="right" vertical="center"/>
      <protection/>
    </xf>
    <xf numFmtId="49" fontId="27" fillId="0" borderId="19" xfId="0" applyNumberFormat="1" applyFont="1" applyFill="1" applyBorder="1" applyAlignment="1">
      <alignment vertical="center" wrapText="1"/>
    </xf>
    <xf numFmtId="3" fontId="22" fillId="0" borderId="18" xfId="57" applyNumberFormat="1" applyFont="1" applyFill="1" applyBorder="1" applyAlignment="1">
      <alignment horizontal="left" vertical="center" wrapText="1" indent="1"/>
      <protection/>
    </xf>
    <xf numFmtId="1" fontId="14" fillId="0" borderId="30" xfId="57" applyNumberFormat="1" applyFont="1" applyFill="1" applyBorder="1" applyAlignment="1">
      <alignment horizontal="right" vertical="center"/>
      <protection/>
    </xf>
    <xf numFmtId="0" fontId="41" fillId="0" borderId="0" xfId="0" applyFont="1" applyAlignment="1">
      <alignment/>
    </xf>
    <xf numFmtId="3" fontId="35" fillId="0" borderId="29" xfId="57" applyNumberFormat="1" applyFont="1" applyFill="1" applyBorder="1" applyAlignment="1">
      <alignment horizontal="left" vertical="center"/>
      <protection/>
    </xf>
    <xf numFmtId="3" fontId="35" fillId="0" borderId="30" xfId="57" applyNumberFormat="1" applyFont="1" applyFill="1" applyBorder="1" applyAlignment="1">
      <alignment horizontal="left" vertical="center" indent="2"/>
      <protection/>
    </xf>
    <xf numFmtId="3" fontId="22" fillId="0" borderId="32" xfId="57" applyNumberFormat="1" applyFont="1" applyFill="1" applyBorder="1" applyAlignment="1">
      <alignment horizontal="left" vertical="center" indent="1" shrinkToFit="1"/>
      <protection/>
    </xf>
    <xf numFmtId="3" fontId="13" fillId="0" borderId="0" xfId="0" applyNumberFormat="1" applyFont="1" applyFill="1" applyAlignment="1">
      <alignment vertical="center"/>
    </xf>
    <xf numFmtId="4" fontId="24" fillId="0" borderId="38" xfId="57" applyNumberFormat="1" applyFont="1" applyFill="1" applyBorder="1" applyAlignment="1">
      <alignment horizontal="center" vertical="center"/>
      <protection/>
    </xf>
    <xf numFmtId="4" fontId="24" fillId="0" borderId="39" xfId="57" applyNumberFormat="1" applyFont="1" applyFill="1" applyBorder="1" applyAlignment="1">
      <alignment horizontal="center" vertical="center"/>
      <protection/>
    </xf>
    <xf numFmtId="4" fontId="24" fillId="0" borderId="40" xfId="57" applyNumberFormat="1" applyFont="1" applyFill="1" applyBorder="1" applyAlignment="1">
      <alignment horizontal="right" vertical="center"/>
      <protection/>
    </xf>
    <xf numFmtId="49" fontId="27" fillId="0" borderId="18" xfId="0" applyNumberFormat="1" applyFont="1" applyFill="1" applyBorder="1" applyAlignment="1">
      <alignment horizontal="justify" vertical="center" shrinkToFit="1"/>
    </xf>
    <xf numFmtId="1" fontId="14" fillId="0" borderId="22" xfId="57" applyNumberFormat="1" applyFont="1" applyFill="1" applyBorder="1" applyAlignment="1">
      <alignment horizontal="right" vertical="center"/>
      <protection/>
    </xf>
    <xf numFmtId="3" fontId="9" fillId="0" borderId="0" xfId="0" applyNumberFormat="1" applyFont="1" applyFill="1" applyAlignment="1">
      <alignment vertical="center" shrinkToFit="1"/>
    </xf>
    <xf numFmtId="3" fontId="10" fillId="0" borderId="0" xfId="0" applyNumberFormat="1" applyFont="1" applyFill="1" applyAlignment="1">
      <alignment shrinkToFit="1"/>
    </xf>
    <xf numFmtId="0" fontId="17" fillId="0" borderId="41" xfId="0" applyFont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shrinkToFit="1"/>
    </xf>
    <xf numFmtId="1" fontId="23" fillId="0" borderId="0" xfId="0" applyNumberFormat="1" applyFont="1" applyFill="1" applyBorder="1" applyAlignment="1" quotePrefix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shrinkToFit="1"/>
    </xf>
    <xf numFmtId="3" fontId="14" fillId="0" borderId="23" xfId="57" applyNumberFormat="1" applyFont="1" applyFill="1" applyBorder="1" applyAlignment="1">
      <alignment horizontal="left" vertical="center"/>
      <protection/>
    </xf>
    <xf numFmtId="3" fontId="16" fillId="0" borderId="23" xfId="57" applyNumberFormat="1" applyFont="1" applyFill="1" applyBorder="1" applyAlignment="1">
      <alignment horizontal="left" vertical="center"/>
      <protection/>
    </xf>
    <xf numFmtId="1" fontId="16" fillId="0" borderId="24" xfId="57" applyNumberFormat="1" applyFont="1" applyFill="1" applyBorder="1" applyAlignment="1">
      <alignment horizontal="right" vertical="center"/>
      <protection/>
    </xf>
    <xf numFmtId="3" fontId="16" fillId="0" borderId="24" xfId="57" applyNumberFormat="1" applyFont="1" applyFill="1" applyBorder="1" applyAlignment="1">
      <alignment horizontal="left" vertical="center"/>
      <protection/>
    </xf>
    <xf numFmtId="165" fontId="14" fillId="0" borderId="30" xfId="57" applyNumberFormat="1" applyFont="1" applyFill="1" applyBorder="1" applyAlignment="1">
      <alignment horizontal="center" vertical="center"/>
      <protection/>
    </xf>
    <xf numFmtId="165" fontId="35" fillId="0" borderId="30" xfId="57" applyNumberFormat="1" applyFont="1" applyFill="1" applyBorder="1" applyAlignment="1">
      <alignment horizontal="center" vertical="center"/>
      <protection/>
    </xf>
    <xf numFmtId="165" fontId="16" fillId="0" borderId="24" xfId="57" applyNumberFormat="1" applyFont="1" applyFill="1" applyBorder="1" applyAlignment="1">
      <alignment horizontal="center" vertical="center"/>
      <protection/>
    </xf>
    <xf numFmtId="165" fontId="14" fillId="0" borderId="24" xfId="57" applyNumberFormat="1" applyFont="1" applyFill="1" applyBorder="1" applyAlignment="1">
      <alignment horizontal="center" vertical="center"/>
      <protection/>
    </xf>
    <xf numFmtId="3" fontId="24" fillId="0" borderId="30" xfId="57" applyNumberFormat="1" applyFont="1" applyFill="1" applyBorder="1" applyAlignment="1">
      <alignment horizontal="left" vertical="center" indent="1"/>
      <protection/>
    </xf>
    <xf numFmtId="3" fontId="36" fillId="0" borderId="32" xfId="57" applyNumberFormat="1" applyFont="1" applyFill="1" applyBorder="1" applyAlignment="1">
      <alignment horizontal="left" vertical="center" indent="2"/>
      <protection/>
    </xf>
    <xf numFmtId="1" fontId="14" fillId="0" borderId="28" xfId="57" applyNumberFormat="1" applyFont="1" applyFill="1" applyBorder="1" applyAlignment="1">
      <alignment horizontal="right" vertical="center"/>
      <protection/>
    </xf>
    <xf numFmtId="3" fontId="14" fillId="0" borderId="31" xfId="57" applyNumberFormat="1" applyFont="1" applyFill="1" applyBorder="1" applyAlignment="1">
      <alignment horizontal="center" vertical="center"/>
      <protection/>
    </xf>
    <xf numFmtId="1" fontId="14" fillId="0" borderId="32" xfId="57" applyNumberFormat="1" applyFont="1" applyFill="1" applyBorder="1" applyAlignment="1">
      <alignment horizontal="right" vertical="center"/>
      <protection/>
    </xf>
    <xf numFmtId="3" fontId="16" fillId="0" borderId="44" xfId="57" applyNumberFormat="1" applyFont="1" applyFill="1" applyBorder="1" applyAlignment="1">
      <alignment horizontal="center" vertical="center"/>
      <protection/>
    </xf>
    <xf numFmtId="3" fontId="24" fillId="0" borderId="45" xfId="57" applyNumberFormat="1" applyFont="1" applyFill="1" applyBorder="1" applyAlignment="1">
      <alignment horizontal="left" vertical="center" indent="1"/>
      <protection/>
    </xf>
    <xf numFmtId="3" fontId="14" fillId="0" borderId="24" xfId="57" applyNumberFormat="1" applyFont="1" applyFill="1" applyBorder="1" applyAlignment="1">
      <alignment horizontal="left" vertical="center" indent="1"/>
      <protection/>
    </xf>
    <xf numFmtId="1" fontId="25" fillId="0" borderId="0" xfId="0" applyNumberFormat="1" applyFont="1" applyFill="1" applyBorder="1" applyAlignment="1">
      <alignment horizontal="center" vertical="center" shrinkToFit="1"/>
    </xf>
    <xf numFmtId="0" fontId="28" fillId="0" borderId="46" xfId="0" applyFont="1" applyBorder="1" applyAlignment="1">
      <alignment horizontal="left" vertical="center" shrinkToFit="1"/>
    </xf>
    <xf numFmtId="49" fontId="27" fillId="0" borderId="47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Alignment="1">
      <alignment vertical="center" shrinkToFit="1"/>
    </xf>
    <xf numFmtId="3" fontId="54" fillId="0" borderId="0" xfId="57" applyNumberFormat="1" applyFont="1" applyFill="1" applyAlignment="1">
      <alignment vertical="center"/>
      <protection/>
    </xf>
    <xf numFmtId="1" fontId="54" fillId="0" borderId="0" xfId="57" applyNumberFormat="1" applyFont="1" applyFill="1" applyAlignment="1">
      <alignment vertical="center"/>
      <protection/>
    </xf>
    <xf numFmtId="3" fontId="55" fillId="0" borderId="0" xfId="57" applyNumberFormat="1" applyFont="1" applyFill="1" applyBorder="1" applyAlignment="1">
      <alignment vertical="center"/>
      <protection/>
    </xf>
    <xf numFmtId="3" fontId="54" fillId="0" borderId="0" xfId="57" applyNumberFormat="1" applyFont="1" applyFill="1" applyBorder="1" applyAlignment="1">
      <alignment vertical="center"/>
      <protection/>
    </xf>
    <xf numFmtId="4" fontId="55" fillId="0" borderId="0" xfId="57" applyNumberFormat="1" applyFont="1" applyFill="1" applyBorder="1" applyAlignment="1">
      <alignment horizontal="right" vertical="center"/>
      <protection/>
    </xf>
    <xf numFmtId="4" fontId="55" fillId="0" borderId="37" xfId="57" applyNumberFormat="1" applyFont="1" applyFill="1" applyBorder="1" applyAlignment="1">
      <alignment horizontal="right" vertical="center"/>
      <protection/>
    </xf>
    <xf numFmtId="4" fontId="55" fillId="0" borderId="40" xfId="57" applyNumberFormat="1" applyFont="1" applyFill="1" applyBorder="1" applyAlignment="1">
      <alignment horizontal="right" vertical="center"/>
      <protection/>
    </xf>
    <xf numFmtId="4" fontId="55" fillId="0" borderId="48" xfId="57" applyNumberFormat="1" applyFont="1" applyFill="1" applyBorder="1" applyAlignment="1">
      <alignment horizontal="right" vertical="center"/>
      <protection/>
    </xf>
    <xf numFmtId="4" fontId="55" fillId="0" borderId="49" xfId="57" applyNumberFormat="1" applyFont="1" applyFill="1" applyBorder="1" applyAlignment="1">
      <alignment horizontal="right" vertical="center"/>
      <protection/>
    </xf>
    <xf numFmtId="4" fontId="55" fillId="0" borderId="38" xfId="57" applyNumberFormat="1" applyFont="1" applyFill="1" applyBorder="1" applyAlignment="1">
      <alignment horizontal="right" vertical="center"/>
      <protection/>
    </xf>
    <xf numFmtId="3" fontId="54" fillId="0" borderId="30" xfId="57" applyNumberFormat="1" applyFont="1" applyFill="1" applyBorder="1" applyAlignment="1">
      <alignment horizontal="right" vertical="center"/>
      <protection/>
    </xf>
    <xf numFmtId="4" fontId="55" fillId="0" borderId="50" xfId="57" applyNumberFormat="1" applyFont="1" applyFill="1" applyBorder="1" applyAlignment="1">
      <alignment horizontal="right" vertical="center"/>
      <protection/>
    </xf>
    <xf numFmtId="3" fontId="54" fillId="0" borderId="30" xfId="57" applyNumberFormat="1" applyFont="1" applyFill="1" applyBorder="1" applyAlignment="1">
      <alignment vertical="center"/>
      <protection/>
    </xf>
    <xf numFmtId="3" fontId="54" fillId="0" borderId="32" xfId="57" applyNumberFormat="1" applyFont="1" applyFill="1" applyBorder="1" applyAlignment="1">
      <alignment horizontal="right" vertical="center"/>
      <protection/>
    </xf>
    <xf numFmtId="3" fontId="54" fillId="0" borderId="32" xfId="57" applyNumberFormat="1" applyFont="1" applyFill="1" applyBorder="1" applyAlignment="1">
      <alignment vertical="center"/>
      <protection/>
    </xf>
    <xf numFmtId="3" fontId="54" fillId="0" borderId="18" xfId="57" applyNumberFormat="1" applyFont="1" applyFill="1" applyBorder="1" applyAlignment="1">
      <alignment horizontal="right" vertical="center"/>
      <protection/>
    </xf>
    <xf numFmtId="3" fontId="54" fillId="0" borderId="18" xfId="57" applyNumberFormat="1" applyFont="1" applyFill="1" applyBorder="1" applyAlignment="1">
      <alignment vertical="center"/>
      <protection/>
    </xf>
    <xf numFmtId="4" fontId="55" fillId="0" borderId="51" xfId="57" applyNumberFormat="1" applyFont="1" applyFill="1" applyBorder="1" applyAlignment="1">
      <alignment horizontal="right" vertical="center"/>
      <protection/>
    </xf>
    <xf numFmtId="4" fontId="55" fillId="0" borderId="39" xfId="57" applyNumberFormat="1" applyFont="1" applyFill="1" applyBorder="1" applyAlignment="1">
      <alignment horizontal="right" vertical="center"/>
      <protection/>
    </xf>
    <xf numFmtId="4" fontId="56" fillId="0" borderId="52" xfId="57" applyNumberFormat="1" applyFont="1" applyFill="1" applyBorder="1" applyAlignment="1">
      <alignment horizontal="right" vertical="center"/>
      <protection/>
    </xf>
    <xf numFmtId="4" fontId="54" fillId="0" borderId="52" xfId="57" applyNumberFormat="1" applyFont="1" applyFill="1" applyBorder="1" applyAlignment="1">
      <alignment horizontal="right" vertical="center"/>
      <protection/>
    </xf>
    <xf numFmtId="4" fontId="55" fillId="0" borderId="53" xfId="57" applyNumberFormat="1" applyFont="1" applyFill="1" applyBorder="1" applyAlignment="1">
      <alignment horizontal="right" vertical="center"/>
      <protection/>
    </xf>
    <xf numFmtId="4" fontId="55" fillId="0" borderId="52" xfId="57" applyNumberFormat="1" applyFont="1" applyFill="1" applyBorder="1" applyAlignment="1">
      <alignment horizontal="right" vertical="center"/>
      <protection/>
    </xf>
    <xf numFmtId="4" fontId="55" fillId="0" borderId="0" xfId="57" applyNumberFormat="1" applyFont="1" applyFill="1" applyAlignment="1">
      <alignment horizontal="right" vertical="center"/>
      <protection/>
    </xf>
    <xf numFmtId="3" fontId="55" fillId="0" borderId="0" xfId="57" applyNumberFormat="1" applyFont="1" applyFill="1" applyAlignment="1">
      <alignment vertical="center"/>
      <protection/>
    </xf>
    <xf numFmtId="49" fontId="28" fillId="0" borderId="46" xfId="0" applyNumberFormat="1" applyFont="1" applyFill="1" applyBorder="1" applyAlignment="1">
      <alignment vertical="center" shrinkToFit="1"/>
    </xf>
    <xf numFmtId="3" fontId="15" fillId="0" borderId="0" xfId="0" applyNumberFormat="1" applyFont="1" applyFill="1" applyAlignment="1">
      <alignment horizontal="center" vertical="center"/>
    </xf>
    <xf numFmtId="3" fontId="43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horizontal="left" vertical="center"/>
    </xf>
    <xf numFmtId="3" fontId="15" fillId="0" borderId="37" xfId="0" applyNumberFormat="1" applyFont="1" applyFill="1" applyBorder="1" applyAlignment="1">
      <alignment horizontal="center" vertical="center"/>
    </xf>
    <xf numFmtId="3" fontId="27" fillId="0" borderId="37" xfId="0" applyNumberFormat="1" applyFont="1" applyFill="1" applyBorder="1" applyAlignment="1">
      <alignment vertical="center"/>
    </xf>
    <xf numFmtId="3" fontId="27" fillId="0" borderId="37" xfId="0" applyNumberFormat="1" applyFont="1" applyFill="1" applyBorder="1" applyAlignment="1">
      <alignment horizontal="right" vertical="center"/>
    </xf>
    <xf numFmtId="3" fontId="15" fillId="0" borderId="36" xfId="0" applyNumberFormat="1" applyFont="1" applyFill="1" applyBorder="1" applyAlignment="1">
      <alignment horizontal="center" vertical="center"/>
    </xf>
    <xf numFmtId="3" fontId="17" fillId="0" borderId="42" xfId="0" applyNumberFormat="1" applyFont="1" applyFill="1" applyBorder="1" applyAlignment="1">
      <alignment vertical="center"/>
    </xf>
    <xf numFmtId="3" fontId="17" fillId="0" borderId="13" xfId="0" applyNumberFormat="1" applyFont="1" applyFill="1" applyBorder="1" applyAlignment="1">
      <alignment vertical="center"/>
    </xf>
    <xf numFmtId="3" fontId="17" fillId="0" borderId="37" xfId="0" applyNumberFormat="1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15" fillId="0" borderId="42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27" fillId="0" borderId="54" xfId="0" applyNumberFormat="1" applyFont="1" applyFill="1" applyBorder="1" applyAlignment="1">
      <alignment vertical="center"/>
    </xf>
    <xf numFmtId="3" fontId="43" fillId="0" borderId="54" xfId="0" applyNumberFormat="1" applyFont="1" applyFill="1" applyBorder="1" applyAlignment="1">
      <alignment horizontal="left" vertical="center"/>
    </xf>
    <xf numFmtId="3" fontId="43" fillId="0" borderId="55" xfId="0" applyNumberFormat="1" applyFont="1" applyFill="1" applyBorder="1" applyAlignment="1">
      <alignment horizontal="left" vertical="center"/>
    </xf>
    <xf numFmtId="3" fontId="15" fillId="0" borderId="56" xfId="0" applyNumberFormat="1" applyFont="1" applyFill="1" applyBorder="1" applyAlignment="1">
      <alignment horizontal="center" vertical="center"/>
    </xf>
    <xf numFmtId="3" fontId="15" fillId="0" borderId="57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justify" vertical="center"/>
    </xf>
    <xf numFmtId="3" fontId="28" fillId="0" borderId="19" xfId="0" applyNumberFormat="1" applyFont="1" applyFill="1" applyBorder="1" applyAlignment="1">
      <alignment horizontal="right" vertical="center"/>
    </xf>
    <xf numFmtId="3" fontId="28" fillId="0" borderId="58" xfId="0" applyNumberFormat="1" applyFont="1" applyFill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center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39" fillId="0" borderId="19" xfId="0" applyNumberFormat="1" applyFont="1" applyFill="1" applyBorder="1" applyAlignment="1">
      <alignment horizontal="left" vertical="center" indent="1"/>
    </xf>
    <xf numFmtId="3" fontId="39" fillId="0" borderId="19" xfId="0" applyNumberFormat="1" applyFont="1" applyFill="1" applyBorder="1" applyAlignment="1">
      <alignment horizontal="right" vertical="center"/>
    </xf>
    <xf numFmtId="3" fontId="37" fillId="0" borderId="59" xfId="0" applyNumberFormat="1" applyFont="1" applyFill="1" applyBorder="1" applyAlignment="1">
      <alignment horizontal="center" vertical="center"/>
    </xf>
    <xf numFmtId="3" fontId="37" fillId="0" borderId="60" xfId="0" applyNumberFormat="1" applyFont="1" applyFill="1" applyBorder="1" applyAlignment="1">
      <alignment horizontal="center" vertical="center"/>
    </xf>
    <xf numFmtId="3" fontId="15" fillId="0" borderId="60" xfId="0" applyNumberFormat="1" applyFont="1" applyFill="1" applyBorder="1" applyAlignment="1">
      <alignment horizontal="center" vertical="center"/>
    </xf>
    <xf numFmtId="3" fontId="37" fillId="0" borderId="43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3" fontId="57" fillId="0" borderId="0" xfId="0" applyNumberFormat="1" applyFont="1" applyFill="1" applyBorder="1" applyAlignment="1">
      <alignment horizontal="right" vertical="center"/>
    </xf>
    <xf numFmtId="3" fontId="57" fillId="0" borderId="61" xfId="0" applyNumberFormat="1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28" fillId="32" borderId="62" xfId="0" applyNumberFormat="1" applyFont="1" applyFill="1" applyBorder="1" applyAlignment="1">
      <alignment horizontal="right" vertical="center"/>
    </xf>
    <xf numFmtId="3" fontId="38" fillId="0" borderId="10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39" fillId="0" borderId="63" xfId="0" applyNumberFormat="1" applyFont="1" applyFill="1" applyBorder="1" applyAlignment="1">
      <alignment horizontal="right" vertical="center"/>
    </xf>
    <xf numFmtId="3" fontId="39" fillId="32" borderId="62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7" fillId="32" borderId="64" xfId="0" applyNumberFormat="1" applyFont="1" applyFill="1" applyBorder="1" applyAlignment="1">
      <alignment horizontal="right" vertical="center"/>
    </xf>
    <xf numFmtId="3" fontId="27" fillId="0" borderId="65" xfId="0" applyNumberFormat="1" applyFont="1" applyFill="1" applyBorder="1" applyAlignment="1">
      <alignment horizontal="right" vertical="center"/>
    </xf>
    <xf numFmtId="49" fontId="15" fillId="0" borderId="15" xfId="0" applyNumberFormat="1" applyFont="1" applyFill="1" applyBorder="1" applyAlignment="1">
      <alignment horizontal="center" vertical="center"/>
    </xf>
    <xf numFmtId="3" fontId="27" fillId="0" borderId="19" xfId="0" applyNumberFormat="1" applyFont="1" applyFill="1" applyBorder="1" applyAlignment="1">
      <alignment vertical="center" wrapText="1"/>
    </xf>
    <xf numFmtId="3" fontId="27" fillId="0" borderId="19" xfId="0" applyNumberFormat="1" applyFont="1" applyFill="1" applyBorder="1" applyAlignment="1">
      <alignment horizontal="right" vertical="center"/>
    </xf>
    <xf numFmtId="3" fontId="27" fillId="32" borderId="62" xfId="0" applyNumberFormat="1" applyFont="1" applyFill="1" applyBorder="1" applyAlignment="1">
      <alignment horizontal="right" vertical="center"/>
    </xf>
    <xf numFmtId="3" fontId="27" fillId="0" borderId="46" xfId="0" applyNumberFormat="1" applyFont="1" applyFill="1" applyBorder="1" applyAlignment="1">
      <alignment vertical="center"/>
    </xf>
    <xf numFmtId="3" fontId="27" fillId="0" borderId="46" xfId="0" applyNumberFormat="1" applyFont="1" applyFill="1" applyBorder="1" applyAlignment="1">
      <alignment horizontal="right" vertical="center"/>
    </xf>
    <xf numFmtId="3" fontId="27" fillId="32" borderId="66" xfId="0" applyNumberFormat="1" applyFont="1" applyFill="1" applyBorder="1" applyAlignment="1">
      <alignment horizontal="right" vertical="center"/>
    </xf>
    <xf numFmtId="3" fontId="27" fillId="0" borderId="18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3" fontId="27" fillId="0" borderId="63" xfId="0" applyNumberFormat="1" applyFont="1" applyFill="1" applyBorder="1" applyAlignment="1">
      <alignment horizontal="right" vertical="center"/>
    </xf>
    <xf numFmtId="49" fontId="15" fillId="0" borderId="18" xfId="0" applyNumberFormat="1" applyFont="1" applyFill="1" applyBorder="1" applyAlignment="1">
      <alignment horizontal="center" vertical="center"/>
    </xf>
    <xf numFmtId="3" fontId="27" fillId="0" borderId="17" xfId="58" applyNumberFormat="1" applyFont="1" applyFill="1" applyBorder="1" applyAlignment="1">
      <alignment horizontal="left" vertical="center" wrapText="1"/>
      <protection/>
    </xf>
    <xf numFmtId="3" fontId="27" fillId="0" borderId="17" xfId="0" applyNumberFormat="1" applyFont="1" applyFill="1" applyBorder="1" applyAlignment="1">
      <alignment horizontal="center" vertical="center"/>
    </xf>
    <xf numFmtId="3" fontId="57" fillId="32" borderId="19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18" xfId="0" applyNumberFormat="1" applyFont="1" applyFill="1" applyBorder="1" applyAlignment="1">
      <alignment horizontal="center" vertical="center"/>
    </xf>
    <xf numFmtId="3" fontId="27" fillId="0" borderId="67" xfId="0" applyNumberFormat="1" applyFont="1" applyFill="1" applyBorder="1" applyAlignment="1">
      <alignment vertical="center" wrapText="1"/>
    </xf>
    <xf numFmtId="3" fontId="27" fillId="0" borderId="19" xfId="0" applyNumberFormat="1" applyFont="1" applyFill="1" applyBorder="1" applyAlignment="1">
      <alignment horizontal="left" vertical="top" readingOrder="1"/>
    </xf>
    <xf numFmtId="3" fontId="17" fillId="0" borderId="1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left" vertical="center"/>
    </xf>
    <xf numFmtId="3" fontId="27" fillId="0" borderId="19" xfId="0" applyNumberFormat="1" applyFont="1" applyFill="1" applyBorder="1" applyAlignment="1">
      <alignment horizontal="left" vertical="center"/>
    </xf>
    <xf numFmtId="3" fontId="27" fillId="0" borderId="17" xfId="0" applyNumberFormat="1" applyFont="1" applyFill="1" applyBorder="1" applyAlignment="1">
      <alignment vertical="center"/>
    </xf>
    <xf numFmtId="3" fontId="17" fillId="0" borderId="59" xfId="0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horizontal="center" vertical="center"/>
    </xf>
    <xf numFmtId="3" fontId="27" fillId="0" borderId="17" xfId="0" applyNumberFormat="1" applyFont="1" applyFill="1" applyBorder="1" applyAlignment="1">
      <alignment horizontal="left" vertical="center"/>
    </xf>
    <xf numFmtId="3" fontId="15" fillId="0" borderId="46" xfId="0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47" xfId="0" applyNumberFormat="1" applyFont="1" applyFill="1" applyBorder="1" applyAlignment="1">
      <alignment horizontal="center" vertical="center"/>
    </xf>
    <xf numFmtId="3" fontId="28" fillId="0" borderId="68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7" fillId="0" borderId="69" xfId="0" applyNumberFormat="1" applyFont="1" applyFill="1" applyBorder="1" applyAlignment="1">
      <alignment horizontal="center" vertical="center"/>
    </xf>
    <xf numFmtId="3" fontId="57" fillId="32" borderId="70" xfId="0" applyNumberFormat="1" applyFont="1" applyFill="1" applyBorder="1" applyAlignment="1">
      <alignment horizontal="right" vertical="center"/>
    </xf>
    <xf numFmtId="3" fontId="17" fillId="0" borderId="71" xfId="0" applyNumberFormat="1" applyFont="1" applyFill="1" applyBorder="1" applyAlignment="1">
      <alignment horizontal="center" vertical="center"/>
    </xf>
    <xf numFmtId="3" fontId="15" fillId="0" borderId="72" xfId="0" applyNumberFormat="1" applyFont="1" applyFill="1" applyBorder="1" applyAlignment="1">
      <alignment horizontal="center" vertical="center"/>
    </xf>
    <xf numFmtId="3" fontId="27" fillId="0" borderId="73" xfId="0" applyNumberFormat="1" applyFont="1" applyFill="1" applyBorder="1" applyAlignment="1">
      <alignment horizontal="left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71" xfId="0" applyNumberFormat="1" applyFont="1" applyFill="1" applyBorder="1" applyAlignment="1">
      <alignment horizontal="center" vertical="center"/>
    </xf>
    <xf numFmtId="3" fontId="15" fillId="0" borderId="74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shrinkToFit="1"/>
    </xf>
    <xf numFmtId="2" fontId="27" fillId="0" borderId="0" xfId="0" applyNumberFormat="1" applyFont="1" applyFill="1" applyAlignment="1">
      <alignment shrinkToFit="1"/>
    </xf>
    <xf numFmtId="0" fontId="44" fillId="0" borderId="0" xfId="0" applyFont="1" applyFill="1" applyAlignment="1">
      <alignment horizontal="justify" shrinkToFit="1"/>
    </xf>
    <xf numFmtId="0" fontId="44" fillId="0" borderId="0" xfId="0" applyFont="1" applyFill="1" applyAlignment="1">
      <alignment horizontal="right" shrinkToFit="1"/>
    </xf>
    <xf numFmtId="0" fontId="27" fillId="0" borderId="36" xfId="0" applyFont="1" applyFill="1" applyBorder="1" applyAlignment="1">
      <alignment horizontal="center" shrinkToFit="1"/>
    </xf>
    <xf numFmtId="2" fontId="27" fillId="0" borderId="16" xfId="0" applyNumberFormat="1" applyFont="1" applyFill="1" applyBorder="1" applyAlignment="1">
      <alignment shrinkToFit="1"/>
    </xf>
    <xf numFmtId="0" fontId="27" fillId="0" borderId="20" xfId="0" applyFont="1" applyFill="1" applyBorder="1" applyAlignment="1">
      <alignment horizontal="justify" shrinkToFit="1"/>
    </xf>
    <xf numFmtId="0" fontId="27" fillId="0" borderId="75" xfId="0" applyFont="1" applyFill="1" applyBorder="1" applyAlignment="1">
      <alignment horizont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shrinkToFit="1"/>
    </xf>
    <xf numFmtId="0" fontId="27" fillId="0" borderId="13" xfId="0" applyFont="1" applyFill="1" applyBorder="1" applyAlignment="1">
      <alignment horizontal="center" shrinkToFit="1"/>
    </xf>
    <xf numFmtId="2" fontId="27" fillId="0" borderId="76" xfId="0" applyNumberFormat="1" applyFont="1" applyFill="1" applyBorder="1" applyAlignment="1">
      <alignment shrinkToFit="1"/>
    </xf>
    <xf numFmtId="0" fontId="43" fillId="0" borderId="14" xfId="0" applyFont="1" applyFill="1" applyBorder="1" applyAlignment="1">
      <alignment horizontal="justify" shrinkToFit="1"/>
    </xf>
    <xf numFmtId="0" fontId="43" fillId="0" borderId="77" xfId="0" applyFont="1" applyFill="1" applyBorder="1" applyAlignment="1">
      <alignment horizontal="center" shrinkToFit="1"/>
    </xf>
    <xf numFmtId="2" fontId="28" fillId="0" borderId="78" xfId="0" applyNumberFormat="1" applyFont="1" applyFill="1" applyBorder="1" applyAlignment="1">
      <alignment vertical="center" wrapText="1"/>
    </xf>
    <xf numFmtId="3" fontId="27" fillId="0" borderId="78" xfId="0" applyNumberFormat="1" applyFont="1" applyFill="1" applyBorder="1" applyAlignment="1">
      <alignment horizontal="right" vertical="center" shrinkToFit="1"/>
    </xf>
    <xf numFmtId="3" fontId="28" fillId="0" borderId="79" xfId="0" applyNumberFormat="1" applyFont="1" applyFill="1" applyBorder="1" applyAlignment="1">
      <alignment horizontal="right" vertical="center" shrinkToFit="1"/>
    </xf>
    <xf numFmtId="2" fontId="39" fillId="0" borderId="19" xfId="0" applyNumberFormat="1" applyFont="1" applyFill="1" applyBorder="1" applyAlignment="1" quotePrefix="1">
      <alignment horizontal="left" vertical="center" indent="1" shrinkToFit="1"/>
    </xf>
    <xf numFmtId="3" fontId="39" fillId="0" borderId="19" xfId="0" applyNumberFormat="1" applyFont="1" applyFill="1" applyBorder="1" applyAlignment="1">
      <alignment horizontal="right" vertical="center" shrinkToFit="1"/>
    </xf>
    <xf numFmtId="3" fontId="42" fillId="0" borderId="80" xfId="0" applyNumberFormat="1" applyFont="1" applyFill="1" applyBorder="1" applyAlignment="1">
      <alignment horizontal="right" vertical="center" shrinkToFit="1"/>
    </xf>
    <xf numFmtId="2" fontId="28" fillId="0" borderId="19" xfId="0" applyNumberFormat="1" applyFont="1" applyFill="1" applyBorder="1" applyAlignment="1">
      <alignment vertical="center" wrapText="1"/>
    </xf>
    <xf numFmtId="3" fontId="27" fillId="0" borderId="19" xfId="0" applyNumberFormat="1" applyFont="1" applyFill="1" applyBorder="1" applyAlignment="1">
      <alignment horizontal="justify" vertical="center" shrinkToFit="1"/>
    </xf>
    <xf numFmtId="3" fontId="27" fillId="0" borderId="80" xfId="0" applyNumberFormat="1" applyFont="1" applyFill="1" applyBorder="1" applyAlignment="1">
      <alignment horizontal="right" vertical="center" shrinkToFit="1"/>
    </xf>
    <xf numFmtId="0" fontId="27" fillId="0" borderId="10" xfId="0" applyFont="1" applyFill="1" applyBorder="1" applyAlignment="1">
      <alignment horizontal="center" shrinkToFit="1"/>
    </xf>
    <xf numFmtId="2" fontId="27" fillId="0" borderId="46" xfId="0" applyNumberFormat="1" applyFont="1" applyFill="1" applyBorder="1" applyAlignment="1">
      <alignment shrinkToFit="1"/>
    </xf>
    <xf numFmtId="3" fontId="27" fillId="0" borderId="46" xfId="0" applyNumberFormat="1" applyFont="1" applyFill="1" applyBorder="1" applyAlignment="1">
      <alignment horizontal="right" shrinkToFit="1"/>
    </xf>
    <xf numFmtId="3" fontId="27" fillId="32" borderId="46" xfId="0" applyNumberFormat="1" applyFont="1" applyFill="1" applyBorder="1" applyAlignment="1">
      <alignment horizontal="right" shrinkToFit="1"/>
    </xf>
    <xf numFmtId="3" fontId="28" fillId="0" borderId="55" xfId="0" applyNumberFormat="1" applyFont="1" applyFill="1" applyBorder="1" applyAlignment="1">
      <alignment horizontal="right" shrinkToFit="1"/>
    </xf>
    <xf numFmtId="2" fontId="27" fillId="0" borderId="46" xfId="0" applyNumberFormat="1" applyFont="1" applyFill="1" applyBorder="1" applyAlignment="1">
      <alignment horizontal="left" shrinkToFit="1"/>
    </xf>
    <xf numFmtId="2" fontId="27" fillId="0" borderId="19" xfId="0" applyNumberFormat="1" applyFont="1" applyFill="1" applyBorder="1" applyAlignment="1">
      <alignment shrinkToFit="1"/>
    </xf>
    <xf numFmtId="3" fontId="27" fillId="0" borderId="19" xfId="0" applyNumberFormat="1" applyFont="1" applyFill="1" applyBorder="1" applyAlignment="1">
      <alignment horizontal="right" shrinkToFit="1"/>
    </xf>
    <xf numFmtId="3" fontId="27" fillId="32" borderId="19" xfId="0" applyNumberFormat="1" applyFont="1" applyFill="1" applyBorder="1" applyAlignment="1">
      <alignment horizontal="right" shrinkToFit="1"/>
    </xf>
    <xf numFmtId="3" fontId="28" fillId="0" borderId="81" xfId="0" applyNumberFormat="1" applyFont="1" applyFill="1" applyBorder="1" applyAlignment="1">
      <alignment horizontal="right" shrinkToFit="1"/>
    </xf>
    <xf numFmtId="3" fontId="28" fillId="0" borderId="82" xfId="0" applyNumberFormat="1" applyFont="1" applyFill="1" applyBorder="1" applyAlignment="1">
      <alignment horizontal="right" shrinkToFit="1"/>
    </xf>
    <xf numFmtId="3" fontId="28" fillId="0" borderId="81" xfId="0" applyNumberFormat="1" applyFont="1" applyFill="1" applyBorder="1" applyAlignment="1">
      <alignment horizontal="right" vertical="center" shrinkToFit="1"/>
    </xf>
    <xf numFmtId="3" fontId="28" fillId="0" borderId="82" xfId="0" applyNumberFormat="1" applyFont="1" applyFill="1" applyBorder="1" applyAlignment="1">
      <alignment horizontal="right" vertical="center" shrinkToFit="1"/>
    </xf>
    <xf numFmtId="3" fontId="28" fillId="0" borderId="83" xfId="0" applyNumberFormat="1" applyFont="1" applyFill="1" applyBorder="1" applyAlignment="1">
      <alignment horizontal="right" vertical="center" shrinkToFit="1"/>
    </xf>
    <xf numFmtId="2" fontId="28" fillId="0" borderId="11" xfId="0" applyNumberFormat="1" applyFont="1" applyFill="1" applyBorder="1" applyAlignment="1">
      <alignment horizontal="center" vertical="center" shrinkToFit="1"/>
    </xf>
    <xf numFmtId="2" fontId="28" fillId="0" borderId="12" xfId="0" applyNumberFormat="1" applyFont="1" applyFill="1" applyBorder="1" applyAlignment="1">
      <alignment vertical="center" shrinkToFit="1"/>
    </xf>
    <xf numFmtId="3" fontId="28" fillId="0" borderId="12" xfId="0" applyNumberFormat="1" applyFont="1" applyFill="1" applyBorder="1" applyAlignment="1">
      <alignment horizontal="right" vertical="center" shrinkToFit="1"/>
    </xf>
    <xf numFmtId="3" fontId="28" fillId="0" borderId="84" xfId="0" applyNumberFormat="1" applyFont="1" applyFill="1" applyBorder="1" applyAlignment="1">
      <alignment horizontal="right" vertical="center" shrinkToFit="1"/>
    </xf>
    <xf numFmtId="0" fontId="27" fillId="0" borderId="25" xfId="0" applyFont="1" applyFill="1" applyBorder="1" applyAlignment="1">
      <alignment horizontal="center" vertical="center" shrinkToFit="1"/>
    </xf>
    <xf numFmtId="2" fontId="27" fillId="0" borderId="0" xfId="0" applyNumberFormat="1" applyFont="1" applyFill="1" applyBorder="1" applyAlignment="1">
      <alignment vertical="center" wrapText="1"/>
    </xf>
    <xf numFmtId="3" fontId="28" fillId="0" borderId="18" xfId="0" applyNumberFormat="1" applyFont="1" applyFill="1" applyBorder="1" applyAlignment="1">
      <alignment horizontal="right" vertical="center" shrinkToFit="1"/>
    </xf>
    <xf numFmtId="3" fontId="28" fillId="0" borderId="61" xfId="0" applyNumberFormat="1" applyFont="1" applyFill="1" applyBorder="1" applyAlignment="1">
      <alignment horizontal="right" vertical="center" shrinkToFit="1"/>
    </xf>
    <xf numFmtId="2" fontId="27" fillId="0" borderId="37" xfId="0" applyNumberFormat="1" applyFont="1" applyFill="1" applyBorder="1" applyAlignment="1">
      <alignment shrinkToFit="1"/>
    </xf>
    <xf numFmtId="2" fontId="28" fillId="0" borderId="18" xfId="0" applyNumberFormat="1" applyFont="1" applyFill="1" applyBorder="1" applyAlignment="1">
      <alignment vertical="center" shrinkToFit="1"/>
    </xf>
    <xf numFmtId="0" fontId="43" fillId="0" borderId="18" xfId="0" applyFont="1" applyFill="1" applyBorder="1" applyAlignment="1">
      <alignment horizontal="justify" vertical="center" shrinkToFit="1"/>
    </xf>
    <xf numFmtId="0" fontId="43" fillId="0" borderId="61" xfId="0" applyFont="1" applyFill="1" applyBorder="1" applyAlignment="1">
      <alignment horizontal="center" vertical="center" shrinkToFit="1"/>
    </xf>
    <xf numFmtId="3" fontId="28" fillId="0" borderId="83" xfId="0" applyNumberFormat="1" applyFont="1" applyFill="1" applyBorder="1" applyAlignment="1">
      <alignment horizontal="right" shrinkToFit="1"/>
    </xf>
    <xf numFmtId="3" fontId="27" fillId="0" borderId="18" xfId="0" applyNumberFormat="1" applyFont="1" applyFill="1" applyBorder="1" applyAlignment="1">
      <alignment horizontal="right" vertical="center" shrinkToFit="1"/>
    </xf>
    <xf numFmtId="0" fontId="28" fillId="0" borderId="11" xfId="0" applyFont="1" applyFill="1" applyBorder="1" applyAlignment="1">
      <alignment horizontal="center" shrinkToFit="1"/>
    </xf>
    <xf numFmtId="2" fontId="28" fillId="0" borderId="12" xfId="0" applyNumberFormat="1" applyFont="1" applyFill="1" applyBorder="1" applyAlignment="1">
      <alignment shrinkToFit="1"/>
    </xf>
    <xf numFmtId="3" fontId="28" fillId="0" borderId="12" xfId="0" applyNumberFormat="1" applyFont="1" applyFill="1" applyBorder="1" applyAlignment="1">
      <alignment horizontal="right" shrinkToFit="1"/>
    </xf>
    <xf numFmtId="3" fontId="28" fillId="0" borderId="84" xfId="0" applyNumberFormat="1" applyFont="1" applyFill="1" applyBorder="1" applyAlignment="1">
      <alignment horizontal="right" shrinkToFit="1"/>
    </xf>
    <xf numFmtId="0" fontId="28" fillId="0" borderId="25" xfId="0" applyFont="1" applyFill="1" applyBorder="1" applyAlignment="1">
      <alignment horizontal="center" shrinkToFit="1"/>
    </xf>
    <xf numFmtId="2" fontId="28" fillId="0" borderId="19" xfId="0" applyNumberFormat="1" applyFont="1" applyFill="1" applyBorder="1" applyAlignment="1">
      <alignment shrinkToFit="1"/>
    </xf>
    <xf numFmtId="3" fontId="28" fillId="0" borderId="19" xfId="0" applyNumberFormat="1" applyFont="1" applyFill="1" applyBorder="1" applyAlignment="1">
      <alignment horizontal="right" shrinkToFit="1"/>
    </xf>
    <xf numFmtId="3" fontId="28" fillId="0" borderId="80" xfId="0" applyNumberFormat="1" applyFont="1" applyFill="1" applyBorder="1" applyAlignment="1">
      <alignment horizontal="right" shrinkToFit="1"/>
    </xf>
    <xf numFmtId="0" fontId="28" fillId="0" borderId="69" xfId="0" applyFont="1" applyFill="1" applyBorder="1" applyAlignment="1">
      <alignment horizontal="center" shrinkToFit="1"/>
    </xf>
    <xf numFmtId="2" fontId="28" fillId="0" borderId="85" xfId="0" applyNumberFormat="1" applyFont="1" applyFill="1" applyBorder="1" applyAlignment="1">
      <alignment shrinkToFit="1"/>
    </xf>
    <xf numFmtId="3" fontId="28" fillId="0" borderId="85" xfId="0" applyNumberFormat="1" applyFont="1" applyFill="1" applyBorder="1" applyAlignment="1">
      <alignment horizontal="right" shrinkToFit="1"/>
    </xf>
    <xf numFmtId="3" fontId="28" fillId="0" borderId="86" xfId="0" applyNumberFormat="1" applyFont="1" applyFill="1" applyBorder="1" applyAlignment="1">
      <alignment horizontal="right" shrinkToFit="1"/>
    </xf>
    <xf numFmtId="3" fontId="28" fillId="0" borderId="87" xfId="0" applyNumberFormat="1" applyFont="1" applyFill="1" applyBorder="1" applyAlignment="1">
      <alignment horizontal="right" vertical="center" shrinkToFit="1"/>
    </xf>
    <xf numFmtId="3" fontId="28" fillId="0" borderId="88" xfId="0" applyNumberFormat="1" applyFont="1" applyFill="1" applyBorder="1" applyAlignment="1">
      <alignment horizontal="right" vertical="center" shrinkToFit="1"/>
    </xf>
    <xf numFmtId="3" fontId="44" fillId="0" borderId="0" xfId="0" applyNumberFormat="1" applyFont="1" applyFill="1" applyAlignment="1">
      <alignment horizontal="justify" shrinkToFit="1"/>
    </xf>
    <xf numFmtId="0" fontId="45" fillId="0" borderId="0" xfId="0" applyFont="1" applyFill="1" applyAlignment="1">
      <alignment horizontal="justify" shrinkToFit="1"/>
    </xf>
    <xf numFmtId="0" fontId="45" fillId="0" borderId="0" xfId="0" applyFont="1" applyFill="1" applyAlignment="1">
      <alignment horizontal="center" shrinkToFit="1"/>
    </xf>
    <xf numFmtId="0" fontId="31" fillId="0" borderId="0" xfId="0" applyFont="1" applyFill="1" applyAlignment="1">
      <alignment vertical="center" shrinkToFit="1"/>
    </xf>
    <xf numFmtId="0" fontId="27" fillId="0" borderId="0" xfId="0" applyFont="1" applyAlignment="1">
      <alignment/>
    </xf>
    <xf numFmtId="0" fontId="46" fillId="0" borderId="0" xfId="0" applyFont="1" applyFill="1" applyAlignment="1">
      <alignment horizontal="right" vertical="center" shrinkToFit="1"/>
    </xf>
    <xf numFmtId="0" fontId="31" fillId="0" borderId="74" xfId="0" applyFont="1" applyFill="1" applyBorder="1" applyAlignment="1">
      <alignment vertical="center"/>
    </xf>
    <xf numFmtId="0" fontId="31" fillId="0" borderId="54" xfId="0" applyFont="1" applyFill="1" applyBorder="1" applyAlignment="1">
      <alignment vertical="center" wrapText="1"/>
    </xf>
    <xf numFmtId="0" fontId="31" fillId="0" borderId="89" xfId="0" applyFont="1" applyFill="1" applyBorder="1" applyAlignment="1">
      <alignment vertical="center" wrapText="1"/>
    </xf>
    <xf numFmtId="0" fontId="31" fillId="0" borderId="89" xfId="0" applyFont="1" applyFill="1" applyBorder="1" applyAlignment="1" quotePrefix="1">
      <alignment horizontal="left" vertical="center" wrapText="1"/>
    </xf>
    <xf numFmtId="0" fontId="31" fillId="0" borderId="37" xfId="0" applyFont="1" applyFill="1" applyBorder="1" applyAlignment="1">
      <alignment vertical="center" shrinkToFit="1"/>
    </xf>
    <xf numFmtId="0" fontId="31" fillId="0" borderId="90" xfId="0" applyFont="1" applyFill="1" applyBorder="1" applyAlignment="1">
      <alignment vertical="center" shrinkToFit="1"/>
    </xf>
    <xf numFmtId="0" fontId="31" fillId="0" borderId="91" xfId="0" applyFont="1" applyFill="1" applyBorder="1" applyAlignment="1">
      <alignment vertical="center" shrinkToFit="1"/>
    </xf>
    <xf numFmtId="0" fontId="31" fillId="0" borderId="77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42" xfId="0" applyFont="1" applyFill="1" applyBorder="1" applyAlignment="1">
      <alignment vertical="center" shrinkToFit="1"/>
    </xf>
    <xf numFmtId="0" fontId="31" fillId="0" borderId="31" xfId="0" applyFont="1" applyFill="1" applyBorder="1" applyAlignment="1">
      <alignment vertical="center" shrinkToFit="1"/>
    </xf>
    <xf numFmtId="0" fontId="31" fillId="0" borderId="92" xfId="0" applyFont="1" applyFill="1" applyBorder="1" applyAlignment="1">
      <alignment vertical="center" shrinkToFit="1"/>
    </xf>
    <xf numFmtId="0" fontId="31" fillId="0" borderId="61" xfId="0" applyFont="1" applyFill="1" applyBorder="1" applyAlignment="1">
      <alignment vertical="center" shrinkToFit="1"/>
    </xf>
    <xf numFmtId="0" fontId="31" fillId="0" borderId="54" xfId="0" applyFont="1" applyFill="1" applyBorder="1" applyAlignment="1">
      <alignment vertical="center" shrinkToFit="1"/>
    </xf>
    <xf numFmtId="2" fontId="27" fillId="0" borderId="62" xfId="0" applyNumberFormat="1" applyFont="1" applyFill="1" applyBorder="1" applyAlignment="1">
      <alignment wrapText="1"/>
    </xf>
    <xf numFmtId="0" fontId="31" fillId="0" borderId="89" xfId="0" applyFont="1" applyFill="1" applyBorder="1" applyAlignment="1">
      <alignment vertical="center" shrinkToFit="1"/>
    </xf>
    <xf numFmtId="0" fontId="31" fillId="0" borderId="93" xfId="0" applyFont="1" applyFill="1" applyBorder="1" applyAlignment="1">
      <alignment vertical="center" wrapText="1"/>
    </xf>
    <xf numFmtId="3" fontId="27" fillId="0" borderId="64" xfId="0" applyNumberFormat="1" applyFont="1" applyFill="1" applyBorder="1" applyAlignment="1">
      <alignment vertical="center" wrapText="1"/>
    </xf>
    <xf numFmtId="3" fontId="27" fillId="0" borderId="62" xfId="0" applyNumberFormat="1" applyFont="1" applyFill="1" applyBorder="1" applyAlignment="1">
      <alignment horizontal="left" vertical="center" wrapText="1"/>
    </xf>
    <xf numFmtId="0" fontId="31" fillId="0" borderId="94" xfId="0" applyFont="1" applyFill="1" applyBorder="1" applyAlignment="1">
      <alignment vertical="center" shrinkToFit="1"/>
    </xf>
    <xf numFmtId="3" fontId="27" fillId="0" borderId="94" xfId="0" applyNumberFormat="1" applyFont="1" applyFill="1" applyBorder="1" applyAlignment="1">
      <alignment horizontal="left" vertical="center" wrapText="1"/>
    </xf>
    <xf numFmtId="0" fontId="31" fillId="0" borderId="95" xfId="0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31" fillId="0" borderId="71" xfId="0" applyFont="1" applyFill="1" applyBorder="1" applyAlignment="1">
      <alignment vertical="center"/>
    </xf>
    <xf numFmtId="0" fontId="29" fillId="0" borderId="96" xfId="0" applyFont="1" applyFill="1" applyBorder="1" applyAlignment="1">
      <alignment horizontal="center" vertical="center"/>
    </xf>
    <xf numFmtId="0" fontId="31" fillId="0" borderId="97" xfId="0" applyFont="1" applyFill="1" applyBorder="1" applyAlignment="1">
      <alignment horizontal="center" vertical="center" shrinkToFit="1"/>
    </xf>
    <xf numFmtId="3" fontId="31" fillId="0" borderId="98" xfId="0" applyNumberFormat="1" applyFont="1" applyFill="1" applyBorder="1" applyAlignment="1">
      <alignment horizontal="right" vertical="center" shrinkToFit="1"/>
    </xf>
    <xf numFmtId="3" fontId="29" fillId="0" borderId="55" xfId="0" applyNumberFormat="1" applyFont="1" applyFill="1" applyBorder="1" applyAlignment="1">
      <alignment horizontal="right" vertical="center" shrinkToFit="1"/>
    </xf>
    <xf numFmtId="0" fontId="31" fillId="0" borderId="99" xfId="0" applyFont="1" applyFill="1" applyBorder="1" applyAlignment="1">
      <alignment horizontal="center" vertical="center" shrinkToFit="1"/>
    </xf>
    <xf numFmtId="3" fontId="31" fillId="0" borderId="100" xfId="0" applyNumberFormat="1" applyFont="1" applyFill="1" applyBorder="1" applyAlignment="1">
      <alignment horizontal="right" vertical="center" shrinkToFit="1"/>
    </xf>
    <xf numFmtId="3" fontId="29" fillId="0" borderId="80" xfId="0" applyNumberFormat="1" applyFont="1" applyFill="1" applyBorder="1" applyAlignment="1">
      <alignment horizontal="right" vertical="center" shrinkToFit="1"/>
    </xf>
    <xf numFmtId="3" fontId="29" fillId="0" borderId="101" xfId="0" applyNumberFormat="1" applyFont="1" applyFill="1" applyBorder="1" applyAlignment="1">
      <alignment horizontal="right" vertical="center"/>
    </xf>
    <xf numFmtId="3" fontId="29" fillId="0" borderId="83" xfId="0" applyNumberFormat="1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vertical="center" shrinkToFit="1"/>
    </xf>
    <xf numFmtId="0" fontId="31" fillId="0" borderId="37" xfId="0" applyFont="1" applyFill="1" applyBorder="1" applyAlignment="1">
      <alignment horizontal="right" vertical="center" shrinkToFit="1"/>
    </xf>
    <xf numFmtId="0" fontId="29" fillId="0" borderId="102" xfId="0" applyFont="1" applyFill="1" applyBorder="1" applyAlignment="1">
      <alignment horizontal="center" vertical="center"/>
    </xf>
    <xf numFmtId="0" fontId="31" fillId="0" borderId="103" xfId="0" applyFont="1" applyFill="1" applyBorder="1" applyAlignment="1">
      <alignment horizontal="center" vertical="center" shrinkToFit="1"/>
    </xf>
    <xf numFmtId="0" fontId="31" fillId="0" borderId="104" xfId="0" applyFont="1" applyFill="1" applyBorder="1" applyAlignment="1">
      <alignment horizontal="center" vertical="center" shrinkToFit="1"/>
    </xf>
    <xf numFmtId="3" fontId="31" fillId="0" borderId="105" xfId="0" applyNumberFormat="1" applyFont="1" applyFill="1" applyBorder="1" applyAlignment="1">
      <alignment horizontal="right" vertical="center" shrinkToFit="1"/>
    </xf>
    <xf numFmtId="0" fontId="31" fillId="0" borderId="106" xfId="0" applyFont="1" applyFill="1" applyBorder="1" applyAlignment="1">
      <alignment horizontal="center" vertical="center" shrinkToFit="1"/>
    </xf>
    <xf numFmtId="3" fontId="29" fillId="0" borderId="61" xfId="0" applyNumberFormat="1" applyFont="1" applyFill="1" applyBorder="1" applyAlignment="1">
      <alignment horizontal="right" vertical="center" shrinkToFit="1"/>
    </xf>
    <xf numFmtId="3" fontId="29" fillId="0" borderId="107" xfId="0" applyNumberFormat="1" applyFont="1" applyFill="1" applyBorder="1" applyAlignment="1">
      <alignment horizontal="right" vertical="center" shrinkToFit="1"/>
    </xf>
    <xf numFmtId="3" fontId="29" fillId="0" borderId="108" xfId="0" applyNumberFormat="1" applyFont="1" applyFill="1" applyBorder="1" applyAlignment="1">
      <alignment horizontal="right" vertical="center" shrinkToFit="1"/>
    </xf>
    <xf numFmtId="4" fontId="37" fillId="0" borderId="0" xfId="57" applyNumberFormat="1" applyFont="1" applyFill="1" applyAlignment="1">
      <alignment vertical="center"/>
      <protection/>
    </xf>
    <xf numFmtId="3" fontId="31" fillId="0" borderId="0" xfId="0" applyNumberFormat="1" applyFont="1" applyFill="1" applyAlignment="1">
      <alignment vertical="center" shrinkToFit="1"/>
    </xf>
    <xf numFmtId="0" fontId="15" fillId="0" borderId="2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6" xfId="0" applyFont="1" applyBorder="1" applyAlignment="1">
      <alignment vertical="center" wrapText="1"/>
    </xf>
    <xf numFmtId="3" fontId="15" fillId="0" borderId="46" xfId="0" applyNumberFormat="1" applyFont="1" applyBorder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left" vertical="center" wrapText="1" indent="1"/>
    </xf>
    <xf numFmtId="3" fontId="37" fillId="0" borderId="46" xfId="0" applyNumberFormat="1" applyFont="1" applyBorder="1" applyAlignment="1">
      <alignment vertical="center" wrapText="1"/>
    </xf>
    <xf numFmtId="3" fontId="38" fillId="0" borderId="63" xfId="0" applyNumberFormat="1" applyFont="1" applyBorder="1" applyAlignment="1">
      <alignment vertical="center" wrapText="1"/>
    </xf>
    <xf numFmtId="3" fontId="17" fillId="0" borderId="63" xfId="0" applyNumberFormat="1" applyFont="1" applyBorder="1" applyAlignment="1">
      <alignment vertical="center" wrapText="1"/>
    </xf>
    <xf numFmtId="0" fontId="15" fillId="0" borderId="109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3" fontId="17" fillId="0" borderId="41" xfId="0" applyNumberFormat="1" applyFont="1" applyBorder="1" applyAlignment="1">
      <alignment vertical="center" wrapText="1"/>
    </xf>
    <xf numFmtId="3" fontId="17" fillId="0" borderId="110" xfId="0" applyNumberFormat="1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37" fillId="0" borderId="19" xfId="0" applyFont="1" applyBorder="1" applyAlignment="1">
      <alignment horizontal="left" vertical="center" wrapText="1" indent="1"/>
    </xf>
    <xf numFmtId="3" fontId="17" fillId="0" borderId="67" xfId="0" applyNumberFormat="1" applyFont="1" applyBorder="1" applyAlignment="1">
      <alignment vertical="center" wrapText="1"/>
    </xf>
    <xf numFmtId="3" fontId="17" fillId="0" borderId="58" xfId="0" applyNumberFormat="1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76" xfId="0" applyFont="1" applyBorder="1" applyAlignment="1">
      <alignment horizontal="center" vertical="center" wrapText="1"/>
    </xf>
    <xf numFmtId="3" fontId="17" fillId="0" borderId="76" xfId="0" applyNumberFormat="1" applyFont="1" applyBorder="1" applyAlignment="1">
      <alignment vertical="center" wrapText="1"/>
    </xf>
    <xf numFmtId="3" fontId="17" fillId="0" borderId="40" xfId="0" applyNumberFormat="1" applyFont="1" applyBorder="1" applyAlignment="1">
      <alignment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111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vertical="center" wrapText="1"/>
    </xf>
    <xf numFmtId="3" fontId="27" fillId="0" borderId="26" xfId="0" applyNumberFormat="1" applyFont="1" applyBorder="1" applyAlignment="1">
      <alignment/>
    </xf>
    <xf numFmtId="3" fontId="27" fillId="0" borderId="26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3" fontId="28" fillId="0" borderId="49" xfId="0" applyNumberFormat="1" applyFont="1" applyBorder="1" applyAlignment="1">
      <alignment/>
    </xf>
    <xf numFmtId="3" fontId="17" fillId="0" borderId="10" xfId="57" applyNumberFormat="1" applyFont="1" applyFill="1" applyBorder="1" applyAlignment="1">
      <alignment vertical="center"/>
      <protection/>
    </xf>
    <xf numFmtId="3" fontId="38" fillId="0" borderId="10" xfId="57" applyNumberFormat="1" applyFont="1" applyFill="1" applyBorder="1" applyAlignment="1">
      <alignment vertical="center"/>
      <protection/>
    </xf>
    <xf numFmtId="3" fontId="56" fillId="0" borderId="10" xfId="57" applyNumberFormat="1" applyFont="1" applyFill="1" applyBorder="1" applyAlignment="1">
      <alignment horizontal="right" vertical="center"/>
      <protection/>
    </xf>
    <xf numFmtId="3" fontId="15" fillId="0" borderId="10" xfId="57" applyNumberFormat="1" applyFont="1" applyFill="1" applyBorder="1" applyAlignment="1">
      <alignment vertical="center"/>
      <protection/>
    </xf>
    <xf numFmtId="3" fontId="37" fillId="0" borderId="10" xfId="57" applyNumberFormat="1" applyFont="1" applyFill="1" applyBorder="1" applyAlignment="1">
      <alignment vertical="center"/>
      <protection/>
    </xf>
    <xf numFmtId="0" fontId="48" fillId="0" borderId="112" xfId="0" applyFont="1" applyFill="1" applyBorder="1" applyAlignment="1">
      <alignment horizontal="center" vertical="center"/>
    </xf>
    <xf numFmtId="0" fontId="48" fillId="0" borderId="113" xfId="0" applyFont="1" applyFill="1" applyBorder="1" applyAlignment="1">
      <alignment horizontal="center" vertical="center"/>
    </xf>
    <xf numFmtId="3" fontId="27" fillId="32" borderId="18" xfId="0" applyNumberFormat="1" applyFont="1" applyFill="1" applyBorder="1" applyAlignment="1">
      <alignment horizontal="right" vertical="center" shrinkToFit="1"/>
    </xf>
    <xf numFmtId="3" fontId="28" fillId="32" borderId="81" xfId="0" applyNumberFormat="1" applyFont="1" applyFill="1" applyBorder="1" applyAlignment="1">
      <alignment horizontal="right" shrinkToFit="1"/>
    </xf>
    <xf numFmtId="0" fontId="43" fillId="32" borderId="18" xfId="0" applyFont="1" applyFill="1" applyBorder="1" applyAlignment="1">
      <alignment horizontal="justify" vertical="center" shrinkToFit="1"/>
    </xf>
    <xf numFmtId="3" fontId="44" fillId="0" borderId="0" xfId="0" applyNumberFormat="1" applyFont="1" applyFill="1" applyAlignment="1">
      <alignment horizontal="right" shrinkToFit="1"/>
    </xf>
    <xf numFmtId="0" fontId="5" fillId="0" borderId="0" xfId="0" applyFont="1" applyFill="1" applyAlignment="1">
      <alignment vertical="center" wrapText="1" shrinkToFit="1"/>
    </xf>
    <xf numFmtId="3" fontId="39" fillId="0" borderId="19" xfId="0" applyNumberFormat="1" applyFont="1" applyFill="1" applyBorder="1" applyAlignment="1" quotePrefix="1">
      <alignment horizontal="left" vertical="center" indent="2"/>
    </xf>
    <xf numFmtId="3" fontId="27" fillId="0" borderId="46" xfId="0" applyNumberFormat="1" applyFont="1" applyFill="1" applyBorder="1" applyAlignment="1" quotePrefix="1">
      <alignment horizontal="left" vertical="center" indent="1"/>
    </xf>
    <xf numFmtId="3" fontId="27" fillId="0" borderId="19" xfId="0" applyNumberFormat="1" applyFont="1" applyFill="1" applyBorder="1" applyAlignment="1" quotePrefix="1">
      <alignment horizontal="left" vertical="center" indent="1"/>
    </xf>
    <xf numFmtId="3" fontId="27" fillId="0" borderId="17" xfId="0" applyNumberFormat="1" applyFont="1" applyFill="1" applyBorder="1" applyAlignment="1" quotePrefix="1">
      <alignment horizontal="left" vertical="center" indent="1"/>
    </xf>
    <xf numFmtId="3" fontId="39" fillId="0" borderId="19" xfId="0" applyNumberFormat="1" applyFont="1" applyFill="1" applyBorder="1" applyAlignment="1" quotePrefix="1">
      <alignment horizontal="left" vertical="center" wrapText="1" indent="2"/>
    </xf>
    <xf numFmtId="3" fontId="45" fillId="0" borderId="0" xfId="0" applyNumberFormat="1" applyFont="1" applyFill="1" applyAlignment="1">
      <alignment horizontal="justify" shrinkToFit="1"/>
    </xf>
    <xf numFmtId="3" fontId="15" fillId="0" borderId="24" xfId="0" applyNumberFormat="1" applyFont="1" applyFill="1" applyBorder="1" applyAlignment="1">
      <alignment horizontal="center" vertical="center"/>
    </xf>
    <xf numFmtId="3" fontId="57" fillId="32" borderId="18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shrinkToFit="1"/>
    </xf>
    <xf numFmtId="2" fontId="27" fillId="0" borderId="47" xfId="0" applyNumberFormat="1" applyFont="1" applyFill="1" applyBorder="1" applyAlignment="1">
      <alignment vertical="center" wrapText="1"/>
    </xf>
    <xf numFmtId="3" fontId="28" fillId="0" borderId="47" xfId="0" applyNumberFormat="1" applyFont="1" applyFill="1" applyBorder="1" applyAlignment="1">
      <alignment horizontal="right" vertical="center" shrinkToFit="1"/>
    </xf>
    <xf numFmtId="3" fontId="28" fillId="0" borderId="114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shrinkToFit="1"/>
    </xf>
    <xf numFmtId="3" fontId="57" fillId="32" borderId="17" xfId="0" applyNumberFormat="1" applyFont="1" applyFill="1" applyBorder="1" applyAlignment="1">
      <alignment horizontal="right" vertical="center"/>
    </xf>
    <xf numFmtId="49" fontId="15" fillId="0" borderId="68" xfId="0" applyNumberFormat="1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>
      <alignment horizontal="center" vertical="center"/>
    </xf>
    <xf numFmtId="3" fontId="15" fillId="0" borderId="115" xfId="0" applyNumberFormat="1" applyFont="1" applyFill="1" applyBorder="1" applyAlignment="1">
      <alignment horizontal="center" vertical="center"/>
    </xf>
    <xf numFmtId="3" fontId="15" fillId="0" borderId="64" xfId="0" applyNumberFormat="1" applyFont="1" applyFill="1" applyBorder="1" applyAlignment="1">
      <alignment horizontal="center" vertical="center"/>
    </xf>
    <xf numFmtId="3" fontId="27" fillId="0" borderId="19" xfId="58" applyNumberFormat="1" applyFont="1" applyFill="1" applyBorder="1" applyAlignment="1">
      <alignment horizontal="left" vertical="center" wrapText="1"/>
      <protection/>
    </xf>
    <xf numFmtId="3" fontId="27" fillId="0" borderId="15" xfId="58" applyNumberFormat="1" applyFont="1" applyFill="1" applyBorder="1" applyAlignment="1">
      <alignment horizontal="left" vertical="center" wrapText="1"/>
      <protection/>
    </xf>
    <xf numFmtId="3" fontId="27" fillId="0" borderId="57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shrinkToFit="1"/>
    </xf>
    <xf numFmtId="3" fontId="15" fillId="0" borderId="18" xfId="0" applyNumberFormat="1" applyFont="1" applyFill="1" applyBorder="1" applyAlignment="1">
      <alignment horizontal="center" vertical="center"/>
    </xf>
    <xf numFmtId="3" fontId="58" fillId="32" borderId="17" xfId="0" applyNumberFormat="1" applyFont="1" applyFill="1" applyBorder="1" applyAlignment="1">
      <alignment horizontal="right" vertical="center"/>
    </xf>
    <xf numFmtId="3" fontId="43" fillId="0" borderId="37" xfId="0" applyNumberFormat="1" applyFont="1" applyFill="1" applyBorder="1" applyAlignment="1">
      <alignment horizontal="left" vertical="center"/>
    </xf>
    <xf numFmtId="3" fontId="43" fillId="32" borderId="73" xfId="0" applyNumberFormat="1" applyFont="1" applyFill="1" applyBorder="1" applyAlignment="1">
      <alignment horizontal="right" vertical="center"/>
    </xf>
    <xf numFmtId="3" fontId="43" fillId="0" borderId="0" xfId="0" applyNumberFormat="1" applyFont="1" applyFill="1" applyAlignment="1">
      <alignment horizontal="right" vertical="center"/>
    </xf>
    <xf numFmtId="1" fontId="54" fillId="0" borderId="32" xfId="57" applyNumberFormat="1" applyFont="1" applyFill="1" applyBorder="1" applyAlignment="1">
      <alignment horizontal="right" vertical="center"/>
      <protection/>
    </xf>
    <xf numFmtId="1" fontId="54" fillId="0" borderId="18" xfId="57" applyNumberFormat="1" applyFont="1" applyFill="1" applyBorder="1" applyAlignment="1">
      <alignment horizontal="right" vertical="center"/>
      <protection/>
    </xf>
    <xf numFmtId="3" fontId="22" fillId="0" borderId="24" xfId="57" applyNumberFormat="1" applyFont="1" applyFill="1" applyBorder="1" applyAlignment="1">
      <alignment horizontal="right" vertical="center"/>
      <protection/>
    </xf>
    <xf numFmtId="3" fontId="22" fillId="0" borderId="24" xfId="57" applyNumberFormat="1" applyFont="1" applyFill="1" applyBorder="1" applyAlignment="1">
      <alignment vertical="center"/>
      <protection/>
    </xf>
    <xf numFmtId="3" fontId="24" fillId="0" borderId="30" xfId="57" applyNumberFormat="1" applyFont="1" applyFill="1" applyBorder="1" applyAlignment="1">
      <alignment horizontal="right" vertical="center"/>
      <protection/>
    </xf>
    <xf numFmtId="4" fontId="24" fillId="0" borderId="48" xfId="57" applyNumberFormat="1" applyFont="1" applyFill="1" applyBorder="1" applyAlignment="1">
      <alignment horizontal="right" vertical="center"/>
      <protection/>
    </xf>
    <xf numFmtId="3" fontId="15" fillId="0" borderId="19" xfId="0" applyNumberFormat="1" applyFont="1" applyBorder="1" applyAlignment="1">
      <alignment vertical="center" wrapText="1"/>
    </xf>
    <xf numFmtId="3" fontId="36" fillId="0" borderId="32" xfId="57" applyNumberFormat="1" applyFont="1" applyFill="1" applyBorder="1" applyAlignment="1">
      <alignment horizontal="right" vertical="center"/>
      <protection/>
    </xf>
    <xf numFmtId="3" fontId="22" fillId="0" borderId="30" xfId="57" applyNumberFormat="1" applyFont="1" applyFill="1" applyBorder="1" applyAlignment="1">
      <alignment horizontal="right" vertical="center"/>
      <protection/>
    </xf>
    <xf numFmtId="1" fontId="22" fillId="0" borderId="30" xfId="57" applyNumberFormat="1" applyFont="1" applyFill="1" applyBorder="1" applyAlignment="1">
      <alignment horizontal="right" vertical="center"/>
      <protection/>
    </xf>
    <xf numFmtId="3" fontId="24" fillId="0" borderId="30" xfId="57" applyNumberFormat="1" applyFont="1" applyFill="1" applyBorder="1" applyAlignment="1">
      <alignment vertical="center"/>
      <protection/>
    </xf>
    <xf numFmtId="4" fontId="24" fillId="0" borderId="50" xfId="57" applyNumberFormat="1" applyFont="1" applyFill="1" applyBorder="1" applyAlignment="1">
      <alignment horizontal="right" vertical="center"/>
      <protection/>
    </xf>
    <xf numFmtId="3" fontId="22" fillId="0" borderId="32" xfId="57" applyNumberFormat="1" applyFont="1" applyFill="1" applyBorder="1" applyAlignment="1">
      <alignment horizontal="right" vertical="center"/>
      <protection/>
    </xf>
    <xf numFmtId="1" fontId="22" fillId="0" borderId="24" xfId="57" applyNumberFormat="1" applyFont="1" applyFill="1" applyBorder="1" applyAlignment="1">
      <alignment horizontal="right" vertical="center"/>
      <protection/>
    </xf>
    <xf numFmtId="3" fontId="36" fillId="0" borderId="30" xfId="57" applyNumberFormat="1" applyFont="1" applyFill="1" applyBorder="1" applyAlignment="1">
      <alignment horizontal="right" vertical="center"/>
      <protection/>
    </xf>
    <xf numFmtId="1" fontId="36" fillId="0" borderId="30" xfId="57" applyNumberFormat="1" applyFont="1" applyFill="1" applyBorder="1" applyAlignment="1">
      <alignment horizontal="right" vertical="center"/>
      <protection/>
    </xf>
    <xf numFmtId="3" fontId="49" fillId="0" borderId="30" xfId="57" applyNumberFormat="1" applyFont="1" applyFill="1" applyBorder="1" applyAlignment="1">
      <alignment horizontal="right" vertical="center"/>
      <protection/>
    </xf>
    <xf numFmtId="4" fontId="49" fillId="0" borderId="50" xfId="57" applyNumberFormat="1" applyFont="1" applyFill="1" applyBorder="1" applyAlignment="1">
      <alignment horizontal="right" vertical="center"/>
      <protection/>
    </xf>
    <xf numFmtId="3" fontId="24" fillId="0" borderId="20" xfId="57" applyNumberFormat="1" applyFont="1" applyFill="1" applyBorder="1" applyAlignment="1">
      <alignment horizontal="right" vertical="center"/>
      <protection/>
    </xf>
    <xf numFmtId="4" fontId="24" fillId="0" borderId="38" xfId="57" applyNumberFormat="1" applyFont="1" applyFill="1" applyBorder="1" applyAlignment="1">
      <alignment horizontal="right" vertical="center"/>
      <protection/>
    </xf>
    <xf numFmtId="1" fontId="22" fillId="0" borderId="32" xfId="57" applyNumberFormat="1" applyFont="1" applyFill="1" applyBorder="1" applyAlignment="1">
      <alignment horizontal="right" vertical="center"/>
      <protection/>
    </xf>
    <xf numFmtId="3" fontId="24" fillId="0" borderId="32" xfId="57" applyNumberFormat="1" applyFont="1" applyFill="1" applyBorder="1" applyAlignment="1">
      <alignment horizontal="right" vertical="center"/>
      <protection/>
    </xf>
    <xf numFmtId="3" fontId="24" fillId="0" borderId="32" xfId="57" applyNumberFormat="1" applyFont="1" applyFill="1" applyBorder="1" applyAlignment="1">
      <alignment vertical="center"/>
      <protection/>
    </xf>
    <xf numFmtId="3" fontId="24" fillId="0" borderId="18" xfId="57" applyNumberFormat="1" applyFont="1" applyFill="1" applyBorder="1" applyAlignment="1">
      <alignment horizontal="right" vertical="center"/>
      <protection/>
    </xf>
    <xf numFmtId="3" fontId="22" fillId="0" borderId="18" xfId="57" applyNumberFormat="1" applyFont="1" applyFill="1" applyBorder="1" applyAlignment="1">
      <alignment horizontal="right" vertical="center"/>
      <protection/>
    </xf>
    <xf numFmtId="3" fontId="22" fillId="0" borderId="18" xfId="57" applyNumberFormat="1" applyFont="1" applyFill="1" applyBorder="1" applyAlignment="1">
      <alignment vertical="center"/>
      <protection/>
    </xf>
    <xf numFmtId="1" fontId="22" fillId="0" borderId="18" xfId="57" applyNumberFormat="1" applyFont="1" applyFill="1" applyBorder="1" applyAlignment="1">
      <alignment horizontal="right" vertical="center"/>
      <protection/>
    </xf>
    <xf numFmtId="3" fontId="22" fillId="0" borderId="14" xfId="57" applyNumberFormat="1" applyFont="1" applyFill="1" applyBorder="1" applyAlignment="1">
      <alignment horizontal="right" vertical="center"/>
      <protection/>
    </xf>
    <xf numFmtId="1" fontId="22" fillId="0" borderId="14" xfId="57" applyNumberFormat="1" applyFont="1" applyFill="1" applyBorder="1" applyAlignment="1">
      <alignment horizontal="right" vertical="center"/>
      <protection/>
    </xf>
    <xf numFmtId="3" fontId="24" fillId="0" borderId="14" xfId="57" applyNumberFormat="1" applyFont="1" applyFill="1" applyBorder="1" applyAlignment="1">
      <alignment horizontal="right" vertical="center"/>
      <protection/>
    </xf>
    <xf numFmtId="3" fontId="24" fillId="0" borderId="26" xfId="57" applyNumberFormat="1" applyFont="1" applyFill="1" applyBorder="1" applyAlignment="1">
      <alignment horizontal="right" vertical="center"/>
      <protection/>
    </xf>
    <xf numFmtId="1" fontId="24" fillId="0" borderId="26" xfId="57" applyNumberFormat="1" applyFont="1" applyFill="1" applyBorder="1" applyAlignment="1">
      <alignment horizontal="right" vertical="center"/>
      <protection/>
    </xf>
    <xf numFmtId="4" fontId="24" fillId="0" borderId="49" xfId="57" applyNumberFormat="1" applyFont="1" applyFill="1" applyBorder="1" applyAlignment="1">
      <alignment horizontal="right" vertical="center"/>
      <protection/>
    </xf>
    <xf numFmtId="4" fontId="24" fillId="0" borderId="52" xfId="57" applyNumberFormat="1" applyFont="1" applyFill="1" applyBorder="1" applyAlignment="1">
      <alignment horizontal="right" vertical="center"/>
      <protection/>
    </xf>
    <xf numFmtId="3" fontId="15" fillId="0" borderId="0" xfId="0" applyNumberFormat="1" applyFont="1" applyFill="1" applyAlignment="1">
      <alignment horizontal="right" vertical="center" shrinkToFit="1"/>
    </xf>
    <xf numFmtId="3" fontId="36" fillId="0" borderId="24" xfId="57" applyNumberFormat="1" applyFont="1" applyFill="1" applyBorder="1" applyAlignment="1">
      <alignment horizontal="right" vertical="center"/>
      <protection/>
    </xf>
    <xf numFmtId="3" fontId="36" fillId="0" borderId="24" xfId="57" applyNumberFormat="1" applyFont="1" applyFill="1" applyBorder="1" applyAlignment="1">
      <alignment vertical="center"/>
      <protection/>
    </xf>
    <xf numFmtId="3" fontId="49" fillId="0" borderId="24" xfId="57" applyNumberFormat="1" applyFont="1" applyFill="1" applyBorder="1" applyAlignment="1">
      <alignment vertical="center"/>
      <protection/>
    </xf>
    <xf numFmtId="3" fontId="37" fillId="0" borderId="19" xfId="0" applyNumberFormat="1" applyFont="1" applyBorder="1" applyAlignment="1">
      <alignment vertical="center" wrapText="1"/>
    </xf>
    <xf numFmtId="4" fontId="49" fillId="0" borderId="48" xfId="57" applyNumberFormat="1" applyFont="1" applyFill="1" applyBorder="1" applyAlignment="1">
      <alignment horizontal="right" vertical="center"/>
      <protection/>
    </xf>
    <xf numFmtId="3" fontId="24" fillId="0" borderId="22" xfId="57" applyNumberFormat="1" applyFont="1" applyFill="1" applyBorder="1" applyAlignment="1">
      <alignment horizontal="right" vertical="center"/>
      <protection/>
    </xf>
    <xf numFmtId="1" fontId="24" fillId="0" borderId="22" xfId="57" applyNumberFormat="1" applyFont="1" applyFill="1" applyBorder="1" applyAlignment="1">
      <alignment horizontal="right" vertical="center"/>
      <protection/>
    </xf>
    <xf numFmtId="3" fontId="22" fillId="0" borderId="28" xfId="57" applyNumberFormat="1" applyFont="1" applyFill="1" applyBorder="1" applyAlignment="1">
      <alignment vertical="center"/>
      <protection/>
    </xf>
    <xf numFmtId="3" fontId="22" fillId="0" borderId="28" xfId="57" applyNumberFormat="1" applyFont="1" applyFill="1" applyBorder="1" applyAlignment="1">
      <alignment horizontal="right" vertical="center"/>
      <protection/>
    </xf>
    <xf numFmtId="1" fontId="22" fillId="0" borderId="28" xfId="57" applyNumberFormat="1" applyFont="1" applyFill="1" applyBorder="1" applyAlignment="1">
      <alignment horizontal="right" vertical="center"/>
      <protection/>
    </xf>
    <xf numFmtId="3" fontId="24" fillId="0" borderId="28" xfId="57" applyNumberFormat="1" applyFont="1" applyFill="1" applyBorder="1" applyAlignment="1">
      <alignment horizontal="right" vertical="center"/>
      <protection/>
    </xf>
    <xf numFmtId="3" fontId="24" fillId="0" borderId="28" xfId="57" applyNumberFormat="1" applyFont="1" applyFill="1" applyBorder="1" applyAlignment="1">
      <alignment vertical="center"/>
      <protection/>
    </xf>
    <xf numFmtId="1" fontId="24" fillId="0" borderId="18" xfId="57" applyNumberFormat="1" applyFont="1" applyFill="1" applyBorder="1" applyAlignment="1">
      <alignment horizontal="right" vertical="center"/>
      <protection/>
    </xf>
    <xf numFmtId="3" fontId="24" fillId="0" borderId="24" xfId="57" applyNumberFormat="1" applyFont="1" applyFill="1" applyBorder="1" applyAlignment="1">
      <alignment horizontal="right" vertical="center"/>
      <protection/>
    </xf>
    <xf numFmtId="3" fontId="27" fillId="0" borderId="62" xfId="0" applyNumberFormat="1" applyFont="1" applyFill="1" applyBorder="1" applyAlignment="1">
      <alignment horizontal="right" vertical="center"/>
    </xf>
    <xf numFmtId="3" fontId="27" fillId="0" borderId="58" xfId="0" applyNumberFormat="1" applyFont="1" applyFill="1" applyBorder="1" applyAlignment="1">
      <alignment horizontal="right" vertical="center"/>
    </xf>
    <xf numFmtId="3" fontId="28" fillId="0" borderId="62" xfId="0" applyNumberFormat="1" applyFont="1" applyFill="1" applyBorder="1" applyAlignment="1">
      <alignment horizontal="right" vertical="center"/>
    </xf>
    <xf numFmtId="3" fontId="27" fillId="0" borderId="62" xfId="0" applyNumberFormat="1" applyFont="1" applyFill="1" applyBorder="1" applyAlignment="1">
      <alignment vertical="center"/>
    </xf>
    <xf numFmtId="3" fontId="27" fillId="0" borderId="73" xfId="0" applyNumberFormat="1" applyFont="1" applyFill="1" applyBorder="1" applyAlignment="1">
      <alignment horizontal="right" vertical="center"/>
    </xf>
    <xf numFmtId="3" fontId="27" fillId="0" borderId="116" xfId="0" applyNumberFormat="1" applyFont="1" applyFill="1" applyBorder="1" applyAlignment="1">
      <alignment horizontal="right" vertical="center"/>
    </xf>
    <xf numFmtId="3" fontId="27" fillId="0" borderId="117" xfId="0" applyNumberFormat="1" applyFont="1" applyFill="1" applyBorder="1" applyAlignment="1">
      <alignment horizontal="right" vertical="center"/>
    </xf>
    <xf numFmtId="3" fontId="27" fillId="0" borderId="64" xfId="0" applyNumberFormat="1" applyFont="1" applyFill="1" applyBorder="1" applyAlignment="1">
      <alignment horizontal="right" vertical="center"/>
    </xf>
    <xf numFmtId="3" fontId="39" fillId="0" borderId="17" xfId="0" applyNumberFormat="1" applyFont="1" applyFill="1" applyBorder="1" applyAlignment="1">
      <alignment horizontal="right" vertical="center"/>
    </xf>
    <xf numFmtId="3" fontId="39" fillId="0" borderId="64" xfId="0" applyNumberFormat="1" applyFont="1" applyFill="1" applyBorder="1" applyAlignment="1">
      <alignment horizontal="right" vertical="center"/>
    </xf>
    <xf numFmtId="3" fontId="39" fillId="0" borderId="65" xfId="0" applyNumberFormat="1" applyFont="1" applyFill="1" applyBorder="1" applyAlignment="1">
      <alignment horizontal="right" vertical="center"/>
    </xf>
    <xf numFmtId="3" fontId="28" fillId="0" borderId="18" xfId="0" applyNumberFormat="1" applyFont="1" applyFill="1" applyBorder="1" applyAlignment="1">
      <alignment horizontal="right" vertical="center"/>
    </xf>
    <xf numFmtId="3" fontId="28" fillId="0" borderId="68" xfId="0" applyNumberFormat="1" applyFont="1" applyFill="1" applyBorder="1" applyAlignment="1">
      <alignment horizontal="right" vertical="center"/>
    </xf>
    <xf numFmtId="3" fontId="28" fillId="0" borderId="39" xfId="0" applyNumberFormat="1" applyFont="1" applyFill="1" applyBorder="1" applyAlignment="1">
      <alignment horizontal="right" vertical="center"/>
    </xf>
    <xf numFmtId="3" fontId="27" fillId="0" borderId="18" xfId="0" applyNumberFormat="1" applyFont="1" applyFill="1" applyBorder="1" applyAlignment="1">
      <alignment horizontal="right" vertical="center"/>
    </xf>
    <xf numFmtId="3" fontId="27" fillId="32" borderId="68" xfId="0" applyNumberFormat="1" applyFont="1" applyFill="1" applyBorder="1" applyAlignment="1">
      <alignment horizontal="right" vertical="center"/>
    </xf>
    <xf numFmtId="3" fontId="27" fillId="0" borderId="39" xfId="0" applyNumberFormat="1" applyFont="1" applyFill="1" applyBorder="1" applyAlignment="1">
      <alignment horizontal="right" vertical="center"/>
    </xf>
    <xf numFmtId="4" fontId="24" fillId="0" borderId="51" xfId="57" applyNumberFormat="1" applyFont="1" applyFill="1" applyBorder="1" applyAlignment="1">
      <alignment horizontal="right" vertical="center"/>
      <protection/>
    </xf>
    <xf numFmtId="4" fontId="24" fillId="0" borderId="53" xfId="57" applyNumberFormat="1" applyFont="1" applyFill="1" applyBorder="1" applyAlignment="1">
      <alignment horizontal="right" vertical="center"/>
      <protection/>
    </xf>
    <xf numFmtId="1" fontId="24" fillId="0" borderId="24" xfId="57" applyNumberFormat="1" applyFont="1" applyFill="1" applyBorder="1" applyAlignment="1">
      <alignment horizontal="right" vertical="center"/>
      <protection/>
    </xf>
    <xf numFmtId="3" fontId="36" fillId="0" borderId="30" xfId="57" applyNumberFormat="1" applyFont="1" applyFill="1" applyBorder="1" applyAlignment="1">
      <alignment vertical="center"/>
      <protection/>
    </xf>
    <xf numFmtId="1" fontId="24" fillId="0" borderId="32" xfId="57" applyNumberFormat="1" applyFont="1" applyFill="1" applyBorder="1" applyAlignment="1">
      <alignment horizontal="right" vertical="center"/>
      <protection/>
    </xf>
    <xf numFmtId="1" fontId="24" fillId="0" borderId="28" xfId="57" applyNumberFormat="1" applyFont="1" applyFill="1" applyBorder="1" applyAlignment="1">
      <alignment horizontal="right" vertical="center"/>
      <protection/>
    </xf>
    <xf numFmtId="3" fontId="39" fillId="0" borderId="18" xfId="0" applyNumberFormat="1" applyFont="1" applyFill="1" applyBorder="1" applyAlignment="1">
      <alignment horizontal="right" vertical="center"/>
    </xf>
    <xf numFmtId="3" fontId="39" fillId="32" borderId="68" xfId="0" applyNumberFormat="1" applyFont="1" applyFill="1" applyBorder="1" applyAlignment="1">
      <alignment horizontal="right" vertical="center"/>
    </xf>
    <xf numFmtId="3" fontId="39" fillId="0" borderId="39" xfId="0" applyNumberFormat="1" applyFont="1" applyFill="1" applyBorder="1" applyAlignment="1">
      <alignment horizontal="right" vertical="center"/>
    </xf>
    <xf numFmtId="3" fontId="39" fillId="0" borderId="62" xfId="0" applyNumberFormat="1" applyFont="1" applyFill="1" applyBorder="1" applyAlignment="1">
      <alignment horizontal="right" vertical="center"/>
    </xf>
    <xf numFmtId="3" fontId="39" fillId="0" borderId="58" xfId="0" applyNumberFormat="1" applyFont="1" applyFill="1" applyBorder="1" applyAlignment="1">
      <alignment horizontal="right" vertical="center"/>
    </xf>
    <xf numFmtId="3" fontId="36" fillId="0" borderId="22" xfId="57" applyNumberFormat="1" applyFont="1" applyFill="1" applyBorder="1" applyAlignment="1">
      <alignment horizontal="right" vertical="center"/>
      <protection/>
    </xf>
    <xf numFmtId="3" fontId="49" fillId="0" borderId="22" xfId="57" applyNumberFormat="1" applyFont="1" applyFill="1" applyBorder="1" applyAlignment="1">
      <alignment horizontal="right" vertical="center"/>
      <protection/>
    </xf>
    <xf numFmtId="4" fontId="36" fillId="0" borderId="51" xfId="57" applyNumberFormat="1" applyFont="1" applyFill="1" applyBorder="1" applyAlignment="1">
      <alignment horizontal="right" vertical="center"/>
      <protection/>
    </xf>
    <xf numFmtId="4" fontId="36" fillId="0" borderId="50" xfId="57" applyNumberFormat="1" applyFont="1" applyFill="1" applyBorder="1" applyAlignment="1">
      <alignment horizontal="right" vertical="center"/>
      <protection/>
    </xf>
    <xf numFmtId="3" fontId="36" fillId="0" borderId="18" xfId="57" applyNumberFormat="1" applyFont="1" applyFill="1" applyBorder="1" applyAlignment="1">
      <alignment horizontal="right" vertical="center"/>
      <protection/>
    </xf>
    <xf numFmtId="3" fontId="49" fillId="0" borderId="18" xfId="57" applyNumberFormat="1" applyFont="1" applyFill="1" applyBorder="1" applyAlignment="1">
      <alignment horizontal="right" vertical="center"/>
      <protection/>
    </xf>
    <xf numFmtId="4" fontId="36" fillId="0" borderId="39" xfId="57" applyNumberFormat="1" applyFont="1" applyFill="1" applyBorder="1" applyAlignment="1">
      <alignment horizontal="right" vertical="center"/>
      <protection/>
    </xf>
    <xf numFmtId="3" fontId="28" fillId="0" borderId="81" xfId="0" applyNumberFormat="1" applyFont="1" applyFill="1" applyBorder="1" applyAlignment="1">
      <alignment horizontal="right" vertical="center"/>
    </xf>
    <xf numFmtId="3" fontId="28" fillId="0" borderId="118" xfId="0" applyNumberFormat="1" applyFont="1" applyFill="1" applyBorder="1" applyAlignment="1">
      <alignment horizontal="right" vertical="center"/>
    </xf>
    <xf numFmtId="3" fontId="28" fillId="0" borderId="82" xfId="0" applyNumberFormat="1" applyFont="1" applyFill="1" applyBorder="1" applyAlignment="1">
      <alignment horizontal="right" vertical="center"/>
    </xf>
    <xf numFmtId="3" fontId="28" fillId="0" borderId="70" xfId="0" applyNumberFormat="1" applyFont="1" applyFill="1" applyBorder="1" applyAlignment="1">
      <alignment horizontal="right" vertical="center"/>
    </xf>
    <xf numFmtId="3" fontId="28" fillId="0" borderId="119" xfId="0" applyNumberFormat="1" applyFont="1" applyFill="1" applyBorder="1" applyAlignment="1">
      <alignment horizontal="right" vertical="center"/>
    </xf>
    <xf numFmtId="3" fontId="28" fillId="0" borderId="120" xfId="0" applyNumberFormat="1" applyFont="1" applyFill="1" applyBorder="1" applyAlignment="1">
      <alignment horizontal="right" vertical="center"/>
    </xf>
    <xf numFmtId="3" fontId="36" fillId="0" borderId="32" xfId="57" applyNumberFormat="1" applyFont="1" applyFill="1" applyBorder="1" applyAlignment="1">
      <alignment vertical="center"/>
      <protection/>
    </xf>
    <xf numFmtId="1" fontId="36" fillId="0" borderId="32" xfId="57" applyNumberFormat="1" applyFont="1" applyFill="1" applyBorder="1" applyAlignment="1">
      <alignment horizontal="right" vertical="center"/>
      <protection/>
    </xf>
    <xf numFmtId="3" fontId="49" fillId="0" borderId="30" xfId="57" applyNumberFormat="1" applyFont="1" applyFill="1" applyBorder="1" applyAlignment="1">
      <alignment vertical="center"/>
      <protection/>
    </xf>
    <xf numFmtId="4" fontId="24" fillId="0" borderId="39" xfId="57" applyNumberFormat="1" applyFont="1" applyFill="1" applyBorder="1" applyAlignment="1">
      <alignment horizontal="right" vertical="center"/>
      <protection/>
    </xf>
    <xf numFmtId="3" fontId="28" fillId="32" borderId="70" xfId="0" applyNumberFormat="1" applyFont="1" applyFill="1" applyBorder="1" applyAlignment="1">
      <alignment horizontal="right" vertical="center"/>
    </xf>
    <xf numFmtId="3" fontId="28" fillId="32" borderId="46" xfId="0" applyNumberFormat="1" applyFont="1" applyFill="1" applyBorder="1" applyAlignment="1">
      <alignment horizontal="right" vertical="center"/>
    </xf>
    <xf numFmtId="3" fontId="27" fillId="0" borderId="66" xfId="0" applyNumberFormat="1" applyFont="1" applyFill="1" applyBorder="1" applyAlignment="1">
      <alignment horizontal="right" vertical="center"/>
    </xf>
    <xf numFmtId="3" fontId="28" fillId="32" borderId="24" xfId="0" applyNumberFormat="1" applyFont="1" applyFill="1" applyBorder="1" applyAlignment="1">
      <alignment horizontal="right" vertical="center"/>
    </xf>
    <xf numFmtId="3" fontId="27" fillId="0" borderId="115" xfId="0" applyNumberFormat="1" applyFont="1" applyFill="1" applyBorder="1" applyAlignment="1">
      <alignment horizontal="right" vertical="center"/>
    </xf>
    <xf numFmtId="3" fontId="27" fillId="0" borderId="48" xfId="0" applyNumberFormat="1" applyFont="1" applyFill="1" applyBorder="1" applyAlignment="1">
      <alignment horizontal="right" vertical="center"/>
    </xf>
    <xf numFmtId="3" fontId="28" fillId="0" borderId="66" xfId="0" applyNumberFormat="1" applyFont="1" applyFill="1" applyBorder="1" applyAlignment="1">
      <alignment horizontal="right" vertical="center"/>
    </xf>
    <xf numFmtId="3" fontId="28" fillId="0" borderId="63" xfId="0" applyNumberFormat="1" applyFont="1" applyFill="1" applyBorder="1" applyAlignment="1">
      <alignment horizontal="right" vertical="center"/>
    </xf>
    <xf numFmtId="3" fontId="27" fillId="32" borderId="17" xfId="0" applyNumberFormat="1" applyFont="1" applyFill="1" applyBorder="1" applyAlignment="1">
      <alignment horizontal="right" vertical="center"/>
    </xf>
    <xf numFmtId="3" fontId="28" fillId="0" borderId="30" xfId="0" applyNumberFormat="1" applyFont="1" applyFill="1" applyBorder="1" applyAlignment="1">
      <alignment horizontal="right" vertical="center"/>
    </xf>
    <xf numFmtId="3" fontId="28" fillId="32" borderId="121" xfId="0" applyNumberFormat="1" applyFont="1" applyFill="1" applyBorder="1" applyAlignment="1">
      <alignment horizontal="right" vertical="center"/>
    </xf>
    <xf numFmtId="3" fontId="28" fillId="0" borderId="50" xfId="0" applyNumberFormat="1" applyFont="1" applyFill="1" applyBorder="1" applyAlignment="1">
      <alignment horizontal="right" vertical="center"/>
    </xf>
    <xf numFmtId="3" fontId="28" fillId="0" borderId="65" xfId="0" applyNumberFormat="1" applyFont="1" applyFill="1" applyBorder="1" applyAlignment="1">
      <alignment horizontal="right" vertical="center"/>
    </xf>
    <xf numFmtId="3" fontId="27" fillId="0" borderId="47" xfId="0" applyNumberFormat="1" applyFont="1" applyFill="1" applyBorder="1" applyAlignment="1">
      <alignment horizontal="right" vertical="center"/>
    </xf>
    <xf numFmtId="3" fontId="27" fillId="0" borderId="122" xfId="0" applyNumberFormat="1" applyFont="1" applyFill="1" applyBorder="1" applyAlignment="1">
      <alignment horizontal="right" vertical="center"/>
    </xf>
    <xf numFmtId="3" fontId="28" fillId="0" borderId="123" xfId="0" applyNumberFormat="1" applyFont="1" applyFill="1" applyBorder="1" applyAlignment="1">
      <alignment horizontal="right" vertical="center"/>
    </xf>
    <xf numFmtId="3" fontId="28" fillId="0" borderId="39" xfId="0" applyNumberFormat="1" applyFont="1" applyFill="1" applyBorder="1" applyAlignment="1">
      <alignment horizontal="right" vertical="center" shrinkToFit="1"/>
    </xf>
    <xf numFmtId="0" fontId="51" fillId="0" borderId="10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horizontal="center" vertical="center" shrinkToFit="1"/>
    </xf>
    <xf numFmtId="49" fontId="39" fillId="0" borderId="19" xfId="0" applyNumberFormat="1" applyFont="1" applyFill="1" applyBorder="1" applyAlignment="1">
      <alignment horizontal="left" vertical="center" indent="1" shrinkToFit="1"/>
    </xf>
    <xf numFmtId="0" fontId="53" fillId="0" borderId="0" xfId="0" applyFont="1" applyFill="1" applyBorder="1" applyAlignment="1">
      <alignment vertical="center" shrinkToFit="1"/>
    </xf>
    <xf numFmtId="3" fontId="49" fillId="0" borderId="18" xfId="57" applyNumberFormat="1" applyFont="1" applyFill="1" applyBorder="1" applyAlignment="1">
      <alignment vertical="center"/>
      <protection/>
    </xf>
    <xf numFmtId="4" fontId="36" fillId="0" borderId="40" xfId="57" applyNumberFormat="1" applyFont="1" applyFill="1" applyBorder="1" applyAlignment="1">
      <alignment horizontal="right" vertical="center"/>
      <protection/>
    </xf>
    <xf numFmtId="3" fontId="39" fillId="0" borderId="68" xfId="0" applyNumberFormat="1" applyFont="1" applyFill="1" applyBorder="1" applyAlignment="1">
      <alignment horizontal="right" vertical="center"/>
    </xf>
    <xf numFmtId="3" fontId="39" fillId="0" borderId="40" xfId="0" applyNumberFormat="1" applyFont="1" applyFill="1" applyBorder="1" applyAlignment="1">
      <alignment horizontal="right" vertical="center"/>
    </xf>
    <xf numFmtId="3" fontId="27" fillId="32" borderId="19" xfId="0" applyNumberFormat="1" applyFont="1" applyFill="1" applyBorder="1" applyAlignment="1">
      <alignment horizontal="right" vertical="center"/>
    </xf>
    <xf numFmtId="3" fontId="8" fillId="0" borderId="82" xfId="0" applyNumberFormat="1" applyFont="1" applyFill="1" applyBorder="1" applyAlignment="1">
      <alignment horizontal="right" vertical="center" shrinkToFit="1"/>
    </xf>
    <xf numFmtId="3" fontId="28" fillId="0" borderId="46" xfId="0" applyNumberFormat="1" applyFont="1" applyFill="1" applyBorder="1" applyAlignment="1">
      <alignment horizontal="right" vertical="center"/>
    </xf>
    <xf numFmtId="3" fontId="28" fillId="32" borderId="66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 shrinkToFit="1"/>
    </xf>
    <xf numFmtId="3" fontId="27" fillId="0" borderId="17" xfId="0" applyNumberFormat="1" applyFont="1" applyFill="1" applyBorder="1" applyAlignment="1">
      <alignment horizontal="left" vertical="center" wrapText="1"/>
    </xf>
    <xf numFmtId="3" fontId="22" fillId="0" borderId="0" xfId="57" applyNumberFormat="1" applyFont="1" applyFill="1" applyBorder="1" applyAlignment="1">
      <alignment vertical="center"/>
      <protection/>
    </xf>
    <xf numFmtId="3" fontId="49" fillId="0" borderId="28" xfId="57" applyNumberFormat="1" applyFont="1" applyFill="1" applyBorder="1" applyAlignment="1">
      <alignment horizontal="right" vertical="center"/>
      <protection/>
    </xf>
    <xf numFmtId="3" fontId="36" fillId="0" borderId="22" xfId="57" applyNumberFormat="1" applyFont="1" applyFill="1" applyBorder="1" applyAlignment="1">
      <alignment vertical="center"/>
      <protection/>
    </xf>
    <xf numFmtId="3" fontId="36" fillId="0" borderId="18" xfId="57" applyNumberFormat="1" applyFont="1" applyFill="1" applyBorder="1" applyAlignment="1">
      <alignment vertical="center"/>
      <protection/>
    </xf>
    <xf numFmtId="3" fontId="36" fillId="0" borderId="28" xfId="57" applyNumberFormat="1" applyFont="1" applyFill="1" applyBorder="1" applyAlignment="1">
      <alignment vertical="center"/>
      <protection/>
    </xf>
    <xf numFmtId="0" fontId="15" fillId="0" borderId="0" xfId="0" applyFont="1" applyFill="1" applyAlignment="1">
      <alignment vertical="center" shrinkToFit="1"/>
    </xf>
    <xf numFmtId="4" fontId="22" fillId="0" borderId="53" xfId="57" applyNumberFormat="1" applyFont="1" applyFill="1" applyBorder="1" applyAlignment="1">
      <alignment horizontal="right" vertical="center"/>
      <protection/>
    </xf>
    <xf numFmtId="3" fontId="49" fillId="0" borderId="32" xfId="57" applyNumberFormat="1" applyFont="1" applyFill="1" applyBorder="1" applyAlignment="1">
      <alignment horizontal="right" vertical="center"/>
      <protection/>
    </xf>
    <xf numFmtId="3" fontId="49" fillId="0" borderId="32" xfId="57" applyNumberFormat="1" applyFont="1" applyFill="1" applyBorder="1" applyAlignment="1">
      <alignment vertical="center"/>
      <protection/>
    </xf>
    <xf numFmtId="2" fontId="24" fillId="0" borderId="49" xfId="57" applyNumberFormat="1" applyFont="1" applyFill="1" applyBorder="1" applyAlignment="1">
      <alignment horizontal="right" vertical="center"/>
      <protection/>
    </xf>
    <xf numFmtId="3" fontId="49" fillId="0" borderId="22" xfId="57" applyNumberFormat="1" applyFont="1" applyFill="1" applyBorder="1" applyAlignment="1">
      <alignment vertical="center"/>
      <protection/>
    </xf>
    <xf numFmtId="3" fontId="49" fillId="0" borderId="28" xfId="57" applyNumberFormat="1" applyFont="1" applyFill="1" applyBorder="1" applyAlignment="1">
      <alignment vertical="center"/>
      <protection/>
    </xf>
    <xf numFmtId="1" fontId="15" fillId="0" borderId="0" xfId="57" applyNumberFormat="1" applyFont="1" applyFill="1" applyAlignment="1">
      <alignment horizontal="right" vertical="center"/>
      <protection/>
    </xf>
    <xf numFmtId="4" fontId="24" fillId="0" borderId="0" xfId="57" applyNumberFormat="1" applyFont="1" applyFill="1" applyAlignment="1">
      <alignment horizontal="right" vertical="center"/>
      <protection/>
    </xf>
    <xf numFmtId="2" fontId="49" fillId="0" borderId="39" xfId="57" applyNumberFormat="1" applyFont="1" applyFill="1" applyBorder="1" applyAlignment="1">
      <alignment horizontal="right" vertical="center"/>
      <protection/>
    </xf>
    <xf numFmtId="2" fontId="36" fillId="0" borderId="39" xfId="57" applyNumberFormat="1" applyFont="1" applyFill="1" applyBorder="1" applyAlignment="1">
      <alignment vertical="center"/>
      <protection/>
    </xf>
    <xf numFmtId="3" fontId="27" fillId="0" borderId="68" xfId="0" applyNumberFormat="1" applyFont="1" applyFill="1" applyBorder="1" applyAlignment="1">
      <alignment horizontal="right" vertical="center"/>
    </xf>
    <xf numFmtId="3" fontId="28" fillId="0" borderId="18" xfId="0" applyNumberFormat="1" applyFont="1" applyFill="1" applyBorder="1" applyAlignment="1">
      <alignment horizontal="left" vertical="center"/>
    </xf>
    <xf numFmtId="3" fontId="28" fillId="0" borderId="68" xfId="0" applyNumberFormat="1" applyFont="1" applyFill="1" applyBorder="1" applyAlignment="1">
      <alignment horizontal="left" vertical="center"/>
    </xf>
    <xf numFmtId="3" fontId="28" fillId="0" borderId="39" xfId="0" applyNumberFormat="1" applyFont="1" applyFill="1" applyBorder="1" applyAlignment="1">
      <alignment horizontal="left" vertical="center"/>
    </xf>
    <xf numFmtId="3" fontId="28" fillId="0" borderId="124" xfId="0" applyNumberFormat="1" applyFont="1" applyFill="1" applyBorder="1" applyAlignment="1">
      <alignment horizontal="right" vertical="center"/>
    </xf>
    <xf numFmtId="3" fontId="28" fillId="32" borderId="125" xfId="0" applyNumberFormat="1" applyFont="1" applyFill="1" applyBorder="1" applyAlignment="1">
      <alignment horizontal="right" vertical="center"/>
    </xf>
    <xf numFmtId="3" fontId="28" fillId="0" borderId="126" xfId="0" applyNumberFormat="1" applyFont="1" applyFill="1" applyBorder="1" applyAlignment="1">
      <alignment horizontal="right" vertical="center"/>
    </xf>
    <xf numFmtId="3" fontId="27" fillId="32" borderId="18" xfId="0" applyNumberFormat="1" applyFont="1" applyFill="1" applyBorder="1" applyAlignment="1">
      <alignment horizontal="right" vertical="center"/>
    </xf>
    <xf numFmtId="3" fontId="28" fillId="32" borderId="124" xfId="0" applyNumberFormat="1" applyFont="1" applyFill="1" applyBorder="1" applyAlignment="1">
      <alignment horizontal="right" vertical="center"/>
    </xf>
    <xf numFmtId="3" fontId="28" fillId="0" borderId="125" xfId="0" applyNumberFormat="1" applyFont="1" applyFill="1" applyBorder="1" applyAlignment="1">
      <alignment horizontal="right" vertical="center"/>
    </xf>
    <xf numFmtId="3" fontId="39" fillId="0" borderId="127" xfId="0" applyNumberFormat="1" applyFont="1" applyFill="1" applyBorder="1" applyAlignment="1">
      <alignment horizontal="right" vertical="center"/>
    </xf>
    <xf numFmtId="3" fontId="39" fillId="0" borderId="128" xfId="0" applyNumberFormat="1" applyFont="1" applyFill="1" applyBorder="1" applyAlignment="1">
      <alignment horizontal="right" vertical="center"/>
    </xf>
    <xf numFmtId="3" fontId="39" fillId="0" borderId="129" xfId="0" applyNumberFormat="1" applyFont="1" applyFill="1" applyBorder="1" applyAlignment="1">
      <alignment horizontal="right" vertical="center"/>
    </xf>
    <xf numFmtId="3" fontId="39" fillId="0" borderId="89" xfId="0" applyNumberFormat="1" applyFont="1" applyFill="1" applyBorder="1" applyAlignment="1">
      <alignment horizontal="right" vertical="center"/>
    </xf>
    <xf numFmtId="3" fontId="39" fillId="0" borderId="130" xfId="0" applyNumberFormat="1" applyFont="1" applyFill="1" applyBorder="1" applyAlignment="1">
      <alignment horizontal="right" vertical="center"/>
    </xf>
    <xf numFmtId="3" fontId="39" fillId="0" borderId="131" xfId="0" applyNumberFormat="1" applyFont="1" applyFill="1" applyBorder="1" applyAlignment="1">
      <alignment horizontal="right" vertical="center"/>
    </xf>
    <xf numFmtId="3" fontId="39" fillId="0" borderId="132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3" fontId="42" fillId="0" borderId="68" xfId="0" applyNumberFormat="1" applyFont="1" applyFill="1" applyBorder="1" applyAlignment="1">
      <alignment horizontal="right" vertical="center"/>
    </xf>
    <xf numFmtId="3" fontId="42" fillId="0" borderId="39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/>
    </xf>
    <xf numFmtId="3" fontId="42" fillId="0" borderId="62" xfId="0" applyNumberFormat="1" applyFont="1" applyFill="1" applyBorder="1" applyAlignment="1">
      <alignment horizontal="right" vertical="center"/>
    </xf>
    <xf numFmtId="3" fontId="42" fillId="0" borderId="58" xfId="0" applyNumberFormat="1" applyFont="1" applyFill="1" applyBorder="1" applyAlignment="1">
      <alignment horizontal="right" vertical="center"/>
    </xf>
    <xf numFmtId="3" fontId="42" fillId="0" borderId="24" xfId="0" applyNumberFormat="1" applyFont="1" applyFill="1" applyBorder="1" applyAlignment="1">
      <alignment horizontal="right" vertical="center"/>
    </xf>
    <xf numFmtId="3" fontId="42" fillId="0" borderId="115" xfId="0" applyNumberFormat="1" applyFont="1" applyFill="1" applyBorder="1" applyAlignment="1">
      <alignment horizontal="right" vertical="center"/>
    </xf>
    <xf numFmtId="3" fontId="42" fillId="0" borderId="48" xfId="0" applyNumberFormat="1" applyFont="1" applyFill="1" applyBorder="1" applyAlignment="1">
      <alignment horizontal="right" vertical="center"/>
    </xf>
    <xf numFmtId="3" fontId="28" fillId="0" borderId="26" xfId="0" applyNumberFormat="1" applyFont="1" applyFill="1" applyBorder="1" applyAlignment="1">
      <alignment horizontal="right" vertical="center"/>
    </xf>
    <xf numFmtId="3" fontId="28" fillId="0" borderId="49" xfId="0" applyNumberFormat="1" applyFont="1" applyFill="1" applyBorder="1" applyAlignment="1">
      <alignment horizontal="right" vertical="center"/>
    </xf>
    <xf numFmtId="3" fontId="28" fillId="0" borderId="20" xfId="0" applyNumberFormat="1" applyFont="1" applyFill="1" applyBorder="1" applyAlignment="1">
      <alignment horizontal="right" vertical="center"/>
    </xf>
    <xf numFmtId="3" fontId="28" fillId="0" borderId="38" xfId="0" applyNumberFormat="1" applyFont="1" applyFill="1" applyBorder="1" applyAlignment="1">
      <alignment horizontal="right" vertical="center"/>
    </xf>
    <xf numFmtId="3" fontId="28" fillId="0" borderId="14" xfId="0" applyNumberFormat="1" applyFont="1" applyFill="1" applyBorder="1" applyAlignment="1">
      <alignment horizontal="right" vertical="center"/>
    </xf>
    <xf numFmtId="3" fontId="28" fillId="0" borderId="40" xfId="0" applyNumberFormat="1" applyFont="1" applyFill="1" applyBorder="1" applyAlignment="1">
      <alignment horizontal="right" vertical="center"/>
    </xf>
    <xf numFmtId="3" fontId="39" fillId="0" borderId="46" xfId="0" applyNumberFormat="1" applyFont="1" applyFill="1" applyBorder="1" applyAlignment="1">
      <alignment horizontal="right" vertical="center"/>
    </xf>
    <xf numFmtId="3" fontId="39" fillId="32" borderId="66" xfId="0" applyNumberFormat="1" applyFont="1" applyFill="1" applyBorder="1" applyAlignment="1">
      <alignment horizontal="right" vertical="center"/>
    </xf>
    <xf numFmtId="3" fontId="27" fillId="0" borderId="49" xfId="0" applyNumberFormat="1" applyFont="1" applyFill="1" applyBorder="1" applyAlignment="1">
      <alignment horizontal="center" vertical="center" shrinkToFit="1"/>
    </xf>
    <xf numFmtId="3" fontId="28" fillId="0" borderId="38" xfId="0" applyNumberFormat="1" applyFont="1" applyFill="1" applyBorder="1" applyAlignment="1">
      <alignment horizontal="right" vertical="center" shrinkToFit="1"/>
    </xf>
    <xf numFmtId="3" fontId="28" fillId="0" borderId="0" xfId="0" applyNumberFormat="1" applyFont="1" applyFill="1" applyBorder="1" applyAlignment="1">
      <alignment horizontal="right" vertical="center"/>
    </xf>
    <xf numFmtId="3" fontId="28" fillId="32" borderId="0" xfId="0" applyNumberFormat="1" applyFont="1" applyFill="1" applyBorder="1" applyAlignment="1">
      <alignment horizontal="right" vertical="center"/>
    </xf>
    <xf numFmtId="3" fontId="28" fillId="0" borderId="61" xfId="0" applyNumberFormat="1" applyFont="1" applyFill="1" applyBorder="1" applyAlignment="1">
      <alignment horizontal="right" vertical="center"/>
    </xf>
    <xf numFmtId="3" fontId="28" fillId="0" borderId="54" xfId="0" applyNumberFormat="1" applyFont="1" applyFill="1" applyBorder="1" applyAlignment="1">
      <alignment horizontal="left" vertical="center"/>
    </xf>
    <xf numFmtId="3" fontId="28" fillId="32" borderId="0" xfId="0" applyNumberFormat="1" applyFont="1" applyFill="1" applyBorder="1" applyAlignment="1">
      <alignment horizontal="left" vertical="center"/>
    </xf>
    <xf numFmtId="3" fontId="28" fillId="0" borderId="61" xfId="0" applyNumberFormat="1" applyFont="1" applyFill="1" applyBorder="1" applyAlignment="1">
      <alignment horizontal="left" vertical="center"/>
    </xf>
    <xf numFmtId="3" fontId="24" fillId="0" borderId="0" xfId="57" applyNumberFormat="1" applyFont="1" applyFill="1" applyAlignment="1">
      <alignment vertical="center"/>
      <protection/>
    </xf>
    <xf numFmtId="49" fontId="27" fillId="0" borderId="19" xfId="0" applyNumberFormat="1" applyFont="1" applyFill="1" applyBorder="1" applyAlignment="1">
      <alignment horizontal="left" vertical="center" shrinkToFit="1"/>
    </xf>
    <xf numFmtId="2" fontId="49" fillId="0" borderId="51" xfId="57" applyNumberFormat="1" applyFont="1" applyFill="1" applyBorder="1" applyAlignment="1">
      <alignment horizontal="right" vertical="center"/>
      <protection/>
    </xf>
    <xf numFmtId="2" fontId="49" fillId="0" borderId="53" xfId="57" applyNumberFormat="1" applyFont="1" applyFill="1" applyBorder="1" applyAlignment="1">
      <alignment horizontal="right" vertical="center"/>
      <protection/>
    </xf>
    <xf numFmtId="2" fontId="36" fillId="0" borderId="51" xfId="57" applyNumberFormat="1" applyFont="1" applyFill="1" applyBorder="1" applyAlignment="1">
      <alignment vertical="center"/>
      <protection/>
    </xf>
    <xf numFmtId="2" fontId="36" fillId="0" borderId="53" xfId="57" applyNumberFormat="1" applyFont="1" applyFill="1" applyBorder="1" applyAlignment="1">
      <alignment vertical="center"/>
      <protection/>
    </xf>
    <xf numFmtId="3" fontId="27" fillId="0" borderId="39" xfId="0" applyNumberFormat="1" applyFont="1" applyFill="1" applyBorder="1" applyAlignment="1">
      <alignment horizontal="right" vertical="center" shrinkToFit="1"/>
    </xf>
    <xf numFmtId="3" fontId="27" fillId="0" borderId="123" xfId="0" applyNumberFormat="1" applyFont="1" applyFill="1" applyBorder="1" applyAlignment="1">
      <alignment horizontal="right" vertical="center" shrinkToFit="1"/>
    </xf>
    <xf numFmtId="3" fontId="8" fillId="0" borderId="133" xfId="0" applyNumberFormat="1" applyFont="1" applyFill="1" applyBorder="1" applyAlignment="1">
      <alignment horizontal="right" vertical="center" shrinkToFit="1"/>
    </xf>
    <xf numFmtId="3" fontId="23" fillId="0" borderId="39" xfId="0" applyNumberFormat="1" applyFont="1" applyFill="1" applyBorder="1" applyAlignment="1">
      <alignment horizontal="right" vertical="center" shrinkToFit="1"/>
    </xf>
    <xf numFmtId="3" fontId="28" fillId="0" borderId="58" xfId="0" applyNumberFormat="1" applyFont="1" applyFill="1" applyBorder="1" applyAlignment="1">
      <alignment horizontal="right" vertical="center" shrinkToFit="1"/>
    </xf>
    <xf numFmtId="3" fontId="27" fillId="0" borderId="58" xfId="0" applyNumberFormat="1" applyFont="1" applyFill="1" applyBorder="1" applyAlignment="1">
      <alignment horizontal="right" vertical="center" shrinkToFit="1"/>
    </xf>
    <xf numFmtId="3" fontId="27" fillId="0" borderId="65" xfId="0" applyNumberFormat="1" applyFont="1" applyFill="1" applyBorder="1" applyAlignment="1">
      <alignment horizontal="right" vertical="center" shrinkToFit="1"/>
    </xf>
    <xf numFmtId="3" fontId="28" fillId="0" borderId="63" xfId="0" applyNumberFormat="1" applyFont="1" applyFill="1" applyBorder="1" applyAlignment="1">
      <alignment horizontal="right" vertical="center" shrinkToFit="1"/>
    </xf>
    <xf numFmtId="3" fontId="27" fillId="0" borderId="63" xfId="0" applyNumberFormat="1" applyFont="1" applyFill="1" applyBorder="1" applyAlignment="1">
      <alignment horizontal="right" vertical="center" shrinkToFit="1"/>
    </xf>
    <xf numFmtId="3" fontId="27" fillId="0" borderId="58" xfId="0" applyNumberFormat="1" applyFont="1" applyBorder="1" applyAlignment="1">
      <alignment/>
    </xf>
    <xf numFmtId="3" fontId="39" fillId="0" borderId="58" xfId="0" applyNumberFormat="1" applyFont="1" applyFill="1" applyBorder="1" applyAlignment="1">
      <alignment horizontal="right" vertical="center" shrinkToFit="1"/>
    </xf>
    <xf numFmtId="3" fontId="4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9" fillId="32" borderId="64" xfId="0" applyNumberFormat="1" applyFont="1" applyFill="1" applyBorder="1" applyAlignment="1">
      <alignment horizontal="right" vertical="center"/>
    </xf>
    <xf numFmtId="3" fontId="39" fillId="0" borderId="17" xfId="0" applyNumberFormat="1" applyFont="1" applyFill="1" applyBorder="1" applyAlignment="1" quotePrefix="1">
      <alignment horizontal="left" vertical="center" indent="2"/>
    </xf>
    <xf numFmtId="3" fontId="39" fillId="0" borderId="57" xfId="0" applyNumberFormat="1" applyFont="1" applyFill="1" applyBorder="1" applyAlignment="1" quotePrefix="1">
      <alignment horizontal="left" vertical="center" indent="2"/>
    </xf>
    <xf numFmtId="3" fontId="27" fillId="0" borderId="24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3" fontId="27" fillId="0" borderId="73" xfId="58" applyNumberFormat="1" applyFont="1" applyFill="1" applyBorder="1" applyAlignment="1">
      <alignment horizontal="left" vertical="center" wrapText="1"/>
      <protection/>
    </xf>
    <xf numFmtId="3" fontId="27" fillId="32" borderId="116" xfId="0" applyNumberFormat="1" applyFont="1" applyFill="1" applyBorder="1" applyAlignment="1">
      <alignment horizontal="right" vertical="center"/>
    </xf>
    <xf numFmtId="3" fontId="27" fillId="0" borderId="57" xfId="58" applyNumberFormat="1" applyFont="1" applyFill="1" applyBorder="1" applyAlignment="1">
      <alignment horizontal="left" vertical="center" wrapText="1"/>
      <protection/>
    </xf>
    <xf numFmtId="1" fontId="14" fillId="0" borderId="28" xfId="57" applyNumberFormat="1" applyFont="1" applyFill="1" applyBorder="1" applyAlignment="1">
      <alignment horizontal="center" vertical="center"/>
      <protection/>
    </xf>
    <xf numFmtId="3" fontId="54" fillId="0" borderId="28" xfId="57" applyNumberFormat="1" applyFont="1" applyFill="1" applyBorder="1" applyAlignment="1">
      <alignment horizontal="right" vertical="center"/>
      <protection/>
    </xf>
    <xf numFmtId="3" fontId="54" fillId="0" borderId="28" xfId="57" applyNumberFormat="1" applyFont="1" applyFill="1" applyBorder="1" applyAlignment="1">
      <alignment vertical="center"/>
      <protection/>
    </xf>
    <xf numFmtId="1" fontId="54" fillId="0" borderId="28" xfId="57" applyNumberFormat="1" applyFont="1" applyFill="1" applyBorder="1" applyAlignment="1">
      <alignment horizontal="right" vertical="center"/>
      <protection/>
    </xf>
    <xf numFmtId="49" fontId="27" fillId="0" borderId="17" xfId="0" applyNumberFormat="1" applyFont="1" applyFill="1" applyBorder="1" applyAlignment="1">
      <alignment horizontal="justify" vertical="center" shrinkToFit="1"/>
    </xf>
    <xf numFmtId="49" fontId="27" fillId="0" borderId="19" xfId="0" applyNumberFormat="1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left" vertical="center"/>
    </xf>
    <xf numFmtId="3" fontId="15" fillId="0" borderId="17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3" fontId="27" fillId="0" borderId="57" xfId="0" applyNumberFormat="1" applyFont="1" applyFill="1" applyBorder="1" applyAlignment="1">
      <alignment vertical="center"/>
    </xf>
    <xf numFmtId="3" fontId="15" fillId="0" borderId="59" xfId="0" applyNumberFormat="1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left" vertical="center"/>
    </xf>
    <xf numFmtId="49" fontId="15" fillId="0" borderId="46" xfId="0" applyNumberFormat="1" applyFont="1" applyFill="1" applyBorder="1" applyAlignment="1">
      <alignment horizontal="center" vertical="center"/>
    </xf>
    <xf numFmtId="3" fontId="15" fillId="0" borderId="46" xfId="0" applyNumberFormat="1" applyFont="1" applyFill="1" applyBorder="1" applyAlignment="1">
      <alignment horizontal="left" vertical="center"/>
    </xf>
    <xf numFmtId="3" fontId="15" fillId="0" borderId="46" xfId="0" applyNumberFormat="1" applyFont="1" applyFill="1" applyBorder="1" applyAlignment="1">
      <alignment horizontal="center" vertical="center"/>
    </xf>
    <xf numFmtId="4" fontId="22" fillId="0" borderId="52" xfId="57" applyNumberFormat="1" applyFont="1" applyFill="1" applyBorder="1" applyAlignment="1">
      <alignment horizontal="right" vertical="center"/>
      <protection/>
    </xf>
    <xf numFmtId="3" fontId="15" fillId="0" borderId="17" xfId="0" applyNumberFormat="1" applyFont="1" applyFill="1" applyBorder="1" applyAlignment="1">
      <alignment horizontal="left" vertical="center" wrapText="1"/>
    </xf>
    <xf numFmtId="3" fontId="14" fillId="0" borderId="24" xfId="57" applyNumberFormat="1" applyFont="1" applyFill="1" applyBorder="1" applyAlignment="1">
      <alignment horizontal="left" vertical="center" wrapText="1" indent="1"/>
      <protection/>
    </xf>
    <xf numFmtId="3" fontId="27" fillId="0" borderId="57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shrinkToFit="1"/>
    </xf>
    <xf numFmtId="3" fontId="43" fillId="32" borderId="17" xfId="0" applyNumberFormat="1" applyFont="1" applyFill="1" applyBorder="1" applyAlignment="1">
      <alignment horizontal="right" vertical="center"/>
    </xf>
    <xf numFmtId="3" fontId="15" fillId="0" borderId="134" xfId="0" applyNumberFormat="1" applyFont="1" applyFill="1" applyBorder="1" applyAlignment="1">
      <alignment horizontal="left" vertical="center" wrapText="1"/>
    </xf>
    <xf numFmtId="3" fontId="58" fillId="32" borderId="18" xfId="0" applyNumberFormat="1" applyFont="1" applyFill="1" applyBorder="1" applyAlignment="1">
      <alignment horizontal="right" vertical="center"/>
    </xf>
    <xf numFmtId="3" fontId="58" fillId="32" borderId="19" xfId="0" applyNumberFormat="1" applyFont="1" applyFill="1" applyBorder="1" applyAlignment="1">
      <alignment horizontal="right" vertical="center"/>
    </xf>
    <xf numFmtId="49" fontId="27" fillId="0" borderId="18" xfId="0" applyNumberFormat="1" applyFont="1" applyFill="1" applyBorder="1" applyAlignment="1">
      <alignment horizontal="left" vertical="center" wrapText="1"/>
    </xf>
    <xf numFmtId="3" fontId="58" fillId="32" borderId="73" xfId="0" applyNumberFormat="1" applyFont="1" applyFill="1" applyBorder="1" applyAlignment="1">
      <alignment horizontal="right" vertical="center"/>
    </xf>
    <xf numFmtId="3" fontId="97" fillId="0" borderId="0" xfId="57" applyNumberFormat="1" applyFont="1" applyFill="1" applyAlignment="1">
      <alignment vertical="center"/>
      <protection/>
    </xf>
    <xf numFmtId="3" fontId="97" fillId="0" borderId="30" xfId="57" applyNumberFormat="1" applyFont="1" applyFill="1" applyBorder="1" applyAlignment="1">
      <alignment vertical="center"/>
      <protection/>
    </xf>
    <xf numFmtId="3" fontId="97" fillId="0" borderId="32" xfId="57" applyNumberFormat="1" applyFont="1" applyFill="1" applyBorder="1" applyAlignment="1">
      <alignment vertical="center"/>
      <protection/>
    </xf>
    <xf numFmtId="3" fontId="97" fillId="0" borderId="28" xfId="57" applyNumberFormat="1" applyFont="1" applyFill="1" applyBorder="1" applyAlignment="1">
      <alignment vertical="center"/>
      <protection/>
    </xf>
    <xf numFmtId="3" fontId="98" fillId="0" borderId="26" xfId="57" applyNumberFormat="1" applyFont="1" applyFill="1" applyBorder="1" applyAlignment="1">
      <alignment vertical="center"/>
      <protection/>
    </xf>
    <xf numFmtId="3" fontId="97" fillId="0" borderId="18" xfId="57" applyNumberFormat="1" applyFont="1" applyFill="1" applyBorder="1" applyAlignment="1">
      <alignment vertical="center"/>
      <protection/>
    </xf>
    <xf numFmtId="0" fontId="29" fillId="0" borderId="135" xfId="0" applyFont="1" applyFill="1" applyBorder="1" applyAlignment="1">
      <alignment horizontal="left" vertical="center" shrinkToFit="1"/>
    </xf>
    <xf numFmtId="0" fontId="29" fillId="0" borderId="9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0" fontId="29" fillId="0" borderId="44" xfId="0" applyFont="1" applyFill="1" applyBorder="1" applyAlignment="1">
      <alignment horizontal="center" shrinkToFit="1"/>
    </xf>
    <xf numFmtId="0" fontId="29" fillId="0" borderId="45" xfId="0" applyFont="1" applyFill="1" applyBorder="1" applyAlignment="1">
      <alignment horizontal="center" shrinkToFit="1"/>
    </xf>
    <xf numFmtId="0" fontId="29" fillId="0" borderId="136" xfId="0" applyFont="1" applyFill="1" applyBorder="1" applyAlignment="1">
      <alignment horizontal="center" shrinkToFit="1"/>
    </xf>
    <xf numFmtId="0" fontId="29" fillId="0" borderId="137" xfId="0" applyFont="1" applyFill="1" applyBorder="1" applyAlignment="1">
      <alignment horizontal="left" vertical="center"/>
    </xf>
    <xf numFmtId="0" fontId="29" fillId="0" borderId="138" xfId="0" applyFont="1" applyFill="1" applyBorder="1" applyAlignment="1">
      <alignment horizontal="left" vertical="center"/>
    </xf>
    <xf numFmtId="2" fontId="28" fillId="0" borderId="135" xfId="0" applyNumberFormat="1" applyFont="1" applyFill="1" applyBorder="1" applyAlignment="1">
      <alignment horizontal="center" vertical="center" shrinkToFit="1"/>
    </xf>
    <xf numFmtId="2" fontId="28" fillId="0" borderId="139" xfId="0" applyNumberFormat="1" applyFont="1" applyFill="1" applyBorder="1" applyAlignment="1">
      <alignment horizontal="center" vertical="center" shrinkToFit="1"/>
    </xf>
    <xf numFmtId="2" fontId="28" fillId="0" borderId="137" xfId="0" applyNumberFormat="1" applyFont="1" applyFill="1" applyBorder="1" applyAlignment="1">
      <alignment horizontal="center" shrinkToFit="1"/>
    </xf>
    <xf numFmtId="2" fontId="28" fillId="0" borderId="140" xfId="0" applyNumberFormat="1" applyFont="1" applyFill="1" applyBorder="1" applyAlignment="1">
      <alignment horizontal="center" shrinkToFit="1"/>
    </xf>
    <xf numFmtId="0" fontId="28" fillId="0" borderId="137" xfId="0" applyFont="1" applyFill="1" applyBorder="1" applyAlignment="1">
      <alignment horizontal="center" vertical="center" shrinkToFit="1"/>
    </xf>
    <xf numFmtId="0" fontId="28" fillId="0" borderId="140" xfId="0" applyFont="1" applyFill="1" applyBorder="1" applyAlignment="1">
      <alignment horizontal="center" vertical="center" shrinkToFit="1"/>
    </xf>
    <xf numFmtId="0" fontId="28" fillId="32" borderId="44" xfId="0" applyFont="1" applyFill="1" applyBorder="1" applyAlignment="1">
      <alignment horizontal="center" vertical="center" shrinkToFit="1"/>
    </xf>
    <xf numFmtId="0" fontId="28" fillId="32" borderId="45" xfId="0" applyFont="1" applyFill="1" applyBorder="1" applyAlignment="1">
      <alignment horizontal="center" vertical="center" shrinkToFit="1"/>
    </xf>
    <xf numFmtId="0" fontId="28" fillId="32" borderId="136" xfId="0" applyFont="1" applyFill="1" applyBorder="1" applyAlignment="1">
      <alignment horizontal="center" vertical="center" shrinkToFit="1"/>
    </xf>
    <xf numFmtId="2" fontId="28" fillId="0" borderId="137" xfId="0" applyNumberFormat="1" applyFont="1" applyFill="1" applyBorder="1" applyAlignment="1">
      <alignment horizontal="center" vertical="center" shrinkToFit="1"/>
    </xf>
    <xf numFmtId="2" fontId="28" fillId="0" borderId="14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61" xfId="0" applyFont="1" applyFill="1" applyBorder="1" applyAlignment="1">
      <alignment horizontal="center" vertical="center" shrinkToFit="1"/>
    </xf>
    <xf numFmtId="2" fontId="28" fillId="0" borderId="137" xfId="0" applyNumberFormat="1" applyFont="1" applyFill="1" applyBorder="1" applyAlignment="1">
      <alignment horizontal="left" vertical="center" wrapText="1" shrinkToFit="1"/>
    </xf>
    <xf numFmtId="2" fontId="28" fillId="0" borderId="140" xfId="0" applyNumberFormat="1" applyFont="1" applyFill="1" applyBorder="1" applyAlignment="1">
      <alignment horizontal="left" vertical="center" wrapText="1" shrinkToFit="1"/>
    </xf>
    <xf numFmtId="3" fontId="28" fillId="0" borderId="38" xfId="0" applyNumberFormat="1" applyFont="1" applyFill="1" applyBorder="1" applyAlignment="1">
      <alignment horizontal="center" vertical="center" wrapText="1"/>
    </xf>
    <xf numFmtId="3" fontId="28" fillId="0" borderId="40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textRotation="1"/>
    </xf>
    <xf numFmtId="0" fontId="0" fillId="0" borderId="14" xfId="0" applyFont="1" applyBorder="1" applyAlignment="1">
      <alignment horizontal="center" vertical="center" textRotation="1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17" fillId="0" borderId="56" xfId="0" applyNumberFormat="1" applyFont="1" applyFill="1" applyBorder="1" applyAlignment="1">
      <alignment horizontal="left" vertical="center"/>
    </xf>
    <xf numFmtId="3" fontId="17" fillId="0" borderId="93" xfId="0" applyNumberFormat="1" applyFont="1" applyFill="1" applyBorder="1" applyAlignment="1">
      <alignment horizontal="left" vertical="center"/>
    </xf>
    <xf numFmtId="3" fontId="17" fillId="0" borderId="67" xfId="0" applyNumberFormat="1" applyFont="1" applyFill="1" applyBorder="1" applyAlignment="1">
      <alignment horizontal="left" vertical="center"/>
    </xf>
    <xf numFmtId="3" fontId="15" fillId="0" borderId="17" xfId="0" applyNumberFormat="1" applyFont="1" applyFill="1" applyBorder="1" applyAlignment="1">
      <alignment horizontal="left" vertical="center"/>
    </xf>
    <xf numFmtId="3" fontId="15" fillId="0" borderId="46" xfId="0" applyNumberFormat="1" applyFont="1" applyFill="1" applyBorder="1" applyAlignment="1">
      <alignment horizontal="left" vertical="center"/>
    </xf>
    <xf numFmtId="3" fontId="15" fillId="0" borderId="20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3" fontId="17" fillId="0" borderId="89" xfId="0" applyNumberFormat="1" applyFont="1" applyFill="1" applyBorder="1" applyAlignment="1">
      <alignment horizontal="left" vertical="center"/>
    </xf>
    <xf numFmtId="3" fontId="17" fillId="0" borderId="141" xfId="0" applyNumberFormat="1" applyFont="1" applyFill="1" applyBorder="1" applyAlignment="1">
      <alignment horizontal="left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27" fillId="0" borderId="17" xfId="0" applyNumberFormat="1" applyFont="1" applyFill="1" applyBorder="1" applyAlignment="1">
      <alignment horizontal="left" vertical="center"/>
    </xf>
    <xf numFmtId="3" fontId="27" fillId="0" borderId="46" xfId="0" applyNumberFormat="1" applyFont="1" applyFill="1" applyBorder="1" applyAlignment="1">
      <alignment horizontal="left" vertical="center"/>
    </xf>
    <xf numFmtId="3" fontId="17" fillId="0" borderId="142" xfId="0" applyNumberFormat="1" applyFont="1" applyFill="1" applyBorder="1" applyAlignment="1">
      <alignment horizontal="left" vertical="center"/>
    </xf>
    <xf numFmtId="3" fontId="17" fillId="0" borderId="143" xfId="0" applyNumberFormat="1" applyFont="1" applyFill="1" applyBorder="1" applyAlignment="1">
      <alignment horizontal="left" vertical="center"/>
    </xf>
    <xf numFmtId="3" fontId="17" fillId="0" borderId="144" xfId="0" applyNumberFormat="1" applyFont="1" applyFill="1" applyBorder="1" applyAlignment="1">
      <alignment horizontal="left" vertical="center"/>
    </xf>
    <xf numFmtId="3" fontId="28" fillId="0" borderId="145" xfId="0" applyNumberFormat="1" applyFont="1" applyFill="1" applyBorder="1" applyAlignment="1">
      <alignment horizontal="center" vertical="center"/>
    </xf>
    <xf numFmtId="3" fontId="28" fillId="0" borderId="146" xfId="0" applyNumberFormat="1" applyFont="1" applyFill="1" applyBorder="1" applyAlignment="1">
      <alignment horizontal="center" vertical="center"/>
    </xf>
    <xf numFmtId="3" fontId="28" fillId="0" borderId="147" xfId="0" applyNumberFormat="1" applyFont="1" applyFill="1" applyBorder="1" applyAlignment="1">
      <alignment horizontal="center" vertical="center"/>
    </xf>
    <xf numFmtId="3" fontId="39" fillId="0" borderId="64" xfId="0" applyNumberFormat="1" applyFont="1" applyFill="1" applyBorder="1" applyAlignment="1">
      <alignment horizontal="left" vertical="center"/>
    </xf>
    <xf numFmtId="3" fontId="39" fillId="0" borderId="93" xfId="0" applyNumberFormat="1" applyFont="1" applyFill="1" applyBorder="1" applyAlignment="1">
      <alignment horizontal="left" vertical="center"/>
    </xf>
    <xf numFmtId="3" fontId="39" fillId="0" borderId="57" xfId="0" applyNumberFormat="1" applyFont="1" applyFill="1" applyBorder="1" applyAlignment="1">
      <alignment horizontal="left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15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3" fontId="28" fillId="0" borderId="64" xfId="0" applyNumberFormat="1" applyFont="1" applyFill="1" applyBorder="1" applyAlignment="1">
      <alignment horizontal="left" vertical="center"/>
    </xf>
    <xf numFmtId="3" fontId="28" fillId="0" borderId="93" xfId="0" applyNumberFormat="1" applyFont="1" applyFill="1" applyBorder="1" applyAlignment="1">
      <alignment horizontal="left" vertical="center"/>
    </xf>
    <xf numFmtId="3" fontId="28" fillId="0" borderId="89" xfId="0" applyNumberFormat="1" applyFont="1" applyFill="1" applyBorder="1" applyAlignment="1">
      <alignment horizontal="left" vertical="center"/>
    </xf>
    <xf numFmtId="3" fontId="28" fillId="0" borderId="67" xfId="0" applyNumberFormat="1" applyFont="1" applyFill="1" applyBorder="1" applyAlignment="1">
      <alignment horizontal="left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61" xfId="0" applyNumberFormat="1" applyFont="1" applyFill="1" applyBorder="1" applyAlignment="1">
      <alignment horizontal="center" vertical="center"/>
    </xf>
    <xf numFmtId="3" fontId="17" fillId="0" borderId="54" xfId="0" applyNumberFormat="1" applyFont="1" applyFill="1" applyBorder="1" applyAlignment="1">
      <alignment horizontal="center" vertical="center"/>
    </xf>
    <xf numFmtId="3" fontId="17" fillId="0" borderId="60" xfId="0" applyNumberFormat="1" applyFont="1" applyFill="1" applyBorder="1" applyAlignment="1">
      <alignment horizontal="center" vertical="center"/>
    </xf>
    <xf numFmtId="3" fontId="15" fillId="0" borderId="46" xfId="0" applyNumberFormat="1" applyFont="1" applyFill="1" applyBorder="1" applyAlignment="1">
      <alignment horizontal="center" vertical="center"/>
    </xf>
    <xf numFmtId="3" fontId="17" fillId="0" borderId="57" xfId="0" applyNumberFormat="1" applyFont="1" applyFill="1" applyBorder="1" applyAlignment="1">
      <alignment horizontal="left" vertical="center"/>
    </xf>
    <xf numFmtId="3" fontId="17" fillId="0" borderId="142" xfId="0" applyNumberFormat="1" applyFont="1" applyFill="1" applyBorder="1" applyAlignment="1">
      <alignment horizontal="center" vertical="center"/>
    </xf>
    <xf numFmtId="3" fontId="17" fillId="0" borderId="143" xfId="0" applyNumberFormat="1" applyFont="1" applyFill="1" applyBorder="1" applyAlignment="1">
      <alignment horizontal="center" vertical="center"/>
    </xf>
    <xf numFmtId="3" fontId="17" fillId="0" borderId="146" xfId="0" applyNumberFormat="1" applyFont="1" applyFill="1" applyBorder="1" applyAlignment="1">
      <alignment horizontal="center" vertical="center"/>
    </xf>
    <xf numFmtId="3" fontId="17" fillId="0" borderId="147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left" vertical="center" wrapText="1"/>
    </xf>
    <xf numFmtId="3" fontId="15" fillId="0" borderId="46" xfId="0" applyNumberFormat="1" applyFont="1" applyFill="1" applyBorder="1" applyAlignment="1">
      <alignment horizontal="left" vertical="center" wrapText="1"/>
    </xf>
    <xf numFmtId="3" fontId="38" fillId="0" borderId="141" xfId="0" applyNumberFormat="1" applyFont="1" applyFill="1" applyBorder="1" applyAlignment="1">
      <alignment horizontal="center" vertical="center"/>
    </xf>
    <xf numFmtId="3" fontId="38" fillId="0" borderId="89" xfId="0" applyNumberFormat="1" applyFont="1" applyFill="1" applyBorder="1" applyAlignment="1">
      <alignment horizontal="center" vertical="center"/>
    </xf>
    <xf numFmtId="3" fontId="38" fillId="0" borderId="67" xfId="0" applyNumberFormat="1" applyFont="1" applyFill="1" applyBorder="1" applyAlignment="1">
      <alignment horizontal="center" vertical="center"/>
    </xf>
    <xf numFmtId="3" fontId="38" fillId="0" borderId="71" xfId="0" applyNumberFormat="1" applyFont="1" applyFill="1" applyBorder="1" applyAlignment="1">
      <alignment horizontal="center" vertical="center"/>
    </xf>
    <xf numFmtId="3" fontId="38" fillId="0" borderId="74" xfId="0" applyNumberFormat="1" applyFont="1" applyFill="1" applyBorder="1" applyAlignment="1">
      <alignment horizontal="center" vertical="center"/>
    </xf>
    <xf numFmtId="3" fontId="38" fillId="0" borderId="72" xfId="0" applyNumberFormat="1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>
      <alignment horizontal="center" vertical="center"/>
    </xf>
    <xf numFmtId="3" fontId="15" fillId="0" borderId="85" xfId="0" applyNumberFormat="1" applyFont="1" applyFill="1" applyBorder="1" applyAlignment="1">
      <alignment horizontal="center" vertical="center"/>
    </xf>
    <xf numFmtId="3" fontId="15" fillId="0" borderId="148" xfId="0" applyNumberFormat="1" applyFont="1" applyFill="1" applyBorder="1" applyAlignment="1">
      <alignment horizontal="center" vertical="center"/>
    </xf>
    <xf numFmtId="3" fontId="17" fillId="0" borderId="149" xfId="0" applyNumberFormat="1" applyFont="1" applyFill="1" applyBorder="1" applyAlignment="1">
      <alignment horizontal="center" vertical="center"/>
    </xf>
    <xf numFmtId="3" fontId="17" fillId="0" borderId="150" xfId="0" applyNumberFormat="1" applyFont="1" applyFill="1" applyBorder="1" applyAlignment="1">
      <alignment horizontal="center" vertical="center"/>
    </xf>
    <xf numFmtId="3" fontId="17" fillId="0" borderId="151" xfId="0" applyNumberFormat="1" applyFont="1" applyFill="1" applyBorder="1" applyAlignment="1">
      <alignment horizontal="center" vertical="center"/>
    </xf>
    <xf numFmtId="3" fontId="15" fillId="0" borderId="85" xfId="0" applyNumberFormat="1" applyFont="1" applyFill="1" applyBorder="1" applyAlignment="1">
      <alignment horizontal="left" vertical="center" wrapText="1"/>
    </xf>
    <xf numFmtId="3" fontId="17" fillId="0" borderId="44" xfId="0" applyNumberFormat="1" applyFont="1" applyFill="1" applyBorder="1" applyAlignment="1">
      <alignment horizontal="center" vertical="center"/>
    </xf>
    <xf numFmtId="3" fontId="17" fillId="0" borderId="45" xfId="0" applyNumberFormat="1" applyFont="1" applyFill="1" applyBorder="1" applyAlignment="1">
      <alignment horizontal="center" vertical="center"/>
    </xf>
    <xf numFmtId="3" fontId="17" fillId="0" borderId="111" xfId="0" applyNumberFormat="1" applyFont="1" applyFill="1" applyBorder="1" applyAlignment="1">
      <alignment horizontal="center" vertical="center"/>
    </xf>
    <xf numFmtId="3" fontId="38" fillId="0" borderId="56" xfId="0" applyNumberFormat="1" applyFont="1" applyFill="1" applyBorder="1" applyAlignment="1">
      <alignment horizontal="center" vertical="center"/>
    </xf>
    <xf numFmtId="3" fontId="38" fillId="0" borderId="93" xfId="0" applyNumberFormat="1" applyFont="1" applyFill="1" applyBorder="1" applyAlignment="1">
      <alignment horizontal="center" vertical="center"/>
    </xf>
    <xf numFmtId="3" fontId="38" fillId="0" borderId="57" xfId="0" applyNumberFormat="1" applyFont="1" applyFill="1" applyBorder="1" applyAlignment="1">
      <alignment horizontal="center" vertical="center"/>
    </xf>
    <xf numFmtId="3" fontId="28" fillId="0" borderId="137" xfId="0" applyNumberFormat="1" applyFont="1" applyFill="1" applyBorder="1" applyAlignment="1">
      <alignment horizontal="center" vertical="center"/>
    </xf>
    <xf numFmtId="3" fontId="28" fillId="0" borderId="152" xfId="0" applyNumberFormat="1" applyFont="1" applyFill="1" applyBorder="1" applyAlignment="1">
      <alignment horizontal="center" vertical="center"/>
    </xf>
    <xf numFmtId="3" fontId="28" fillId="0" borderId="140" xfId="0" applyNumberFormat="1" applyFont="1" applyFill="1" applyBorder="1" applyAlignment="1">
      <alignment horizontal="center" vertical="center"/>
    </xf>
    <xf numFmtId="3" fontId="17" fillId="0" borderId="141" xfId="0" applyNumberFormat="1" applyFont="1" applyFill="1" applyBorder="1" applyAlignment="1">
      <alignment horizontal="center" vertical="center"/>
    </xf>
    <xf numFmtId="3" fontId="17" fillId="0" borderId="89" xfId="0" applyNumberFormat="1" applyFont="1" applyFill="1" applyBorder="1" applyAlignment="1">
      <alignment horizontal="center" vertical="center"/>
    </xf>
    <xf numFmtId="3" fontId="17" fillId="0" borderId="67" xfId="0" applyNumberFormat="1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>
      <alignment horizontal="left" vertical="center"/>
    </xf>
    <xf numFmtId="3" fontId="27" fillId="0" borderId="19" xfId="0" applyNumberFormat="1" applyFont="1" applyFill="1" applyBorder="1" applyAlignment="1">
      <alignment horizontal="left" vertical="center"/>
    </xf>
    <xf numFmtId="3" fontId="17" fillId="32" borderId="44" xfId="0" applyNumberFormat="1" applyFont="1" applyFill="1" applyBorder="1" applyAlignment="1">
      <alignment horizontal="center" vertical="center"/>
    </xf>
    <xf numFmtId="3" fontId="17" fillId="32" borderId="45" xfId="0" applyNumberFormat="1" applyFont="1" applyFill="1" applyBorder="1" applyAlignment="1">
      <alignment horizontal="center" vertical="center"/>
    </xf>
    <xf numFmtId="3" fontId="17" fillId="32" borderId="136" xfId="0" applyNumberFormat="1" applyFont="1" applyFill="1" applyBorder="1" applyAlignment="1">
      <alignment horizontal="center" vertical="center"/>
    </xf>
    <xf numFmtId="0" fontId="28" fillId="0" borderId="153" xfId="0" applyFont="1" applyBorder="1" applyAlignment="1">
      <alignment horizontal="center" vertical="center" wrapText="1"/>
    </xf>
    <xf numFmtId="0" fontId="28" fillId="0" borderId="154" xfId="0" applyFont="1" applyBorder="1" applyAlignment="1">
      <alignment horizontal="center" vertical="center" wrapText="1"/>
    </xf>
    <xf numFmtId="0" fontId="28" fillId="0" borderId="155" xfId="0" applyFont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15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left" vertical="center" wrapText="1"/>
    </xf>
    <xf numFmtId="3" fontId="39" fillId="0" borderId="156" xfId="0" applyNumberFormat="1" applyFont="1" applyFill="1" applyBorder="1" applyAlignment="1">
      <alignment horizontal="center" vertical="center"/>
    </xf>
    <xf numFmtId="3" fontId="39" fillId="0" borderId="131" xfId="0" applyNumberFormat="1" applyFont="1" applyFill="1" applyBorder="1" applyAlignment="1">
      <alignment horizontal="center" vertical="center"/>
    </xf>
    <xf numFmtId="0" fontId="28" fillId="0" borderId="157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137" xfId="0" applyFont="1" applyBorder="1" applyAlignment="1">
      <alignment horizontal="center" vertical="center" wrapText="1"/>
    </xf>
    <xf numFmtId="0" fontId="28" fillId="0" borderId="152" xfId="0" applyFont="1" applyBorder="1" applyAlignment="1">
      <alignment horizontal="center" vertical="center" wrapText="1"/>
    </xf>
    <xf numFmtId="0" fontId="28" fillId="0" borderId="140" xfId="0" applyFont="1" applyBorder="1" applyAlignment="1">
      <alignment horizontal="center" vertical="center" wrapText="1"/>
    </xf>
    <xf numFmtId="3" fontId="39" fillId="0" borderId="158" xfId="0" applyNumberFormat="1" applyFont="1" applyFill="1" applyBorder="1" applyAlignment="1" quotePrefix="1">
      <alignment horizontal="center" vertical="center"/>
    </xf>
    <xf numFmtId="3" fontId="39" fillId="0" borderId="128" xfId="0" applyNumberFormat="1" applyFont="1" applyFill="1" applyBorder="1" applyAlignment="1" quotePrefix="1">
      <alignment horizontal="center" vertical="center"/>
    </xf>
    <xf numFmtId="3" fontId="39" fillId="0" borderId="141" xfId="0" applyNumberFormat="1" applyFont="1" applyFill="1" applyBorder="1" applyAlignment="1">
      <alignment horizontal="center" vertical="center"/>
    </xf>
    <xf numFmtId="3" fontId="39" fillId="0" borderId="89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left" vertical="center"/>
    </xf>
    <xf numFmtId="3" fontId="17" fillId="0" borderId="15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horizontal="right" vertical="top"/>
    </xf>
    <xf numFmtId="3" fontId="15" fillId="0" borderId="60" xfId="0" applyNumberFormat="1" applyFont="1" applyFill="1" applyBorder="1" applyAlignment="1">
      <alignment horizontal="center" vertical="center"/>
    </xf>
    <xf numFmtId="3" fontId="28" fillId="0" borderId="20" xfId="0" applyNumberFormat="1" applyFont="1" applyFill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 horizontal="center" vertical="center" wrapText="1"/>
    </xf>
    <xf numFmtId="3" fontId="17" fillId="0" borderId="16" xfId="0" applyNumberFormat="1" applyFont="1" applyFill="1" applyBorder="1" applyAlignment="1">
      <alignment horizontal="center" vertical="center"/>
    </xf>
    <xf numFmtId="3" fontId="17" fillId="0" borderId="76" xfId="0" applyNumberFormat="1" applyFont="1" applyFill="1" applyBorder="1" applyAlignment="1">
      <alignment horizontal="center" vertical="center"/>
    </xf>
    <xf numFmtId="3" fontId="42" fillId="0" borderId="42" xfId="0" applyNumberFormat="1" applyFont="1" applyFill="1" applyBorder="1" applyAlignment="1">
      <alignment horizontal="center" vertical="center"/>
    </xf>
    <xf numFmtId="3" fontId="42" fillId="0" borderId="75" xfId="0" applyNumberFormat="1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17" fillId="0" borderId="159" xfId="0" applyFont="1" applyBorder="1" applyAlignment="1">
      <alignment horizontal="center" vertical="center" wrapText="1"/>
    </xf>
    <xf numFmtId="0" fontId="17" fillId="0" borderId="160" xfId="0" applyFont="1" applyBorder="1" applyAlignment="1">
      <alignment horizontal="center" vertical="center" wrapText="1"/>
    </xf>
    <xf numFmtId="0" fontId="17" fillId="0" borderId="161" xfId="0" applyFont="1" applyBorder="1" applyAlignment="1">
      <alignment horizontal="center" vertical="center" wrapText="1"/>
    </xf>
    <xf numFmtId="0" fontId="28" fillId="0" borderId="162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5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163" xfId="0" applyFont="1" applyBorder="1" applyAlignment="1">
      <alignment horizontal="center" vertical="center" wrapText="1"/>
    </xf>
    <xf numFmtId="0" fontId="28" fillId="0" borderId="144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8" fillId="0" borderId="30" xfId="0" applyFont="1" applyBorder="1" applyAlignment="1" quotePrefix="1">
      <alignment horizontal="center" vertical="center" wrapText="1"/>
    </xf>
    <xf numFmtId="1" fontId="17" fillId="0" borderId="22" xfId="57" applyNumberFormat="1" applyFont="1" applyFill="1" applyBorder="1" applyAlignment="1">
      <alignment horizontal="center" vertical="center" wrapText="1"/>
      <protection/>
    </xf>
    <xf numFmtId="1" fontId="17" fillId="0" borderId="30" xfId="57" applyNumberFormat="1" applyFont="1" applyFill="1" applyBorder="1" applyAlignment="1">
      <alignment horizontal="center" vertical="center" wrapText="1"/>
      <protection/>
    </xf>
    <xf numFmtId="0" fontId="28" fillId="0" borderId="51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3" fontId="22" fillId="0" borderId="121" xfId="57" applyNumberFormat="1" applyFont="1" applyFill="1" applyBorder="1" applyAlignment="1">
      <alignment horizontal="left" vertical="center" wrapText="1"/>
      <protection/>
    </xf>
    <xf numFmtId="3" fontId="22" fillId="0" borderId="151" xfId="57" applyNumberFormat="1" applyFont="1" applyFill="1" applyBorder="1" applyAlignment="1">
      <alignment horizontal="left" vertical="center" wrapText="1"/>
      <protection/>
    </xf>
    <xf numFmtId="3" fontId="14" fillId="0" borderId="32" xfId="57" applyNumberFormat="1" applyFont="1" applyFill="1" applyBorder="1" applyAlignment="1">
      <alignment horizontal="center" vertical="center"/>
      <protection/>
    </xf>
    <xf numFmtId="3" fontId="14" fillId="0" borderId="24" xfId="57" applyNumberFormat="1" applyFont="1" applyFill="1" applyBorder="1" applyAlignment="1">
      <alignment horizontal="center" vertical="center"/>
      <protection/>
    </xf>
    <xf numFmtId="3" fontId="12" fillId="0" borderId="21" xfId="57" applyNumberFormat="1" applyFont="1" applyFill="1" applyBorder="1" applyAlignment="1">
      <alignment horizontal="center" vertical="center"/>
      <protection/>
    </xf>
    <xf numFmtId="3" fontId="12" fillId="0" borderId="22" xfId="57" applyNumberFormat="1" applyFont="1" applyFill="1" applyBorder="1" applyAlignment="1">
      <alignment horizontal="center" vertical="center"/>
      <protection/>
    </xf>
    <xf numFmtId="3" fontId="22" fillId="0" borderId="32" xfId="57" applyNumberFormat="1" applyFont="1" applyFill="1" applyBorder="1" applyAlignment="1">
      <alignment horizontal="left" vertical="center" shrinkToFit="1"/>
      <protection/>
    </xf>
    <xf numFmtId="3" fontId="22" fillId="0" borderId="24" xfId="57" applyNumberFormat="1" applyFont="1" applyFill="1" applyBorder="1" applyAlignment="1">
      <alignment horizontal="left" vertical="center" shrinkToFit="1"/>
      <protection/>
    </xf>
    <xf numFmtId="1" fontId="14" fillId="0" borderId="32" xfId="57" applyNumberFormat="1" applyFont="1" applyFill="1" applyBorder="1" applyAlignment="1">
      <alignment horizontal="center" vertical="center"/>
      <protection/>
    </xf>
    <xf numFmtId="1" fontId="14" fillId="0" borderId="24" xfId="57" applyNumberFormat="1" applyFont="1" applyFill="1" applyBorder="1" applyAlignment="1">
      <alignment horizontal="center" vertical="center"/>
      <protection/>
    </xf>
    <xf numFmtId="3" fontId="22" fillId="0" borderId="32" xfId="57" applyNumberFormat="1" applyFont="1" applyFill="1" applyBorder="1" applyAlignment="1">
      <alignment horizontal="left" vertical="center" indent="1" shrinkToFit="1"/>
      <protection/>
    </xf>
    <xf numFmtId="3" fontId="22" fillId="0" borderId="24" xfId="57" applyNumberFormat="1" applyFont="1" applyFill="1" applyBorder="1" applyAlignment="1">
      <alignment horizontal="left" vertical="center" indent="1" shrinkToFit="1"/>
      <protection/>
    </xf>
    <xf numFmtId="1" fontId="14" fillId="0" borderId="18" xfId="57" applyNumberFormat="1" applyFont="1" applyFill="1" applyBorder="1" applyAlignment="1">
      <alignment horizontal="center" vertical="center"/>
      <protection/>
    </xf>
    <xf numFmtId="3" fontId="24" fillId="0" borderId="18" xfId="57" applyNumberFormat="1" applyFont="1" applyFill="1" applyBorder="1" applyAlignment="1">
      <alignment horizontal="center" vertical="center" wrapText="1"/>
      <protection/>
    </xf>
    <xf numFmtId="3" fontId="24" fillId="0" borderId="14" xfId="57" applyNumberFormat="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3" fontId="32" fillId="0" borderId="149" xfId="57" applyNumberFormat="1" applyFont="1" applyFill="1" applyBorder="1" applyAlignment="1">
      <alignment horizontal="center" vertical="center"/>
      <protection/>
    </xf>
    <xf numFmtId="3" fontId="32" fillId="0" borderId="150" xfId="57" applyNumberFormat="1" applyFont="1" applyFill="1" applyBorder="1" applyAlignment="1">
      <alignment horizontal="center" vertical="center"/>
      <protection/>
    </xf>
    <xf numFmtId="3" fontId="32" fillId="0" borderId="151" xfId="57" applyNumberFormat="1" applyFont="1" applyFill="1" applyBorder="1" applyAlignment="1">
      <alignment horizontal="center" vertical="center"/>
      <protection/>
    </xf>
    <xf numFmtId="3" fontId="16" fillId="0" borderId="159" xfId="57" applyNumberFormat="1" applyFont="1" applyFill="1" applyBorder="1" applyAlignment="1">
      <alignment horizontal="center" vertical="center" wrapText="1"/>
      <protection/>
    </xf>
    <xf numFmtId="3" fontId="16" fillId="0" borderId="160" xfId="57" applyNumberFormat="1" applyFont="1" applyFill="1" applyBorder="1" applyAlignment="1">
      <alignment horizontal="center" vertical="center" wrapText="1"/>
      <protection/>
    </xf>
    <xf numFmtId="3" fontId="16" fillId="0" borderId="161" xfId="57" applyNumberFormat="1" applyFont="1" applyFill="1" applyBorder="1" applyAlignment="1">
      <alignment horizontal="center" vertical="center" wrapText="1"/>
      <protection/>
    </xf>
    <xf numFmtId="1" fontId="24" fillId="0" borderId="32" xfId="57" applyNumberFormat="1" applyFont="1" applyFill="1" applyBorder="1" applyAlignment="1">
      <alignment horizontal="center" vertical="center" wrapText="1"/>
      <protection/>
    </xf>
    <xf numFmtId="1" fontId="24" fillId="0" borderId="14" xfId="57" applyNumberFormat="1" applyFont="1" applyFill="1" applyBorder="1" applyAlignment="1">
      <alignment horizontal="center" vertical="center" wrapText="1"/>
      <protection/>
    </xf>
    <xf numFmtId="3" fontId="16" fillId="0" borderId="36" xfId="57" applyNumberFormat="1" applyFont="1" applyFill="1" applyBorder="1" applyAlignment="1">
      <alignment horizontal="center" vertical="center"/>
      <protection/>
    </xf>
    <xf numFmtId="3" fontId="16" fillId="0" borderId="16" xfId="57" applyNumberFormat="1" applyFont="1" applyFill="1" applyBorder="1" applyAlignment="1">
      <alignment horizontal="center" vertical="center"/>
      <protection/>
    </xf>
    <xf numFmtId="3" fontId="16" fillId="0" borderId="13" xfId="57" applyNumberFormat="1" applyFont="1" applyFill="1" applyBorder="1" applyAlignment="1">
      <alignment horizontal="center" vertical="center"/>
      <protection/>
    </xf>
    <xf numFmtId="3" fontId="16" fillId="0" borderId="76" xfId="57" applyNumberFormat="1" applyFont="1" applyFill="1" applyBorder="1" applyAlignment="1">
      <alignment horizontal="center" vertical="center"/>
      <protection/>
    </xf>
    <xf numFmtId="3" fontId="24" fillId="0" borderId="159" xfId="57" applyNumberFormat="1" applyFont="1" applyFill="1" applyBorder="1" applyAlignment="1">
      <alignment horizontal="center" vertical="center" wrapText="1"/>
      <protection/>
    </xf>
    <xf numFmtId="3" fontId="24" fillId="0" borderId="160" xfId="57" applyNumberFormat="1" applyFont="1" applyFill="1" applyBorder="1" applyAlignment="1">
      <alignment horizontal="center" vertical="center" wrapText="1"/>
      <protection/>
    </xf>
    <xf numFmtId="3" fontId="24" fillId="0" borderId="161" xfId="57" applyNumberFormat="1" applyFont="1" applyFill="1" applyBorder="1" applyAlignment="1">
      <alignment horizontal="center" vertical="center" wrapText="1"/>
      <protection/>
    </xf>
    <xf numFmtId="3" fontId="34" fillId="0" borderId="27" xfId="57" applyNumberFormat="1" applyFont="1" applyFill="1" applyBorder="1" applyAlignment="1">
      <alignment horizontal="center" vertical="center"/>
      <protection/>
    </xf>
    <xf numFmtId="3" fontId="34" fillId="0" borderId="28" xfId="57" applyNumberFormat="1" applyFont="1" applyFill="1" applyBorder="1" applyAlignment="1">
      <alignment horizontal="center" vertical="center"/>
      <protection/>
    </xf>
    <xf numFmtId="3" fontId="12" fillId="0" borderId="44" xfId="57" applyNumberFormat="1" applyFont="1" applyFill="1" applyBorder="1" applyAlignment="1">
      <alignment horizontal="center" vertical="center" wrapText="1"/>
      <protection/>
    </xf>
    <xf numFmtId="3" fontId="12" fillId="0" borderId="45" xfId="57" applyNumberFormat="1" applyFont="1" applyFill="1" applyBorder="1" applyAlignment="1">
      <alignment horizontal="center" vertical="center" wrapText="1"/>
      <protection/>
    </xf>
    <xf numFmtId="3" fontId="12" fillId="0" borderId="111" xfId="57" applyNumberFormat="1" applyFont="1" applyFill="1" applyBorder="1" applyAlignment="1">
      <alignment horizontal="center" vertical="center" wrapText="1"/>
      <protection/>
    </xf>
    <xf numFmtId="3" fontId="12" fillId="0" borderId="35" xfId="57" applyNumberFormat="1" applyFont="1" applyFill="1" applyBorder="1" applyAlignment="1">
      <alignment horizontal="center" vertical="center"/>
      <protection/>
    </xf>
    <xf numFmtId="3" fontId="12" fillId="0" borderId="14" xfId="57" applyNumberFormat="1" applyFont="1" applyFill="1" applyBorder="1" applyAlignment="1">
      <alignment horizontal="center" vertical="center"/>
      <protection/>
    </xf>
    <xf numFmtId="3" fontId="22" fillId="0" borderId="121" xfId="57" applyNumberFormat="1" applyFont="1" applyFill="1" applyBorder="1" applyAlignment="1">
      <alignment horizontal="left" vertical="center" wrapText="1" indent="1"/>
      <protection/>
    </xf>
    <xf numFmtId="3" fontId="22" fillId="0" borderId="151" xfId="57" applyNumberFormat="1" applyFont="1" applyFill="1" applyBorder="1" applyAlignment="1">
      <alignment horizontal="left" vertical="center" wrapText="1" indent="1"/>
      <protection/>
    </xf>
    <xf numFmtId="3" fontId="16" fillId="0" borderId="164" xfId="57" applyNumberFormat="1" applyFont="1" applyFill="1" applyBorder="1" applyAlignment="1">
      <alignment horizontal="left" vertical="center"/>
      <protection/>
    </xf>
    <xf numFmtId="0" fontId="0" fillId="0" borderId="164" xfId="0" applyFont="1" applyBorder="1" applyAlignment="1">
      <alignment horizontal="left" vertical="center"/>
    </xf>
    <xf numFmtId="3" fontId="34" fillId="0" borderId="149" xfId="57" applyNumberFormat="1" applyFont="1" applyFill="1" applyBorder="1" applyAlignment="1">
      <alignment horizontal="center" vertical="center"/>
      <protection/>
    </xf>
    <xf numFmtId="3" fontId="34" fillId="0" borderId="150" xfId="57" applyNumberFormat="1" applyFont="1" applyFill="1" applyBorder="1" applyAlignment="1">
      <alignment horizontal="center" vertical="center"/>
      <protection/>
    </xf>
    <xf numFmtId="3" fontId="34" fillId="0" borderId="151" xfId="57" applyNumberFormat="1" applyFont="1" applyFill="1" applyBorder="1" applyAlignment="1">
      <alignment horizontal="center" vertical="center"/>
      <protection/>
    </xf>
    <xf numFmtId="3" fontId="34" fillId="0" borderId="165" xfId="57" applyNumberFormat="1" applyFont="1" applyFill="1" applyBorder="1" applyAlignment="1">
      <alignment horizontal="center" vertical="center"/>
      <protection/>
    </xf>
    <xf numFmtId="3" fontId="34" fillId="0" borderId="160" xfId="57" applyNumberFormat="1" applyFont="1" applyFill="1" applyBorder="1" applyAlignment="1">
      <alignment horizontal="center" vertical="center"/>
      <protection/>
    </xf>
    <xf numFmtId="3" fontId="34" fillId="0" borderId="161" xfId="57" applyNumberFormat="1" applyFont="1" applyFill="1" applyBorder="1" applyAlignment="1">
      <alignment horizontal="center" vertical="center"/>
      <protection/>
    </xf>
    <xf numFmtId="3" fontId="7" fillId="0" borderId="0" xfId="57" applyNumberFormat="1" applyFont="1" applyFill="1" applyBorder="1" applyAlignment="1">
      <alignment horizontal="right" vertical="center"/>
      <protection/>
    </xf>
    <xf numFmtId="3" fontId="32" fillId="0" borderId="165" xfId="57" applyNumberFormat="1" applyFont="1" applyFill="1" applyBorder="1" applyAlignment="1">
      <alignment horizontal="center" vertical="center"/>
      <protection/>
    </xf>
    <xf numFmtId="3" fontId="32" fillId="0" borderId="160" xfId="57" applyNumberFormat="1" applyFont="1" applyFill="1" applyBorder="1" applyAlignment="1">
      <alignment horizontal="center" vertical="center"/>
      <protection/>
    </xf>
    <xf numFmtId="3" fontId="32" fillId="0" borderId="161" xfId="57" applyNumberFormat="1" applyFont="1" applyFill="1" applyBorder="1" applyAlignment="1">
      <alignment horizontal="center" vertical="center"/>
      <protection/>
    </xf>
    <xf numFmtId="3" fontId="32" fillId="0" borderId="166" xfId="57" applyNumberFormat="1" applyFont="1" applyFill="1" applyBorder="1" applyAlignment="1">
      <alignment horizontal="center" vertical="center"/>
      <protection/>
    </xf>
    <xf numFmtId="3" fontId="32" fillId="0" borderId="167" xfId="57" applyNumberFormat="1" applyFont="1" applyFill="1" applyBorder="1" applyAlignment="1">
      <alignment horizontal="center" vertical="center"/>
      <protection/>
    </xf>
    <xf numFmtId="3" fontId="32" fillId="0" borderId="168" xfId="57" applyNumberFormat="1" applyFont="1" applyFill="1" applyBorder="1" applyAlignment="1">
      <alignment horizontal="center" vertical="center"/>
      <protection/>
    </xf>
    <xf numFmtId="3" fontId="16" fillId="0" borderId="10" xfId="57" applyNumberFormat="1" applyFont="1" applyFill="1" applyBorder="1" applyAlignment="1">
      <alignment horizontal="center" vertical="center"/>
      <protection/>
    </xf>
    <xf numFmtId="3" fontId="16" fillId="0" borderId="15" xfId="57" applyNumberFormat="1" applyFont="1" applyFill="1" applyBorder="1" applyAlignment="1">
      <alignment horizontal="center" vertical="center"/>
      <protection/>
    </xf>
    <xf numFmtId="1" fontId="16" fillId="0" borderId="20" xfId="57" applyNumberFormat="1" applyFont="1" applyFill="1" applyBorder="1" applyAlignment="1">
      <alignment horizontal="center" vertical="center" wrapText="1"/>
      <protection/>
    </xf>
    <xf numFmtId="1" fontId="16" fillId="0" borderId="18" xfId="57" applyNumberFormat="1" applyFont="1" applyFill="1" applyBorder="1" applyAlignment="1">
      <alignment horizontal="center" vertical="center" wrapText="1"/>
      <protection/>
    </xf>
    <xf numFmtId="1" fontId="16" fillId="0" borderId="14" xfId="57" applyNumberFormat="1" applyFont="1" applyFill="1" applyBorder="1" applyAlignment="1">
      <alignment horizontal="center" vertical="center" wrapText="1"/>
      <protection/>
    </xf>
    <xf numFmtId="3" fontId="12" fillId="0" borderId="44" xfId="57" applyNumberFormat="1" applyFont="1" applyFill="1" applyBorder="1" applyAlignment="1">
      <alignment horizontal="center" vertical="center"/>
      <protection/>
    </xf>
    <xf numFmtId="3" fontId="12" fillId="0" borderId="45" xfId="57" applyNumberFormat="1" applyFont="1" applyFill="1" applyBorder="1" applyAlignment="1">
      <alignment horizontal="center" vertical="center"/>
      <protection/>
    </xf>
    <xf numFmtId="3" fontId="12" fillId="0" borderId="111" xfId="57" applyNumberFormat="1" applyFont="1" applyFill="1" applyBorder="1" applyAlignment="1">
      <alignment horizontal="center" vertical="center"/>
      <protection/>
    </xf>
    <xf numFmtId="3" fontId="24" fillId="0" borderId="32" xfId="57" applyNumberFormat="1" applyFont="1" applyFill="1" applyBorder="1" applyAlignment="1">
      <alignment horizontal="left" vertical="center" indent="1"/>
      <protection/>
    </xf>
    <xf numFmtId="3" fontId="24" fillId="0" borderId="14" xfId="57" applyNumberFormat="1" applyFont="1" applyFill="1" applyBorder="1" applyAlignment="1">
      <alignment horizontal="left" vertical="center" indent="1"/>
      <protection/>
    </xf>
    <xf numFmtId="3" fontId="16" fillId="0" borderId="31" xfId="57" applyNumberFormat="1" applyFont="1" applyFill="1" applyBorder="1" applyAlignment="1">
      <alignment horizontal="center" vertical="center"/>
      <protection/>
    </xf>
    <xf numFmtId="3" fontId="16" fillId="0" borderId="35" xfId="57" applyNumberFormat="1" applyFont="1" applyFill="1" applyBorder="1" applyAlignment="1">
      <alignment horizontal="center" vertical="center"/>
      <protection/>
    </xf>
    <xf numFmtId="3" fontId="34" fillId="0" borderId="21" xfId="57" applyNumberFormat="1" applyFont="1" applyFill="1" applyBorder="1" applyAlignment="1">
      <alignment horizontal="center" vertical="center"/>
      <protection/>
    </xf>
    <xf numFmtId="3" fontId="34" fillId="0" borderId="22" xfId="57" applyNumberFormat="1" applyFont="1" applyFill="1" applyBorder="1" applyAlignment="1">
      <alignment horizontal="center" vertical="center"/>
      <protection/>
    </xf>
    <xf numFmtId="3" fontId="22" fillId="0" borderId="32" xfId="57" applyNumberFormat="1" applyFont="1" applyFill="1" applyBorder="1" applyAlignment="1">
      <alignment horizontal="left" vertical="center"/>
      <protection/>
    </xf>
    <xf numFmtId="3" fontId="22" fillId="0" borderId="24" xfId="57" applyNumberFormat="1" applyFont="1" applyFill="1" applyBorder="1" applyAlignment="1">
      <alignment horizontal="left" vertical="center"/>
      <protection/>
    </xf>
    <xf numFmtId="3" fontId="22" fillId="0" borderId="32" xfId="57" applyNumberFormat="1" applyFont="1" applyFill="1" applyBorder="1" applyAlignment="1">
      <alignment horizontal="left" vertical="center" indent="1"/>
      <protection/>
    </xf>
    <xf numFmtId="3" fontId="22" fillId="0" borderId="18" xfId="57" applyNumberFormat="1" applyFont="1" applyFill="1" applyBorder="1" applyAlignment="1">
      <alignment horizontal="left" vertical="center" indent="1"/>
      <protection/>
    </xf>
    <xf numFmtId="3" fontId="14" fillId="0" borderId="18" xfId="57" applyNumberFormat="1" applyFont="1" applyFill="1" applyBorder="1" applyAlignment="1">
      <alignment horizontal="center" vertical="center"/>
      <protection/>
    </xf>
    <xf numFmtId="3" fontId="34" fillId="0" borderId="166" xfId="57" applyNumberFormat="1" applyFont="1" applyFill="1" applyBorder="1" applyAlignment="1">
      <alignment horizontal="center" vertical="center"/>
      <protection/>
    </xf>
    <xf numFmtId="3" fontId="34" fillId="0" borderId="167" xfId="57" applyNumberFormat="1" applyFont="1" applyFill="1" applyBorder="1" applyAlignment="1">
      <alignment horizontal="center" vertical="center"/>
      <protection/>
    </xf>
    <xf numFmtId="3" fontId="34" fillId="0" borderId="168" xfId="57" applyNumberFormat="1" applyFont="1" applyFill="1" applyBorder="1" applyAlignment="1">
      <alignment horizontal="center" vertical="center"/>
      <protection/>
    </xf>
    <xf numFmtId="3" fontId="12" fillId="0" borderId="44" xfId="57" applyNumberFormat="1" applyFont="1" applyFill="1" applyBorder="1" applyAlignment="1">
      <alignment horizontal="center" vertical="center"/>
      <protection/>
    </xf>
    <xf numFmtId="3" fontId="12" fillId="0" borderId="45" xfId="57" applyNumberFormat="1" applyFont="1" applyFill="1" applyBorder="1" applyAlignment="1">
      <alignment horizontal="center" vertical="center"/>
      <protection/>
    </xf>
    <xf numFmtId="3" fontId="8" fillId="0" borderId="110" xfId="0" applyNumberFormat="1" applyFont="1" applyFill="1" applyBorder="1" applyAlignment="1">
      <alignment horizontal="right" vertical="center" shrinkToFit="1"/>
    </xf>
    <xf numFmtId="3" fontId="8" fillId="0" borderId="4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  <xf numFmtId="0" fontId="19" fillId="0" borderId="44" xfId="0" applyFont="1" applyFill="1" applyBorder="1" applyAlignment="1">
      <alignment horizontal="center" vertical="center" shrinkToFit="1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111" xfId="0" applyFont="1" applyFill="1" applyBorder="1" applyAlignment="1">
      <alignment horizontal="center" vertical="center" shrinkToFit="1"/>
    </xf>
    <xf numFmtId="0" fontId="8" fillId="0" borderId="135" xfId="0" applyFont="1" applyFill="1" applyBorder="1" applyAlignment="1">
      <alignment horizontal="left" vertical="center" shrinkToFit="1"/>
    </xf>
    <xf numFmtId="0" fontId="7" fillId="0" borderId="91" xfId="0" applyFont="1" applyFill="1" applyBorder="1" applyAlignment="1">
      <alignment horizontal="left" vertical="center" shrinkToFit="1"/>
    </xf>
    <xf numFmtId="0" fontId="7" fillId="0" borderId="139" xfId="0" applyFont="1" applyFill="1" applyBorder="1" applyAlignment="1">
      <alignment horizontal="left" vertical="center" shrinkToFit="1"/>
    </xf>
    <xf numFmtId="0" fontId="6" fillId="0" borderId="137" xfId="0" applyFont="1" applyFill="1" applyBorder="1" applyAlignment="1">
      <alignment vertical="center" shrinkToFit="1"/>
    </xf>
    <xf numFmtId="0" fontId="5" fillId="0" borderId="152" xfId="0" applyFont="1" applyFill="1" applyBorder="1" applyAlignment="1">
      <alignment vertical="center" shrinkToFit="1"/>
    </xf>
    <xf numFmtId="0" fontId="5" fillId="0" borderId="140" xfId="0" applyFont="1" applyFill="1" applyBorder="1" applyAlignment="1">
      <alignment vertical="center" shrinkToFit="1"/>
    </xf>
    <xf numFmtId="0" fontId="76" fillId="0" borderId="0" xfId="0" applyNumberFormat="1" applyFont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3" fontId="76" fillId="0" borderId="0" xfId="0" applyNumberFormat="1" applyFont="1" applyAlignment="1">
      <alignment vertical="center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right" vertical="center" wrapText="1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right" vertical="center"/>
    </xf>
    <xf numFmtId="0" fontId="77" fillId="0" borderId="33" xfId="0" applyNumberFormat="1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3" fontId="77" fillId="0" borderId="26" xfId="0" applyNumberFormat="1" applyFont="1" applyBorder="1" applyAlignment="1">
      <alignment horizontal="center" vertical="center" wrapText="1"/>
    </xf>
    <xf numFmtId="0" fontId="77" fillId="0" borderId="49" xfId="0" applyFont="1" applyBorder="1" applyAlignment="1">
      <alignment horizontal="center" vertical="center"/>
    </xf>
    <xf numFmtId="0" fontId="76" fillId="0" borderId="23" xfId="0" applyNumberFormat="1" applyFont="1" applyBorder="1" applyAlignment="1">
      <alignment horizontal="center" vertical="center" wrapText="1"/>
    </xf>
    <xf numFmtId="0" fontId="76" fillId="0" borderId="24" xfId="0" applyFont="1" applyBorder="1" applyAlignment="1">
      <alignment vertical="center" wrapText="1"/>
    </xf>
    <xf numFmtId="3" fontId="76" fillId="0" borderId="24" xfId="0" applyNumberFormat="1" applyFont="1" applyBorder="1" applyAlignment="1">
      <alignment vertical="center"/>
    </xf>
    <xf numFmtId="0" fontId="76" fillId="0" borderId="48" xfId="0" applyFont="1" applyBorder="1" applyAlignment="1">
      <alignment horizontal="center" vertical="center"/>
    </xf>
    <xf numFmtId="0" fontId="76" fillId="0" borderId="29" xfId="0" applyNumberFormat="1" applyFont="1" applyBorder="1" applyAlignment="1">
      <alignment horizontal="center" vertical="center" wrapText="1"/>
    </xf>
    <xf numFmtId="0" fontId="76" fillId="0" borderId="30" xfId="0" applyFont="1" applyBorder="1" applyAlignment="1">
      <alignment vertical="center" wrapText="1"/>
    </xf>
    <xf numFmtId="0" fontId="76" fillId="0" borderId="52" xfId="0" applyFont="1" applyBorder="1" applyAlignment="1">
      <alignment horizontal="center" vertical="center" wrapText="1"/>
    </xf>
    <xf numFmtId="0" fontId="76" fillId="0" borderId="50" xfId="0" applyFont="1" applyBorder="1" applyAlignment="1">
      <alignment horizontal="center" vertical="center"/>
    </xf>
    <xf numFmtId="0" fontId="76" fillId="0" borderId="31" xfId="0" applyNumberFormat="1" applyFont="1" applyBorder="1" applyAlignment="1">
      <alignment horizontal="center" vertical="center" wrapText="1"/>
    </xf>
    <xf numFmtId="0" fontId="76" fillId="0" borderId="32" xfId="0" applyFont="1" applyBorder="1" applyAlignment="1">
      <alignment vertical="center" wrapText="1"/>
    </xf>
    <xf numFmtId="3" fontId="76" fillId="0" borderId="18" xfId="0" applyNumberFormat="1" applyFont="1" applyBorder="1" applyAlignment="1">
      <alignment vertical="center"/>
    </xf>
    <xf numFmtId="0" fontId="76" fillId="0" borderId="27" xfId="0" applyNumberFormat="1" applyFont="1" applyBorder="1" applyAlignment="1">
      <alignment horizontal="center" vertical="center" wrapText="1"/>
    </xf>
    <xf numFmtId="0" fontId="76" fillId="0" borderId="28" xfId="0" applyFont="1" applyBorder="1" applyAlignment="1">
      <alignment vertical="center" wrapText="1"/>
    </xf>
    <xf numFmtId="3" fontId="76" fillId="0" borderId="28" xfId="0" applyNumberFormat="1" applyFont="1" applyBorder="1" applyAlignment="1">
      <alignment vertical="center"/>
    </xf>
    <xf numFmtId="0" fontId="76" fillId="0" borderId="53" xfId="0" applyFont="1" applyBorder="1" applyAlignment="1">
      <alignment horizontal="center" vertical="center" wrapText="1"/>
    </xf>
    <xf numFmtId="0" fontId="76" fillId="32" borderId="169" xfId="0" applyNumberFormat="1" applyFont="1" applyFill="1" applyBorder="1" applyAlignment="1">
      <alignment horizontal="center" vertical="center" wrapText="1"/>
    </xf>
    <xf numFmtId="0" fontId="77" fillId="0" borderId="136" xfId="0" applyFont="1" applyBorder="1" applyAlignment="1">
      <alignment horizontal="left" vertical="center" wrapText="1"/>
    </xf>
    <xf numFmtId="3" fontId="77" fillId="0" borderId="169" xfId="0" applyNumberFormat="1" applyFont="1" applyBorder="1" applyAlignment="1">
      <alignment horizontal="right" vertical="center" wrapText="1"/>
    </xf>
    <xf numFmtId="0" fontId="76" fillId="32" borderId="136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ARSZJ3" xfId="56"/>
    <cellStyle name="Normál_végső rend. képv.mód-sal" xfId="57"/>
    <cellStyle name="Normál_végső rend. képv.mód-sal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10</xdr:col>
      <xdr:colOff>485775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638550" y="38100"/>
          <a:ext cx="5143500" cy="4000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 melléklet az 5/2015. (II.11.)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ELŐIRÁNYZAT - FELHASZNÁLÁSI TERV
</a:t>
          </a:r>
          <a:r>
            <a:rPr lang="en-US" cap="none" sz="700" b="1" i="0" u="none" baseline="0">
              <a:solidFill>
                <a:srgbClr val="000000"/>
              </a:solidFill>
            </a:rPr>
            <a:t>( Az előirányzatok felhasználásának alakulásáról 2015. évben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1</xdr:row>
      <xdr:rowOff>114300</xdr:rowOff>
    </xdr:from>
    <xdr:to>
      <xdr:col>3</xdr:col>
      <xdr:colOff>571500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447800" y="276225"/>
          <a:ext cx="4219575" cy="4095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  melléklet az 5/2015. (II.11.)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KISKŐRÖS VÁROS 2015. ÉVI KÖLTSÉGVETÉSÉNEK
</a:t>
          </a:r>
          <a:r>
            <a:rPr lang="en-US" cap="none" sz="700" b="1" i="0" u="none" baseline="0">
              <a:solidFill>
                <a:srgbClr val="000000"/>
              </a:solidFill>
            </a:rPr>
            <a:t>ÖSSZEVONT MÉRLEGE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0</xdr:row>
      <xdr:rowOff>85725</xdr:rowOff>
    </xdr:from>
    <xdr:to>
      <xdr:col>4</xdr:col>
      <xdr:colOff>5648325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000375" y="85725"/>
          <a:ext cx="4619625" cy="3333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3. melléklet az 5/2015. (II.11.) önk. rendelethez
</a:t>
          </a:r>
          <a:r>
            <a:rPr lang="en-US" cap="none" sz="700" b="0" i="0" u="none" baseline="0">
              <a:solidFill>
                <a:srgbClr val="000000"/>
              </a:solidFill>
            </a:rPr>
            <a:t>2015. ÉVI KÖLTSÉGVETÉSI BEVÉTELEK ÉS KIADÁSOK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1</xdr:row>
      <xdr:rowOff>0</xdr:rowOff>
    </xdr:from>
    <xdr:to>
      <xdr:col>10</xdr:col>
      <xdr:colOff>485775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047875" y="200025"/>
          <a:ext cx="6248400" cy="2952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4. melléklet az 5/2015. (II.11.)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 AZ ÖNKORMÁNYZAT ÁLTAL IRÁNYÍTOTT KÖLTSÉGVETÉSI SZERVEK  2015. ÉVI BEVÉTELEI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2466975</xdr:colOff>
      <xdr:row>0</xdr:row>
      <xdr:rowOff>133350</xdr:rowOff>
    </xdr:from>
    <xdr:to>
      <xdr:col>13</xdr:col>
      <xdr:colOff>47625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457575" y="133350"/>
          <a:ext cx="5876925" cy="4000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5. melléklet az 5/2015. (II.11.) önk. rendelethez
</a:t>
          </a:r>
          <a:r>
            <a:rPr lang="en-US" cap="none" sz="700" b="0" i="0" u="none" baseline="0">
              <a:solidFill>
                <a:srgbClr val="000000"/>
              </a:solidFill>
            </a:rPr>
            <a:t>2015. ÉVI KÖLTSÉGVETÉSI KIADÁSOK
</a:t>
          </a:r>
          <a:r>
            <a:rPr lang="en-US" cap="none" sz="700" b="0" i="0" u="none" baseline="0">
              <a:solidFill>
                <a:srgbClr val="000000"/>
              </a:solidFill>
            </a:rPr>
            <a:t>( Címek, alcímek és kiemelt előirányzatok szerint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</xdr:row>
      <xdr:rowOff>9525</xdr:rowOff>
    </xdr:from>
    <xdr:to>
      <xdr:col>2</xdr:col>
      <xdr:colOff>6324600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57225" y="161925"/>
          <a:ext cx="6143625" cy="4381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6.  melléklet az 5/2015. (II.11.) önkormányzati rendelethez
</a:t>
          </a:r>
          <a:r>
            <a:rPr lang="en-US" cap="none" sz="700" b="1" i="0" u="none" baseline="0">
              <a:solidFill>
                <a:srgbClr val="000000"/>
              </a:solidFill>
            </a:rPr>
            <a:t>BERUHÁZÁSOK, FELÚJÍTÁSOK , EGYÉB FELHALMOZÁSI JELLEGŰ KIADÁSOK, FINANSZÍROZÁSI KIADÁSOK
</a:t>
          </a:r>
          <a:r>
            <a:rPr lang="en-US" cap="none" sz="700" b="1" i="0" u="none" baseline="0">
              <a:solidFill>
                <a:srgbClr val="000000"/>
              </a:solidFill>
            </a:rPr>
            <a:t>( beruházásonként, felújításonként 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2428875</xdr:colOff>
      <xdr:row>3</xdr:row>
      <xdr:rowOff>95250</xdr:rowOff>
    </xdr:from>
    <xdr:to>
      <xdr:col>3</xdr:col>
      <xdr:colOff>1152525</xdr:colOff>
      <xdr:row>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867025" y="523875"/>
          <a:ext cx="4267200" cy="5334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7. melléklet az 5/2015. (II.11.) önk rendelethez
</a:t>
          </a:r>
          <a:r>
            <a:rPr lang="en-US" cap="none" sz="700" b="1" i="0" u="none" baseline="0">
              <a:solidFill>
                <a:srgbClr val="000000"/>
              </a:solidFill>
            </a:rPr>
            <a:t>KISKŐRÖS VÁROS ÖNKORMÁNYZATA
</a:t>
          </a:r>
          <a:r>
            <a:rPr lang="en-US" cap="none" sz="700" b="1" i="0" u="none" baseline="0">
              <a:solidFill>
                <a:srgbClr val="000000"/>
              </a:solidFill>
            </a:rPr>
            <a:t>2015. ÉVI CÉLTARTALÉKA
</a:t>
          </a:r>
          <a:r>
            <a:rPr lang="en-US" cap="none" sz="700" b="1" i="0" u="none" baseline="0">
              <a:solidFill>
                <a:srgbClr val="000000"/>
              </a:solidFill>
            </a:rPr>
            <a:t>(feladatonként)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7.75390625" defaultRowHeight="12.75"/>
  <cols>
    <col min="1" max="1" width="3.125" style="394" customWidth="1"/>
    <col min="2" max="2" width="35.625" style="394" customWidth="1"/>
    <col min="3" max="5" width="8.625" style="394" customWidth="1"/>
    <col min="6" max="7" width="8.875" style="394" customWidth="1"/>
    <col min="8" max="8" width="9.00390625" style="394" customWidth="1"/>
    <col min="9" max="10" width="8.75390625" style="394" customWidth="1"/>
    <col min="11" max="11" width="9.25390625" style="394" customWidth="1"/>
    <col min="12" max="12" width="8.625" style="394" customWidth="1"/>
    <col min="13" max="13" width="8.75390625" style="394" customWidth="1"/>
    <col min="14" max="14" width="8.875" style="394" customWidth="1"/>
    <col min="15" max="15" width="10.25390625" style="394" customWidth="1"/>
    <col min="16" max="16384" width="7.75390625" style="1" customWidth="1"/>
  </cols>
  <sheetData>
    <row r="1" spans="12:15" ht="12.75">
      <c r="L1" s="758" t="s">
        <v>451</v>
      </c>
      <c r="M1" s="758"/>
      <c r="N1" s="758"/>
      <c r="O1" s="758"/>
    </row>
    <row r="3" spans="12:15" ht="13.5" customHeight="1" thickBot="1">
      <c r="L3" s="395"/>
      <c r="O3" s="396" t="s">
        <v>4</v>
      </c>
    </row>
    <row r="4" spans="1:15" ht="17.25" customHeight="1" thickBot="1">
      <c r="A4" s="759" t="s">
        <v>5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1"/>
    </row>
    <row r="5" spans="1:17" s="2" customFormat="1" ht="12.75">
      <c r="A5" s="420"/>
      <c r="B5" s="397"/>
      <c r="C5" s="421" t="s">
        <v>6</v>
      </c>
      <c r="D5" s="421" t="s">
        <v>7</v>
      </c>
      <c r="E5" s="421" t="s">
        <v>8</v>
      </c>
      <c r="F5" s="421" t="s">
        <v>9</v>
      </c>
      <c r="G5" s="421" t="s">
        <v>10</v>
      </c>
      <c r="H5" s="421" t="s">
        <v>11</v>
      </c>
      <c r="I5" s="421" t="s">
        <v>12</v>
      </c>
      <c r="J5" s="421" t="s">
        <v>13</v>
      </c>
      <c r="K5" s="421" t="s">
        <v>14</v>
      </c>
      <c r="L5" s="421" t="s">
        <v>15</v>
      </c>
      <c r="M5" s="421" t="s">
        <v>16</v>
      </c>
      <c r="N5" s="421" t="s">
        <v>17</v>
      </c>
      <c r="O5" s="476" t="s">
        <v>18</v>
      </c>
      <c r="Q5" s="496"/>
    </row>
    <row r="6" spans="1:19" ht="15" customHeight="1">
      <c r="A6" s="422" t="s">
        <v>19</v>
      </c>
      <c r="B6" s="398" t="s">
        <v>157</v>
      </c>
      <c r="C6" s="423">
        <v>7477</v>
      </c>
      <c r="D6" s="423">
        <v>7477</v>
      </c>
      <c r="E6" s="423">
        <v>7477</v>
      </c>
      <c r="F6" s="423">
        <f>300+7477</f>
        <v>7777</v>
      </c>
      <c r="G6" s="423">
        <f>300+7477+86</f>
        <v>7863</v>
      </c>
      <c r="H6" s="423">
        <f>300+7477</f>
        <v>7777</v>
      </c>
      <c r="I6" s="423">
        <f>300+7477</f>
        <v>7777</v>
      </c>
      <c r="J6" s="423">
        <f>300+7477</f>
        <v>7777</v>
      </c>
      <c r="K6" s="423">
        <f>300+7477</f>
        <v>7777</v>
      </c>
      <c r="L6" s="423">
        <v>7477</v>
      </c>
      <c r="M6" s="423">
        <v>7777</v>
      </c>
      <c r="N6" s="423">
        <f>7472+1562+330+683</f>
        <v>10047</v>
      </c>
      <c r="O6" s="424">
        <f>'2.mell'!C12+'2.mell'!D12</f>
        <v>94480</v>
      </c>
      <c r="P6" s="199"/>
      <c r="Q6" s="199"/>
      <c r="R6" s="199"/>
      <c r="S6" s="199"/>
    </row>
    <row r="7" spans="1:19" ht="25.5" customHeight="1">
      <c r="A7" s="425" t="s">
        <v>20</v>
      </c>
      <c r="B7" s="399" t="s">
        <v>316</v>
      </c>
      <c r="C7" s="426">
        <v>66848</v>
      </c>
      <c r="D7" s="426">
        <v>62648</v>
      </c>
      <c r="E7" s="426">
        <f>63448+53664+6300</f>
        <v>123412</v>
      </c>
      <c r="F7" s="426">
        <v>69748</v>
      </c>
      <c r="G7" s="426">
        <v>94748</v>
      </c>
      <c r="H7" s="426">
        <f>64748+2019</f>
        <v>66767</v>
      </c>
      <c r="I7" s="426">
        <v>64748</v>
      </c>
      <c r="J7" s="426">
        <v>74748</v>
      </c>
      <c r="K7" s="426">
        <f>74748+25000</f>
        <v>99748</v>
      </c>
      <c r="L7" s="426">
        <f>63439+22707+1300+25000+1377</f>
        <v>113823</v>
      </c>
      <c r="M7" s="426">
        <f>7001+64748+25000+17630+11039</f>
        <v>125418</v>
      </c>
      <c r="N7" s="426">
        <f>36823+63448+2232+24454-4056+12850+888</f>
        <v>136639</v>
      </c>
      <c r="O7" s="427">
        <f>'2.mell'!E15</f>
        <v>1099295</v>
      </c>
      <c r="P7" s="199"/>
      <c r="Q7" s="199"/>
      <c r="R7" s="199"/>
      <c r="S7" s="199"/>
    </row>
    <row r="8" spans="1:19" ht="24" customHeight="1">
      <c r="A8" s="425" t="s">
        <v>21</v>
      </c>
      <c r="B8" s="400" t="s">
        <v>317</v>
      </c>
      <c r="C8" s="423">
        <v>200000</v>
      </c>
      <c r="D8" s="423">
        <f>5775+500000</f>
        <v>505775</v>
      </c>
      <c r="E8" s="423">
        <v>130000</v>
      </c>
      <c r="F8" s="423"/>
      <c r="G8" s="423">
        <v>917</v>
      </c>
      <c r="H8" s="423">
        <v>300000</v>
      </c>
      <c r="I8" s="423"/>
      <c r="J8" s="423">
        <v>12000</v>
      </c>
      <c r="K8" s="423">
        <v>23255</v>
      </c>
      <c r="L8" s="423">
        <f>77409+200000-1377+8000</f>
        <v>284032</v>
      </c>
      <c r="M8" s="423">
        <f>289313-54618+50000</f>
        <v>284695</v>
      </c>
      <c r="N8" s="426">
        <f>77710-10033+85956</f>
        <v>153633</v>
      </c>
      <c r="O8" s="427">
        <f>'2.mell'!E16</f>
        <v>1894307</v>
      </c>
      <c r="P8" s="199"/>
      <c r="Q8" s="199"/>
      <c r="R8" s="199"/>
      <c r="S8" s="199"/>
    </row>
    <row r="9" spans="1:19" ht="12.75">
      <c r="A9" s="425" t="s">
        <v>22</v>
      </c>
      <c r="B9" s="399" t="s">
        <v>140</v>
      </c>
      <c r="C9" s="426"/>
      <c r="D9" s="426"/>
      <c r="E9" s="426">
        <v>200000</v>
      </c>
      <c r="F9" s="426"/>
      <c r="G9" s="426"/>
      <c r="H9" s="426"/>
      <c r="I9" s="426"/>
      <c r="J9" s="426"/>
      <c r="K9" s="426">
        <v>329100</v>
      </c>
      <c r="L9" s="426"/>
      <c r="M9" s="426"/>
      <c r="N9" s="426">
        <f>60000+707</f>
        <v>60707</v>
      </c>
      <c r="O9" s="427">
        <f>'2.mell'!E17</f>
        <v>589807</v>
      </c>
      <c r="P9" s="199"/>
      <c r="Q9" s="199"/>
      <c r="R9" s="199"/>
      <c r="S9" s="199"/>
    </row>
    <row r="10" spans="1:19" ht="12.75">
      <c r="A10" s="425" t="s">
        <v>23</v>
      </c>
      <c r="B10" s="399" t="s">
        <v>318</v>
      </c>
      <c r="C10" s="426">
        <v>9466</v>
      </c>
      <c r="D10" s="426">
        <v>9466</v>
      </c>
      <c r="E10" s="426">
        <v>9466</v>
      </c>
      <c r="F10" s="426">
        <f>9466+50000</f>
        <v>59466</v>
      </c>
      <c r="G10" s="426">
        <v>9466</v>
      </c>
      <c r="H10" s="426">
        <v>9466</v>
      </c>
      <c r="I10" s="426">
        <v>9466</v>
      </c>
      <c r="J10" s="426">
        <v>9466</v>
      </c>
      <c r="K10" s="426">
        <v>9466</v>
      </c>
      <c r="L10" s="426">
        <v>9466</v>
      </c>
      <c r="M10" s="426">
        <v>9466</v>
      </c>
      <c r="N10" s="426">
        <f>326+9465+1826+2015+6410</f>
        <v>20042</v>
      </c>
      <c r="O10" s="427">
        <f>'2.mell'!E18</f>
        <v>174168</v>
      </c>
      <c r="P10" s="199"/>
      <c r="Q10" s="199"/>
      <c r="R10" s="199"/>
      <c r="S10" s="199"/>
    </row>
    <row r="11" spans="1:19" ht="13.5" customHeight="1">
      <c r="A11" s="425" t="s">
        <v>24</v>
      </c>
      <c r="B11" s="399" t="s">
        <v>319</v>
      </c>
      <c r="C11" s="426"/>
      <c r="D11" s="426"/>
      <c r="E11" s="426"/>
      <c r="F11" s="426"/>
      <c r="G11" s="426"/>
      <c r="H11" s="426">
        <v>600</v>
      </c>
      <c r="I11" s="426"/>
      <c r="J11" s="426"/>
      <c r="K11" s="426"/>
      <c r="L11" s="426"/>
      <c r="M11" s="426"/>
      <c r="N11" s="426">
        <f>176+648</f>
        <v>824</v>
      </c>
      <c r="O11" s="427">
        <f>'2.mell'!E19</f>
        <v>1424</v>
      </c>
      <c r="P11" s="199"/>
      <c r="Q11" s="199"/>
      <c r="R11" s="199"/>
      <c r="S11" s="199"/>
    </row>
    <row r="12" spans="1:19" ht="12.75">
      <c r="A12" s="425" t="s">
        <v>25</v>
      </c>
      <c r="B12" s="399" t="s">
        <v>315</v>
      </c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7">
        <f>'2.mell'!E20</f>
        <v>0</v>
      </c>
      <c r="P12" s="199"/>
      <c r="Q12" s="199"/>
      <c r="R12" s="199"/>
      <c r="S12" s="199"/>
    </row>
    <row r="13" spans="1:19" ht="13.5" customHeight="1">
      <c r="A13" s="425" t="s">
        <v>26</v>
      </c>
      <c r="B13" s="399" t="s">
        <v>314</v>
      </c>
      <c r="C13" s="426">
        <v>84</v>
      </c>
      <c r="D13" s="426">
        <v>83</v>
      </c>
      <c r="E13" s="426">
        <v>84</v>
      </c>
      <c r="F13" s="426">
        <v>83</v>
      </c>
      <c r="G13" s="426">
        <v>84</v>
      </c>
      <c r="H13" s="426">
        <v>83</v>
      </c>
      <c r="I13" s="426">
        <f>83+2537</f>
        <v>2620</v>
      </c>
      <c r="J13" s="426">
        <v>83</v>
      </c>
      <c r="K13" s="426">
        <v>83</v>
      </c>
      <c r="L13" s="426">
        <v>83</v>
      </c>
      <c r="M13" s="426">
        <v>84</v>
      </c>
      <c r="N13" s="426">
        <f>83+33075</f>
        <v>33158</v>
      </c>
      <c r="O13" s="427">
        <f>'2.mell'!E21</f>
        <v>36612</v>
      </c>
      <c r="P13" s="199"/>
      <c r="Q13" s="199"/>
      <c r="R13" s="199"/>
      <c r="S13" s="199"/>
    </row>
    <row r="14" spans="1:19" ht="13.5" thickBot="1">
      <c r="A14" s="425" t="s">
        <v>27</v>
      </c>
      <c r="B14" s="399" t="s">
        <v>234</v>
      </c>
      <c r="C14" s="426">
        <f>138000+580000+15000</f>
        <v>733000</v>
      </c>
      <c r="D14" s="426">
        <f>500000+400000-74000</f>
        <v>826000</v>
      </c>
      <c r="E14" s="426">
        <f>300000-78000+248</f>
        <v>222248</v>
      </c>
      <c r="F14" s="426">
        <f>500000-117000+44284</f>
        <v>427284</v>
      </c>
      <c r="G14" s="426">
        <f>450000-93000+6000</f>
        <v>363000</v>
      </c>
      <c r="H14" s="426">
        <f>31000+482000+219000</f>
        <v>732000</v>
      </c>
      <c r="I14" s="426">
        <f>55000+400000</f>
        <v>455000</v>
      </c>
      <c r="J14" s="426">
        <f>58000+300000+9000</f>
        <v>367000</v>
      </c>
      <c r="K14" s="426">
        <v>548000</v>
      </c>
      <c r="L14" s="426">
        <f>1200000+14000</f>
        <v>1214000</v>
      </c>
      <c r="M14" s="426">
        <v>1777000</v>
      </c>
      <c r="N14" s="426">
        <f>704000-25000+120000+14000+1000000</f>
        <v>1813000</v>
      </c>
      <c r="O14" s="427">
        <f>'2.mell'!E26+'2.mell'!E27</f>
        <v>9477532</v>
      </c>
      <c r="P14" s="199"/>
      <c r="Q14" s="199"/>
      <c r="R14" s="199"/>
      <c r="S14" s="199"/>
    </row>
    <row r="15" spans="1:19" s="3" customFormat="1" ht="14.25" thickBot="1" thickTop="1">
      <c r="A15" s="762" t="s">
        <v>18</v>
      </c>
      <c r="B15" s="763"/>
      <c r="C15" s="428">
        <f>SUM(C6:C14)</f>
        <v>1016875</v>
      </c>
      <c r="D15" s="428">
        <f aca="true" t="shared" si="0" ref="D15:N15">SUM(D6:D14)</f>
        <v>1411449</v>
      </c>
      <c r="E15" s="428">
        <f t="shared" si="0"/>
        <v>692687</v>
      </c>
      <c r="F15" s="428">
        <f t="shared" si="0"/>
        <v>564358</v>
      </c>
      <c r="G15" s="428">
        <f>SUM(G6:G14)</f>
        <v>476078</v>
      </c>
      <c r="H15" s="428">
        <f t="shared" si="0"/>
        <v>1116693</v>
      </c>
      <c r="I15" s="428">
        <f t="shared" si="0"/>
        <v>539611</v>
      </c>
      <c r="J15" s="428">
        <f t="shared" si="0"/>
        <v>471074</v>
      </c>
      <c r="K15" s="428">
        <f t="shared" si="0"/>
        <v>1017429</v>
      </c>
      <c r="L15" s="428">
        <f t="shared" si="0"/>
        <v>1628881</v>
      </c>
      <c r="M15" s="428">
        <f t="shared" si="0"/>
        <v>2204440</v>
      </c>
      <c r="N15" s="428">
        <f t="shared" si="0"/>
        <v>2228050</v>
      </c>
      <c r="O15" s="429">
        <f>SUM(O6:O14)</f>
        <v>13367625</v>
      </c>
      <c r="P15" s="199"/>
      <c r="Q15" s="199"/>
      <c r="R15" s="199"/>
      <c r="S15" s="199"/>
    </row>
    <row r="16" spans="1:19" ht="7.5" customHeight="1" thickBot="1" thickTop="1">
      <c r="A16" s="430"/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4"/>
      <c r="P16" s="199"/>
      <c r="Q16" s="199"/>
      <c r="R16" s="199"/>
      <c r="S16" s="199"/>
    </row>
    <row r="17" spans="1:19" ht="3.75" customHeight="1">
      <c r="A17" s="405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6"/>
      <c r="P17" s="199"/>
      <c r="Q17" s="199"/>
      <c r="R17" s="199"/>
      <c r="S17" s="199"/>
    </row>
    <row r="18" spans="1:19" ht="7.5" customHeight="1" thickBot="1">
      <c r="A18" s="405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31" t="s">
        <v>77</v>
      </c>
      <c r="P18" s="199"/>
      <c r="Q18" s="199"/>
      <c r="R18" s="199"/>
      <c r="S18" s="199"/>
    </row>
    <row r="19" spans="1:19" ht="16.5" customHeight="1" thickBot="1">
      <c r="A19" s="759" t="s">
        <v>30</v>
      </c>
      <c r="B19" s="760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1"/>
      <c r="P19" s="199"/>
      <c r="Q19" s="199"/>
      <c r="R19" s="199"/>
      <c r="S19" s="199"/>
    </row>
    <row r="20" spans="1:19" s="2" customFormat="1" ht="12.75">
      <c r="A20" s="420"/>
      <c r="B20" s="397"/>
      <c r="C20" s="432" t="s">
        <v>6</v>
      </c>
      <c r="D20" s="432" t="s">
        <v>7</v>
      </c>
      <c r="E20" s="432" t="s">
        <v>8</v>
      </c>
      <c r="F20" s="432" t="s">
        <v>9</v>
      </c>
      <c r="G20" s="432" t="s">
        <v>10</v>
      </c>
      <c r="H20" s="432" t="s">
        <v>11</v>
      </c>
      <c r="I20" s="432" t="s">
        <v>12</v>
      </c>
      <c r="J20" s="432" t="s">
        <v>13</v>
      </c>
      <c r="K20" s="432" t="s">
        <v>14</v>
      </c>
      <c r="L20" s="432" t="s">
        <v>15</v>
      </c>
      <c r="M20" s="432" t="s">
        <v>16</v>
      </c>
      <c r="N20" s="432" t="s">
        <v>17</v>
      </c>
      <c r="O20" s="477" t="s">
        <v>18</v>
      </c>
      <c r="P20" s="199"/>
      <c r="Q20" s="199"/>
      <c r="R20" s="199"/>
      <c r="S20" s="199"/>
    </row>
    <row r="21" spans="1:19" ht="5.25" customHeight="1">
      <c r="A21" s="407"/>
      <c r="B21" s="405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9"/>
      <c r="P21" s="199"/>
      <c r="Q21" s="199"/>
      <c r="R21" s="199"/>
      <c r="S21" s="199"/>
    </row>
    <row r="22" spans="1:19" ht="12.75">
      <c r="A22" s="433" t="s">
        <v>19</v>
      </c>
      <c r="B22" s="410" t="s">
        <v>31</v>
      </c>
      <c r="C22" s="423">
        <f>49617+2209+432+1192</f>
        <v>53450</v>
      </c>
      <c r="D22" s="423">
        <v>53450</v>
      </c>
      <c r="E22" s="423">
        <v>53450</v>
      </c>
      <c r="F22" s="423">
        <v>53450</v>
      </c>
      <c r="G22" s="423">
        <v>53450</v>
      </c>
      <c r="H22" s="423">
        <v>53450</v>
      </c>
      <c r="I22" s="423">
        <v>52214</v>
      </c>
      <c r="J22" s="423">
        <v>50214</v>
      </c>
      <c r="K22" s="423">
        <v>50014</v>
      </c>
      <c r="L22" s="423">
        <v>50214</v>
      </c>
      <c r="M22" s="423">
        <v>47214</v>
      </c>
      <c r="N22" s="423">
        <f>549+51421-3917-3900+2000-1302-168-3051+100</f>
        <v>41732</v>
      </c>
      <c r="O22" s="424">
        <f>'2.mell'!E34</f>
        <v>612302</v>
      </c>
      <c r="P22" s="199"/>
      <c r="Q22" s="199"/>
      <c r="R22" s="199"/>
      <c r="S22" s="199"/>
    </row>
    <row r="23" spans="1:19" ht="25.5">
      <c r="A23" s="425" t="s">
        <v>20</v>
      </c>
      <c r="B23" s="411" t="s">
        <v>161</v>
      </c>
      <c r="C23" s="426">
        <v>15358</v>
      </c>
      <c r="D23" s="426">
        <v>15358</v>
      </c>
      <c r="E23" s="426">
        <v>15358</v>
      </c>
      <c r="F23" s="426">
        <f>1315+13358</f>
        <v>14673</v>
      </c>
      <c r="G23" s="426">
        <v>13358</v>
      </c>
      <c r="H23" s="426">
        <v>13358</v>
      </c>
      <c r="I23" s="426">
        <v>13028</v>
      </c>
      <c r="J23" s="426">
        <v>13028</v>
      </c>
      <c r="K23" s="426">
        <f>13028+370</f>
        <v>13398</v>
      </c>
      <c r="L23" s="426">
        <v>11028</v>
      </c>
      <c r="M23" s="426">
        <f>13028-800</f>
        <v>12228</v>
      </c>
      <c r="N23" s="426">
        <f>13894-389+168-957+51</f>
        <v>12767</v>
      </c>
      <c r="O23" s="427">
        <f>'2.mell'!E35</f>
        <v>162940</v>
      </c>
      <c r="P23" s="199"/>
      <c r="Q23" s="199"/>
      <c r="R23" s="199"/>
      <c r="S23" s="199"/>
    </row>
    <row r="24" spans="1:19" ht="12.75">
      <c r="A24" s="425" t="s">
        <v>21</v>
      </c>
      <c r="B24" s="412" t="s">
        <v>32</v>
      </c>
      <c r="C24" s="426">
        <f>66892+21176</f>
        <v>88068</v>
      </c>
      <c r="D24" s="426">
        <v>88068</v>
      </c>
      <c r="E24" s="426">
        <v>88068</v>
      </c>
      <c r="F24" s="426">
        <v>95068</v>
      </c>
      <c r="G24" s="426">
        <f>30000+95068</f>
        <v>125068</v>
      </c>
      <c r="H24" s="426">
        <v>188068</v>
      </c>
      <c r="I24" s="426">
        <f>66892+834</f>
        <v>67726</v>
      </c>
      <c r="J24" s="426">
        <v>72726</v>
      </c>
      <c r="K24" s="426">
        <f>72726+25244-793</f>
        <v>97177</v>
      </c>
      <c r="L24" s="426">
        <f>20000+72726</f>
        <v>92726</v>
      </c>
      <c r="M24" s="426">
        <f>12181+72726+10000</f>
        <v>94907</v>
      </c>
      <c r="N24" s="426">
        <f>516+67716-629-1700+338+15000+148-9030+24187-44188+16556+12511-408</f>
        <v>81017</v>
      </c>
      <c r="O24" s="427">
        <f>'2.mell'!E36</f>
        <v>1178687</v>
      </c>
      <c r="P24" s="199"/>
      <c r="Q24" s="199"/>
      <c r="R24" s="199"/>
      <c r="S24" s="199"/>
    </row>
    <row r="25" spans="1:19" ht="12.75">
      <c r="A25" s="434" t="s">
        <v>22</v>
      </c>
      <c r="B25" s="413" t="s">
        <v>78</v>
      </c>
      <c r="C25" s="423">
        <v>2500</v>
      </c>
      <c r="D25" s="423">
        <v>2500</v>
      </c>
      <c r="E25" s="423">
        <v>2500</v>
      </c>
      <c r="F25" s="423">
        <v>3247</v>
      </c>
      <c r="G25" s="423">
        <v>3247</v>
      </c>
      <c r="H25" s="423">
        <v>3247</v>
      </c>
      <c r="I25" s="423">
        <v>3247</v>
      </c>
      <c r="J25" s="423">
        <v>3247</v>
      </c>
      <c r="K25" s="423">
        <v>3247</v>
      </c>
      <c r="L25" s="423">
        <v>3247</v>
      </c>
      <c r="M25" s="423">
        <v>3247</v>
      </c>
      <c r="N25" s="423">
        <f>985+3244+303</f>
        <v>4532</v>
      </c>
      <c r="O25" s="424">
        <f>'2.mell'!C37</f>
        <v>38008</v>
      </c>
      <c r="P25" s="199"/>
      <c r="Q25" s="199"/>
      <c r="R25" s="199"/>
      <c r="S25" s="199"/>
    </row>
    <row r="26" spans="1:19" ht="13.5" customHeight="1">
      <c r="A26" s="434" t="s">
        <v>23</v>
      </c>
      <c r="B26" s="414" t="s">
        <v>119</v>
      </c>
      <c r="C26" s="423">
        <f>550+1747+138000</f>
        <v>140297</v>
      </c>
      <c r="D26" s="423">
        <v>1747</v>
      </c>
      <c r="E26" s="423">
        <f>1700+1474</f>
        <v>3174</v>
      </c>
      <c r="F26" s="423">
        <f>550+1000+2740+174+2000+44284</f>
        <v>50748</v>
      </c>
      <c r="G26" s="423">
        <f>1747+800</f>
        <v>2547</v>
      </c>
      <c r="H26" s="423">
        <f>300+700+1747+2019</f>
        <v>4766</v>
      </c>
      <c r="I26" s="423">
        <f>550+1747+2000</f>
        <v>4297</v>
      </c>
      <c r="J26" s="423">
        <f>1747+2740+2000</f>
        <v>6487</v>
      </c>
      <c r="K26" s="423">
        <f>1747+957+4898</f>
        <v>7602</v>
      </c>
      <c r="L26" s="423">
        <f>1747+1198+5081</f>
        <v>8026</v>
      </c>
      <c r="M26" s="423">
        <f>1747+1400+10566+3949+54540+4083</f>
        <v>76285</v>
      </c>
      <c r="N26" s="423">
        <f>3100+5000+550+500+1747+1844+4320+120000+50000-7749+1525</f>
        <v>180837</v>
      </c>
      <c r="O26" s="424">
        <f>'2.mell'!C38</f>
        <v>486813</v>
      </c>
      <c r="P26" s="199"/>
      <c r="Q26" s="199"/>
      <c r="R26" s="199"/>
      <c r="S26" s="199"/>
    </row>
    <row r="27" spans="1:19" ht="14.25" customHeight="1">
      <c r="A27" s="434" t="s">
        <v>24</v>
      </c>
      <c r="B27" s="415" t="s">
        <v>42</v>
      </c>
      <c r="C27" s="423">
        <v>200000</v>
      </c>
      <c r="D27" s="423">
        <v>500000</v>
      </c>
      <c r="E27" s="423">
        <v>130000</v>
      </c>
      <c r="F27" s="423"/>
      <c r="G27" s="423"/>
      <c r="H27" s="423">
        <v>118491</v>
      </c>
      <c r="I27" s="423">
        <v>2537</v>
      </c>
      <c r="J27" s="423">
        <v>12000</v>
      </c>
      <c r="K27" s="423">
        <v>15166</v>
      </c>
      <c r="L27" s="423">
        <v>8000</v>
      </c>
      <c r="M27" s="423">
        <f>289313-34000+150-86855+13540+17196+130815+5977</f>
        <v>336136</v>
      </c>
      <c r="N27" s="423">
        <f>97158+124662</f>
        <v>221820</v>
      </c>
      <c r="O27" s="424">
        <f>'2.mell'!D41</f>
        <v>1544150</v>
      </c>
      <c r="P27" s="199"/>
      <c r="Q27" s="199"/>
      <c r="R27" s="199"/>
      <c r="S27" s="199"/>
    </row>
    <row r="28" spans="1:19" ht="12.75">
      <c r="A28" s="434" t="s">
        <v>25</v>
      </c>
      <c r="B28" s="416" t="s">
        <v>43</v>
      </c>
      <c r="C28" s="435"/>
      <c r="D28" s="426">
        <v>250000</v>
      </c>
      <c r="E28" s="426"/>
      <c r="F28" s="426"/>
      <c r="G28" s="426"/>
      <c r="H28" s="426"/>
      <c r="I28" s="426"/>
      <c r="J28" s="426">
        <v>7577</v>
      </c>
      <c r="K28" s="426"/>
      <c r="L28" s="426">
        <v>450000</v>
      </c>
      <c r="M28" s="426">
        <f>249918-150+32837-14917-3569-140672+5965</f>
        <v>129412</v>
      </c>
      <c r="N28" s="426"/>
      <c r="O28" s="427">
        <f>'2.mell'!D42</f>
        <v>836989</v>
      </c>
      <c r="P28" s="199"/>
      <c r="Q28" s="199"/>
      <c r="R28" s="199"/>
      <c r="S28" s="199"/>
    </row>
    <row r="29" spans="1:19" ht="12.75">
      <c r="A29" s="434" t="s">
        <v>26</v>
      </c>
      <c r="B29" s="417" t="s">
        <v>59</v>
      </c>
      <c r="C29" s="435"/>
      <c r="D29" s="426"/>
      <c r="E29" s="426"/>
      <c r="F29" s="426">
        <v>3000</v>
      </c>
      <c r="G29" s="426">
        <v>8780</v>
      </c>
      <c r="H29" s="426">
        <v>435434</v>
      </c>
      <c r="I29" s="426"/>
      <c r="J29" s="426">
        <v>4000</v>
      </c>
      <c r="K29" s="426">
        <f>20113+8089</f>
        <v>28202</v>
      </c>
      <c r="L29" s="426">
        <v>1640</v>
      </c>
      <c r="M29" s="426">
        <v>5011</v>
      </c>
      <c r="N29" s="426">
        <v>4513</v>
      </c>
      <c r="O29" s="427">
        <f>'2.mell'!D43</f>
        <v>490580</v>
      </c>
      <c r="P29" s="199"/>
      <c r="Q29" s="199"/>
      <c r="R29" s="199"/>
      <c r="S29" s="199"/>
    </row>
    <row r="30" spans="1:19" ht="14.25" customHeight="1" thickBot="1">
      <c r="A30" s="436" t="s">
        <v>27</v>
      </c>
      <c r="B30" s="418" t="s">
        <v>88</v>
      </c>
      <c r="C30" s="426">
        <f>17156+500000</f>
        <v>517156</v>
      </c>
      <c r="D30" s="426">
        <v>500000</v>
      </c>
      <c r="E30" s="426">
        <v>400000</v>
      </c>
      <c r="F30" s="426">
        <v>300000</v>
      </c>
      <c r="G30" s="426">
        <v>300000</v>
      </c>
      <c r="H30" s="426">
        <v>300000</v>
      </c>
      <c r="I30" s="426">
        <v>400000</v>
      </c>
      <c r="J30" s="426">
        <v>300000</v>
      </c>
      <c r="K30" s="426">
        <v>800000</v>
      </c>
      <c r="L30" s="426">
        <v>1000000</v>
      </c>
      <c r="M30" s="426">
        <v>1500000</v>
      </c>
      <c r="N30" s="426">
        <v>1700000</v>
      </c>
      <c r="O30" s="437">
        <f>'2.mell'!E47</f>
        <v>8017156</v>
      </c>
      <c r="P30" s="199"/>
      <c r="Q30" s="199"/>
      <c r="R30" s="199"/>
      <c r="S30" s="199"/>
    </row>
    <row r="31" spans="1:19" ht="14.25" thickBot="1" thickTop="1">
      <c r="A31" s="756" t="s">
        <v>18</v>
      </c>
      <c r="B31" s="757"/>
      <c r="C31" s="438">
        <f>SUM(C22:C30)</f>
        <v>1016829</v>
      </c>
      <c r="D31" s="438">
        <f aca="true" t="shared" si="1" ref="D31:M31">SUM(D22:D30)</f>
        <v>1411123</v>
      </c>
      <c r="E31" s="438">
        <f t="shared" si="1"/>
        <v>692550</v>
      </c>
      <c r="F31" s="438">
        <f t="shared" si="1"/>
        <v>520186</v>
      </c>
      <c r="G31" s="438">
        <f t="shared" si="1"/>
        <v>506450</v>
      </c>
      <c r="H31" s="438">
        <f>SUM(H22:H30)</f>
        <v>1116814</v>
      </c>
      <c r="I31" s="438">
        <f t="shared" si="1"/>
        <v>543049</v>
      </c>
      <c r="J31" s="438">
        <f t="shared" si="1"/>
        <v>469279</v>
      </c>
      <c r="K31" s="438">
        <f t="shared" si="1"/>
        <v>1014806</v>
      </c>
      <c r="L31" s="438">
        <f>SUM(L22:L30)</f>
        <v>1624881</v>
      </c>
      <c r="M31" s="438">
        <f t="shared" si="1"/>
        <v>2204440</v>
      </c>
      <c r="N31" s="438">
        <f>SUM(N22:N30)</f>
        <v>2247218</v>
      </c>
      <c r="O31" s="439">
        <f>SUM(O22:O30)</f>
        <v>13367625</v>
      </c>
      <c r="P31" s="199"/>
      <c r="Q31" s="199"/>
      <c r="R31" s="199"/>
      <c r="S31" s="199"/>
    </row>
    <row r="32" spans="1:19" ht="7.5" customHeight="1">
      <c r="A32" s="419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Q32" s="199"/>
      <c r="R32" s="199"/>
      <c r="S32" s="199"/>
    </row>
    <row r="33" ht="17.25" customHeight="1">
      <c r="S33" s="199"/>
    </row>
    <row r="34" spans="3:19" ht="12.75"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S34" s="199"/>
    </row>
    <row r="35" spans="3:17" ht="12.75"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Q35" s="199"/>
    </row>
    <row r="36" spans="3:14" ht="12.75"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</row>
  </sheetData>
  <sheetProtection/>
  <mergeCells count="5">
    <mergeCell ref="A31:B31"/>
    <mergeCell ref="L1:O1"/>
    <mergeCell ref="A4:O4"/>
    <mergeCell ref="A15:B15"/>
    <mergeCell ref="A19:O19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86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SheetLayoutView="100" zoomScalePageLayoutView="0" workbookViewId="0" topLeftCell="A16">
      <selection activeCell="B38" sqref="B38"/>
    </sheetView>
  </sheetViews>
  <sheetFormatPr defaultColWidth="9.00390625" defaultRowHeight="12.75"/>
  <cols>
    <col min="1" max="1" width="4.125" style="326" customWidth="1"/>
    <col min="2" max="2" width="51.375" style="327" customWidth="1"/>
    <col min="3" max="3" width="11.375" style="392" customWidth="1"/>
    <col min="4" max="4" width="11.625" style="392" customWidth="1"/>
    <col min="5" max="5" width="10.75390625" style="393" customWidth="1"/>
    <col min="6" max="16384" width="9.125" style="4" customWidth="1"/>
  </cols>
  <sheetData>
    <row r="1" spans="3:6" ht="12.75" customHeight="1">
      <c r="C1" s="775" t="s">
        <v>452</v>
      </c>
      <c r="D1" s="775"/>
      <c r="E1" s="775"/>
      <c r="F1" s="482"/>
    </row>
    <row r="6" spans="3:5" ht="13.5" thickBot="1">
      <c r="C6" s="328"/>
      <c r="D6" s="328"/>
      <c r="E6" s="329" t="s">
        <v>4</v>
      </c>
    </row>
    <row r="7" spans="1:5" ht="5.25" customHeight="1">
      <c r="A7" s="330"/>
      <c r="B7" s="331"/>
      <c r="C7" s="332"/>
      <c r="D7" s="332"/>
      <c r="E7" s="333"/>
    </row>
    <row r="8" spans="1:5" s="5" customFormat="1" ht="12.75">
      <c r="A8" s="776" t="s">
        <v>33</v>
      </c>
      <c r="B8" s="777"/>
      <c r="C8" s="335" t="s">
        <v>34</v>
      </c>
      <c r="D8" s="335" t="s">
        <v>35</v>
      </c>
      <c r="E8" s="778" t="s">
        <v>36</v>
      </c>
    </row>
    <row r="9" spans="1:5" s="5" customFormat="1" ht="12.75">
      <c r="A9" s="776"/>
      <c r="B9" s="777"/>
      <c r="C9" s="335" t="s">
        <v>37</v>
      </c>
      <c r="D9" s="335" t="s">
        <v>37</v>
      </c>
      <c r="E9" s="778"/>
    </row>
    <row r="10" spans="1:5" ht="4.5" customHeight="1" thickBot="1">
      <c r="A10" s="336"/>
      <c r="B10" s="337"/>
      <c r="C10" s="338"/>
      <c r="D10" s="338"/>
      <c r="E10" s="339"/>
    </row>
    <row r="11" spans="1:5" ht="13.5" customHeight="1" thickBot="1">
      <c r="A11" s="770" t="s">
        <v>38</v>
      </c>
      <c r="B11" s="771"/>
      <c r="C11" s="771"/>
      <c r="D11" s="771"/>
      <c r="E11" s="772"/>
    </row>
    <row r="12" spans="1:5" s="6" customFormat="1" ht="25.5" customHeight="1">
      <c r="A12" s="334" t="s">
        <v>39</v>
      </c>
      <c r="B12" s="340" t="s">
        <v>424</v>
      </c>
      <c r="C12" s="341">
        <f>'3.mell'!F15</f>
        <v>94480</v>
      </c>
      <c r="D12" s="341">
        <f>'3.mell'!G15</f>
        <v>0</v>
      </c>
      <c r="E12" s="342">
        <f>SUM(C12:D12)</f>
        <v>94480</v>
      </c>
    </row>
    <row r="13" spans="1:5" s="6" customFormat="1" ht="12.75" customHeight="1">
      <c r="A13" s="334"/>
      <c r="B13" s="343" t="s">
        <v>158</v>
      </c>
      <c r="C13" s="344">
        <f>'4.mell '!G10</f>
        <v>31190</v>
      </c>
      <c r="D13" s="344">
        <v>0</v>
      </c>
      <c r="E13" s="345">
        <f>C13</f>
        <v>31190</v>
      </c>
    </row>
    <row r="14" spans="1:5" s="6" customFormat="1" ht="27.75" customHeight="1">
      <c r="A14" s="334" t="s">
        <v>40</v>
      </c>
      <c r="B14" s="346" t="s">
        <v>425</v>
      </c>
      <c r="C14" s="347"/>
      <c r="D14" s="347"/>
      <c r="E14" s="348"/>
    </row>
    <row r="15" spans="1:5" s="7" customFormat="1" ht="12" customHeight="1">
      <c r="A15" s="349" t="s">
        <v>19</v>
      </c>
      <c r="B15" s="350" t="s">
        <v>316</v>
      </c>
      <c r="C15" s="351">
        <f>'3.mell'!F18</f>
        <v>1099295</v>
      </c>
      <c r="D15" s="352"/>
      <c r="E15" s="353">
        <f aca="true" t="shared" si="0" ref="E15:E21">SUM(C15:D15)</f>
        <v>1099295</v>
      </c>
    </row>
    <row r="16" spans="1:6" s="7" customFormat="1" ht="12" customHeight="1">
      <c r="A16" s="349" t="s">
        <v>20</v>
      </c>
      <c r="B16" s="354" t="s">
        <v>317</v>
      </c>
      <c r="C16" s="352"/>
      <c r="D16" s="351">
        <f>'3.mell'!G81</f>
        <v>1894307</v>
      </c>
      <c r="E16" s="353">
        <f>D16+C16</f>
        <v>1894307</v>
      </c>
      <c r="F16" s="169"/>
    </row>
    <row r="17" spans="1:5" s="7" customFormat="1" ht="12" customHeight="1">
      <c r="A17" s="349" t="s">
        <v>21</v>
      </c>
      <c r="B17" s="350" t="s">
        <v>140</v>
      </c>
      <c r="C17" s="351">
        <f>'3.mell'!F104</f>
        <v>589807</v>
      </c>
      <c r="D17" s="351">
        <f>'3.mell'!G104</f>
        <v>0</v>
      </c>
      <c r="E17" s="353">
        <f>D17+C17</f>
        <v>589807</v>
      </c>
    </row>
    <row r="18" spans="1:5" s="7" customFormat="1" ht="12" customHeight="1">
      <c r="A18" s="349" t="s">
        <v>22</v>
      </c>
      <c r="B18" s="355" t="s">
        <v>318</v>
      </c>
      <c r="C18" s="356">
        <f>'3.mell'!F125</f>
        <v>174168</v>
      </c>
      <c r="D18" s="357"/>
      <c r="E18" s="353">
        <f t="shared" si="0"/>
        <v>174168</v>
      </c>
    </row>
    <row r="19" spans="1:5" s="7" customFormat="1" ht="12" customHeight="1">
      <c r="A19" s="349" t="s">
        <v>23</v>
      </c>
      <c r="B19" s="355" t="s">
        <v>319</v>
      </c>
      <c r="C19" s="357"/>
      <c r="D19" s="356">
        <f>'3.mell'!G157</f>
        <v>1424</v>
      </c>
      <c r="E19" s="353">
        <f t="shared" si="0"/>
        <v>1424</v>
      </c>
    </row>
    <row r="20" spans="1:5" s="7" customFormat="1" ht="12" customHeight="1">
      <c r="A20" s="349" t="s">
        <v>24</v>
      </c>
      <c r="B20" s="355" t="s">
        <v>315</v>
      </c>
      <c r="C20" s="356">
        <f>'3.mell'!F160</f>
        <v>0</v>
      </c>
      <c r="D20" s="357"/>
      <c r="E20" s="353">
        <f t="shared" si="0"/>
        <v>0</v>
      </c>
    </row>
    <row r="21" spans="1:5" s="7" customFormat="1" ht="12" customHeight="1" thickBot="1">
      <c r="A21" s="349" t="s">
        <v>25</v>
      </c>
      <c r="B21" s="355" t="s">
        <v>314</v>
      </c>
      <c r="C21" s="357"/>
      <c r="D21" s="356">
        <f>'3.mell'!G161</f>
        <v>36612</v>
      </c>
      <c r="E21" s="353">
        <f t="shared" si="0"/>
        <v>36612</v>
      </c>
    </row>
    <row r="22" spans="1:7" s="8" customFormat="1" ht="14.25" customHeight="1" thickBot="1" thickTop="1">
      <c r="A22" s="766" t="s">
        <v>320</v>
      </c>
      <c r="B22" s="767"/>
      <c r="C22" s="358">
        <f>C15+C17+C18+C20</f>
        <v>1863270</v>
      </c>
      <c r="D22" s="358">
        <f>D16+D17+D19+D21</f>
        <v>1932343</v>
      </c>
      <c r="E22" s="359">
        <f>SUM(C22:D22)</f>
        <v>3795613</v>
      </c>
      <c r="G22" s="497"/>
    </row>
    <row r="23" spans="1:5" s="9" customFormat="1" ht="15" customHeight="1" thickBot="1" thickTop="1">
      <c r="A23" s="773" t="s">
        <v>423</v>
      </c>
      <c r="B23" s="774"/>
      <c r="C23" s="360">
        <f>SUM(C12)+C22</f>
        <v>1957750</v>
      </c>
      <c r="D23" s="360">
        <f>SUM(D12)+D22</f>
        <v>1932343</v>
      </c>
      <c r="E23" s="361">
        <f>SUM(E12)+E22</f>
        <v>3890093</v>
      </c>
    </row>
    <row r="24" spans="1:8" s="9" customFormat="1" ht="30.75" customHeight="1" thickBot="1" thickTop="1">
      <c r="A24" s="779" t="s">
        <v>427</v>
      </c>
      <c r="B24" s="780"/>
      <c r="C24" s="360">
        <f>C23-C39</f>
        <v>-521000</v>
      </c>
      <c r="D24" s="360">
        <f>D23-D44</f>
        <v>-939376</v>
      </c>
      <c r="E24" s="362">
        <f>E23-E45</f>
        <v>-1460376</v>
      </c>
      <c r="G24" s="168"/>
      <c r="H24" s="168"/>
    </row>
    <row r="25" spans="1:7" s="9" customFormat="1" ht="18.75" customHeight="1" thickTop="1">
      <c r="A25" s="363" t="s">
        <v>44</v>
      </c>
      <c r="B25" s="364" t="s">
        <v>233</v>
      </c>
      <c r="C25" s="365"/>
      <c r="D25" s="365"/>
      <c r="E25" s="366"/>
      <c r="G25" s="168"/>
    </row>
    <row r="26" spans="1:9" s="9" customFormat="1" ht="38.25" customHeight="1">
      <c r="A26" s="367" t="s">
        <v>19</v>
      </c>
      <c r="B26" s="368" t="s">
        <v>428</v>
      </c>
      <c r="C26" s="369">
        <f>'3.mell'!F167+'3.mell'!F168+'4.mell '!L18+'4.mell '!L21+'3.mell'!F169</f>
        <v>538156</v>
      </c>
      <c r="D26" s="369">
        <f>'3.mell'!G166</f>
        <v>939376</v>
      </c>
      <c r="E26" s="370">
        <f>C26+D26</f>
        <v>1477532</v>
      </c>
      <c r="G26" s="168"/>
      <c r="H26" s="168"/>
      <c r="I26" s="168"/>
    </row>
    <row r="27" spans="1:7" s="9" customFormat="1" ht="15.75" customHeight="1" thickBot="1">
      <c r="A27" s="492" t="s">
        <v>20</v>
      </c>
      <c r="B27" s="493" t="s">
        <v>378</v>
      </c>
      <c r="C27" s="494">
        <f>'3.mell'!F171+'3.mell'!F170</f>
        <v>8000000</v>
      </c>
      <c r="D27" s="494"/>
      <c r="E27" s="495">
        <f>C27</f>
        <v>8000000</v>
      </c>
      <c r="G27" s="168"/>
    </row>
    <row r="28" spans="1:7" s="179" customFormat="1" ht="24.75" customHeight="1" thickBot="1" thickTop="1">
      <c r="A28" s="768" t="s">
        <v>235</v>
      </c>
      <c r="B28" s="769"/>
      <c r="C28" s="360">
        <f>C23+C26+C27</f>
        <v>10495906</v>
      </c>
      <c r="D28" s="360">
        <f>D23+D26</f>
        <v>2871719</v>
      </c>
      <c r="E28" s="361">
        <f>D28+C28</f>
        <v>13367625</v>
      </c>
      <c r="G28" s="635"/>
    </row>
    <row r="29" spans="1:5" s="5" customFormat="1" ht="13.5" thickTop="1">
      <c r="A29" s="776" t="s">
        <v>33</v>
      </c>
      <c r="B29" s="777"/>
      <c r="C29" s="335" t="s">
        <v>34</v>
      </c>
      <c r="D29" s="335" t="s">
        <v>35</v>
      </c>
      <c r="E29" s="778" t="s">
        <v>36</v>
      </c>
    </row>
    <row r="30" spans="1:5" s="5" customFormat="1" ht="12.75">
      <c r="A30" s="776"/>
      <c r="B30" s="777"/>
      <c r="C30" s="335" t="s">
        <v>37</v>
      </c>
      <c r="D30" s="335" t="s">
        <v>37</v>
      </c>
      <c r="E30" s="778"/>
    </row>
    <row r="31" spans="1:5" ht="4.5" customHeight="1" thickBot="1">
      <c r="A31" s="336"/>
      <c r="B31" s="371"/>
      <c r="C31" s="338"/>
      <c r="D31" s="338"/>
      <c r="E31" s="339"/>
    </row>
    <row r="32" spans="1:5" ht="13.5" customHeight="1" thickBot="1">
      <c r="A32" s="770" t="s">
        <v>41</v>
      </c>
      <c r="B32" s="771"/>
      <c r="C32" s="771"/>
      <c r="D32" s="771"/>
      <c r="E32" s="772"/>
    </row>
    <row r="33" spans="1:5" s="6" customFormat="1" ht="11.25" customHeight="1">
      <c r="A33" s="334" t="s">
        <v>39</v>
      </c>
      <c r="B33" s="372" t="s">
        <v>162</v>
      </c>
      <c r="C33" s="373"/>
      <c r="D33" s="480"/>
      <c r="E33" s="374"/>
    </row>
    <row r="34" spans="1:5" s="7" customFormat="1" ht="13.5" customHeight="1">
      <c r="A34" s="349" t="s">
        <v>19</v>
      </c>
      <c r="B34" s="350" t="s">
        <v>31</v>
      </c>
      <c r="C34" s="351">
        <f>'3.mell'!F187</f>
        <v>612302</v>
      </c>
      <c r="D34" s="352"/>
      <c r="E34" s="353">
        <f>SUM(C34:D34)</f>
        <v>612302</v>
      </c>
    </row>
    <row r="35" spans="1:5" s="7" customFormat="1" ht="13.5" customHeight="1">
      <c r="A35" s="349" t="s">
        <v>20</v>
      </c>
      <c r="B35" s="355" t="s">
        <v>161</v>
      </c>
      <c r="C35" s="351">
        <f>'3.mell'!F188</f>
        <v>162940</v>
      </c>
      <c r="D35" s="357"/>
      <c r="E35" s="353">
        <f>SUM(C35:D35)</f>
        <v>162940</v>
      </c>
    </row>
    <row r="36" spans="1:5" s="7" customFormat="1" ht="13.5" customHeight="1">
      <c r="A36" s="349" t="s">
        <v>21</v>
      </c>
      <c r="B36" s="355" t="s">
        <v>32</v>
      </c>
      <c r="C36" s="351">
        <f>'3.mell'!F189</f>
        <v>1178687</v>
      </c>
      <c r="D36" s="357"/>
      <c r="E36" s="353">
        <f>SUM(C36:D36)</f>
        <v>1178687</v>
      </c>
    </row>
    <row r="37" spans="1:7" s="7" customFormat="1" ht="13.5" customHeight="1">
      <c r="A37" s="349" t="s">
        <v>22</v>
      </c>
      <c r="B37" s="295" t="s">
        <v>121</v>
      </c>
      <c r="C37" s="351">
        <f>'3.mell'!F190</f>
        <v>38008</v>
      </c>
      <c r="D37" s="357"/>
      <c r="E37" s="353">
        <f>C37</f>
        <v>38008</v>
      </c>
      <c r="G37" s="169"/>
    </row>
    <row r="38" spans="1:8" s="7" customFormat="1" ht="13.5" customHeight="1" thickBot="1">
      <c r="A38" s="349" t="s">
        <v>24</v>
      </c>
      <c r="B38" s="305" t="s">
        <v>119</v>
      </c>
      <c r="C38" s="351">
        <f>'3.mell'!F191</f>
        <v>486813</v>
      </c>
      <c r="D38" s="357"/>
      <c r="E38" s="353">
        <f>SUM(C38:D38)</f>
        <v>486813</v>
      </c>
      <c r="H38" s="169"/>
    </row>
    <row r="39" spans="1:5" s="8" customFormat="1" ht="14.25" customHeight="1" thickBot="1" thickTop="1">
      <c r="A39" s="766" t="s">
        <v>163</v>
      </c>
      <c r="B39" s="767"/>
      <c r="C39" s="358">
        <f>SUM(C34:C38)</f>
        <v>2478750</v>
      </c>
      <c r="D39" s="479"/>
      <c r="E39" s="375">
        <f>SUM(C39:D39)</f>
        <v>2478750</v>
      </c>
    </row>
    <row r="40" spans="1:5" s="6" customFormat="1" ht="15" customHeight="1" thickTop="1">
      <c r="A40" s="334" t="s">
        <v>40</v>
      </c>
      <c r="B40" s="372" t="s">
        <v>164</v>
      </c>
      <c r="C40" s="478"/>
      <c r="D40" s="376"/>
      <c r="E40" s="370"/>
    </row>
    <row r="41" spans="1:5" s="7" customFormat="1" ht="13.5" customHeight="1">
      <c r="A41" s="349" t="s">
        <v>19</v>
      </c>
      <c r="B41" s="350" t="s">
        <v>42</v>
      </c>
      <c r="C41" s="352"/>
      <c r="D41" s="351">
        <f>'3.mell'!G194</f>
        <v>1544150</v>
      </c>
      <c r="E41" s="353">
        <f>SUM(C41:D41)</f>
        <v>1544150</v>
      </c>
    </row>
    <row r="42" spans="1:5" s="7" customFormat="1" ht="12" customHeight="1">
      <c r="A42" s="349" t="s">
        <v>20</v>
      </c>
      <c r="B42" s="355" t="s">
        <v>43</v>
      </c>
      <c r="C42" s="357"/>
      <c r="D42" s="351">
        <f>'3.mell'!G195</f>
        <v>836989</v>
      </c>
      <c r="E42" s="353">
        <f>SUM(C42:D42)</f>
        <v>836989</v>
      </c>
    </row>
    <row r="43" spans="1:5" s="7" customFormat="1" ht="12" customHeight="1" thickBot="1">
      <c r="A43" s="349" t="s">
        <v>21</v>
      </c>
      <c r="B43" s="355" t="s">
        <v>59</v>
      </c>
      <c r="C43" s="357"/>
      <c r="D43" s="351">
        <f>'3.mell'!G196</f>
        <v>490580</v>
      </c>
      <c r="E43" s="353">
        <f>SUM(C43:D43)</f>
        <v>490580</v>
      </c>
    </row>
    <row r="44" spans="1:8" s="8" customFormat="1" ht="12.75" customHeight="1" thickBot="1" thickTop="1">
      <c r="A44" s="766" t="s">
        <v>165</v>
      </c>
      <c r="B44" s="767"/>
      <c r="C44" s="479"/>
      <c r="D44" s="358">
        <f>SUM(D41:D43)</f>
        <v>2871719</v>
      </c>
      <c r="E44" s="375">
        <f>SUM(C44:D44)</f>
        <v>2871719</v>
      </c>
      <c r="F44" s="497"/>
      <c r="G44" s="497"/>
      <c r="H44" s="497"/>
    </row>
    <row r="45" spans="1:8" s="8" customFormat="1" ht="12.75" customHeight="1" thickBot="1" thickTop="1">
      <c r="A45" s="773" t="s">
        <v>426</v>
      </c>
      <c r="B45" s="774"/>
      <c r="C45" s="379">
        <f>C39</f>
        <v>2478750</v>
      </c>
      <c r="D45" s="379">
        <f>D44</f>
        <v>2871719</v>
      </c>
      <c r="E45" s="380">
        <f>D45+C45</f>
        <v>5350469</v>
      </c>
      <c r="F45" s="497"/>
      <c r="G45" s="497"/>
      <c r="H45" s="497"/>
    </row>
    <row r="46" spans="1:5" s="8" customFormat="1" ht="12.75" customHeight="1" thickTop="1">
      <c r="A46" s="377" t="s">
        <v>44</v>
      </c>
      <c r="B46" s="378"/>
      <c r="C46" s="379"/>
      <c r="D46" s="379"/>
      <c r="E46" s="380"/>
    </row>
    <row r="47" spans="1:5" s="8" customFormat="1" ht="12.75" customHeight="1">
      <c r="A47" s="381"/>
      <c r="B47" s="382" t="s">
        <v>88</v>
      </c>
      <c r="C47" s="383">
        <f>'3.mell'!H198</f>
        <v>8017156</v>
      </c>
      <c r="D47" s="383">
        <f>'3.mell'!G198</f>
        <v>0</v>
      </c>
      <c r="E47" s="384">
        <f>D47+C47</f>
        <v>8017156</v>
      </c>
    </row>
    <row r="48" spans="1:5" s="8" customFormat="1" ht="6.75" customHeight="1" thickBot="1">
      <c r="A48" s="385"/>
      <c r="B48" s="386"/>
      <c r="C48" s="387"/>
      <c r="D48" s="387"/>
      <c r="E48" s="388"/>
    </row>
    <row r="49" spans="1:8" s="9" customFormat="1" ht="15" customHeight="1" thickBot="1" thickTop="1">
      <c r="A49" s="764" t="s">
        <v>310</v>
      </c>
      <c r="B49" s="765"/>
      <c r="C49" s="389">
        <f>SUM(C39,C44)+C47</f>
        <v>10495906</v>
      </c>
      <c r="D49" s="389">
        <f>SUM(D39,D44)+D47</f>
        <v>2871719</v>
      </c>
      <c r="E49" s="390">
        <f>SUM(C49:D49)</f>
        <v>13367625</v>
      </c>
      <c r="H49" s="168"/>
    </row>
    <row r="50" spans="3:8" ht="12.75">
      <c r="C50" s="391"/>
      <c r="D50" s="391"/>
      <c r="E50" s="391"/>
      <c r="H50" s="506"/>
    </row>
    <row r="51" spans="3:5" ht="12.75">
      <c r="C51" s="481"/>
      <c r="D51" s="481"/>
      <c r="E51" s="481"/>
    </row>
    <row r="52" spans="3:5" ht="12.75">
      <c r="C52" s="391"/>
      <c r="D52" s="391"/>
      <c r="E52" s="391"/>
    </row>
    <row r="53" spans="3:5" ht="12.75">
      <c r="C53" s="391"/>
      <c r="D53" s="391"/>
      <c r="E53" s="391"/>
    </row>
    <row r="54" spans="3:5" ht="12.75">
      <c r="C54" s="391"/>
      <c r="D54" s="391"/>
      <c r="E54" s="391"/>
    </row>
    <row r="57" spans="3:6" ht="12.75">
      <c r="C57" s="481"/>
      <c r="D57" s="481"/>
      <c r="E57" s="481"/>
      <c r="F57" s="488"/>
    </row>
  </sheetData>
  <sheetProtection/>
  <mergeCells count="15">
    <mergeCell ref="C1:E1"/>
    <mergeCell ref="A8:B9"/>
    <mergeCell ref="E8:E9"/>
    <mergeCell ref="A11:E11"/>
    <mergeCell ref="A29:B30"/>
    <mergeCell ref="E29:E30"/>
    <mergeCell ref="A22:B22"/>
    <mergeCell ref="A23:B23"/>
    <mergeCell ref="A24:B24"/>
    <mergeCell ref="A49:B49"/>
    <mergeCell ref="A39:B39"/>
    <mergeCell ref="A44:B44"/>
    <mergeCell ref="A28:B28"/>
    <mergeCell ref="A32:E32"/>
    <mergeCell ref="A45:B4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4"/>
  <sheetViews>
    <sheetView view="pageBreakPreview" zoomScaleSheetLayoutView="100" workbookViewId="0" topLeftCell="A1">
      <selection activeCell="E25" sqref="E25"/>
    </sheetView>
  </sheetViews>
  <sheetFormatPr defaultColWidth="9.00390625" defaultRowHeight="12" customHeight="1"/>
  <cols>
    <col min="1" max="1" width="3.125" style="226" customWidth="1"/>
    <col min="2" max="2" width="3.875" style="226" customWidth="1"/>
    <col min="3" max="3" width="7.375" style="226" customWidth="1"/>
    <col min="4" max="4" width="11.625" style="226" customWidth="1"/>
    <col min="5" max="5" width="88.125" style="315" customWidth="1"/>
    <col min="6" max="6" width="10.25390625" style="227" customWidth="1"/>
    <col min="7" max="7" width="9.625" style="227" customWidth="1"/>
    <col min="8" max="8" width="10.375" style="227" customWidth="1"/>
    <col min="9" max="9" width="9.625" style="10" bestFit="1" customWidth="1"/>
    <col min="10" max="16384" width="9.125" style="10" customWidth="1"/>
  </cols>
  <sheetData>
    <row r="1" spans="5:8" ht="9.75" customHeight="1">
      <c r="E1" s="883"/>
      <c r="F1" s="883"/>
      <c r="G1" s="883"/>
      <c r="H1" s="883"/>
    </row>
    <row r="2" spans="1:8" ht="15" customHeight="1">
      <c r="A2" s="228"/>
      <c r="B2" s="228"/>
      <c r="C2" s="228"/>
      <c r="D2" s="228"/>
      <c r="E2" s="229"/>
      <c r="F2" s="230"/>
      <c r="G2" s="230"/>
      <c r="H2" s="729" t="s">
        <v>453</v>
      </c>
    </row>
    <row r="3" spans="1:8" ht="14.25" customHeight="1" thickBot="1">
      <c r="A3" s="231"/>
      <c r="B3" s="231"/>
      <c r="C3" s="231"/>
      <c r="D3" s="231"/>
      <c r="E3" s="232"/>
      <c r="F3" s="509"/>
      <c r="G3" s="509"/>
      <c r="H3" s="233" t="s">
        <v>225</v>
      </c>
    </row>
    <row r="4" spans="1:8" ht="27" customHeight="1">
      <c r="A4" s="234"/>
      <c r="B4" s="235"/>
      <c r="C4" s="783" t="s">
        <v>254</v>
      </c>
      <c r="D4" s="792" t="s">
        <v>420</v>
      </c>
      <c r="E4" s="887" t="s">
        <v>45</v>
      </c>
      <c r="F4" s="885" t="s">
        <v>338</v>
      </c>
      <c r="G4" s="885" t="s">
        <v>358</v>
      </c>
      <c r="H4" s="781" t="s">
        <v>36</v>
      </c>
    </row>
    <row r="5" spans="1:8" ht="27" customHeight="1" thickBot="1">
      <c r="A5" s="236"/>
      <c r="B5" s="237"/>
      <c r="C5" s="784"/>
      <c r="D5" s="793"/>
      <c r="E5" s="888"/>
      <c r="F5" s="886"/>
      <c r="G5" s="886"/>
      <c r="H5" s="782"/>
    </row>
    <row r="6" spans="1:8" ht="21" customHeight="1" thickBot="1">
      <c r="A6" s="858" t="s">
        <v>255</v>
      </c>
      <c r="B6" s="859"/>
      <c r="C6" s="859"/>
      <c r="D6" s="859"/>
      <c r="E6" s="859"/>
      <c r="F6" s="859"/>
      <c r="G6" s="859"/>
      <c r="H6" s="860"/>
    </row>
    <row r="7" spans="1:8" s="11" customFormat="1" ht="13.5" customHeight="1">
      <c r="A7" s="238" t="s">
        <v>256</v>
      </c>
      <c r="B7" s="239"/>
      <c r="C7" s="240"/>
      <c r="D7" s="889" t="s">
        <v>190</v>
      </c>
      <c r="E7" s="889"/>
      <c r="F7" s="889"/>
      <c r="G7" s="889"/>
      <c r="H7" s="890"/>
    </row>
    <row r="8" spans="1:8" ht="4.5" customHeight="1">
      <c r="A8" s="241"/>
      <c r="B8" s="228"/>
      <c r="C8" s="228"/>
      <c r="D8" s="228"/>
      <c r="E8" s="242"/>
      <c r="F8" s="243"/>
      <c r="G8" s="243"/>
      <c r="H8" s="244"/>
    </row>
    <row r="9" spans="1:8" ht="15" customHeight="1">
      <c r="A9" s="245" t="s">
        <v>19</v>
      </c>
      <c r="B9" s="246"/>
      <c r="C9" s="246"/>
      <c r="D9" s="246"/>
      <c r="E9" s="247" t="s">
        <v>318</v>
      </c>
      <c r="F9" s="248">
        <f>F10+F11</f>
        <v>62304</v>
      </c>
      <c r="G9" s="265"/>
      <c r="H9" s="249">
        <f aca="true" t="shared" si="0" ref="H9:H14">F9+G9</f>
        <v>62304</v>
      </c>
    </row>
    <row r="10" spans="1:8" s="132" customFormat="1" ht="15" customHeight="1">
      <c r="A10" s="250"/>
      <c r="B10" s="251"/>
      <c r="C10" s="252" t="s">
        <v>437</v>
      </c>
      <c r="D10" s="251" t="s">
        <v>159</v>
      </c>
      <c r="E10" s="253" t="s">
        <v>205</v>
      </c>
      <c r="F10" s="254">
        <f>'4.mell '!D19+'4.mell '!H19</f>
        <v>12541</v>
      </c>
      <c r="G10" s="269"/>
      <c r="H10" s="588">
        <f t="shared" si="0"/>
        <v>12541</v>
      </c>
    </row>
    <row r="11" spans="1:8" s="132" customFormat="1" ht="15" customHeight="1">
      <c r="A11" s="255"/>
      <c r="B11" s="256"/>
      <c r="C11" s="257"/>
      <c r="D11" s="256" t="s">
        <v>160</v>
      </c>
      <c r="E11" s="253" t="s">
        <v>203</v>
      </c>
      <c r="F11" s="254">
        <f>'4.mell '!D20</f>
        <v>49763</v>
      </c>
      <c r="G11" s="269"/>
      <c r="H11" s="588">
        <f t="shared" si="0"/>
        <v>49763</v>
      </c>
    </row>
    <row r="12" spans="1:8" ht="15" customHeight="1">
      <c r="A12" s="241" t="s">
        <v>20</v>
      </c>
      <c r="B12" s="252"/>
      <c r="C12" s="252"/>
      <c r="D12" s="252"/>
      <c r="E12" s="247" t="s">
        <v>439</v>
      </c>
      <c r="F12" s="248">
        <f>F13+F14</f>
        <v>32176</v>
      </c>
      <c r="G12" s="563">
        <f>G13+G14</f>
        <v>0</v>
      </c>
      <c r="H12" s="249">
        <f>F12+G12</f>
        <v>32176</v>
      </c>
    </row>
    <row r="13" spans="1:8" ht="15" customHeight="1">
      <c r="A13" s="241"/>
      <c r="B13" s="252"/>
      <c r="C13" s="252" t="s">
        <v>440</v>
      </c>
      <c r="D13" s="252" t="s">
        <v>159</v>
      </c>
      <c r="E13" s="253" t="s">
        <v>205</v>
      </c>
      <c r="F13" s="254">
        <f>'4.mell '!F19</f>
        <v>31190</v>
      </c>
      <c r="G13" s="587">
        <f>'4.mell '!E19</f>
        <v>0</v>
      </c>
      <c r="H13" s="588">
        <f t="shared" si="0"/>
        <v>31190</v>
      </c>
    </row>
    <row r="14" spans="1:8" ht="15" customHeight="1" thickBot="1">
      <c r="A14" s="241"/>
      <c r="B14" s="252"/>
      <c r="C14" s="252" t="s">
        <v>438</v>
      </c>
      <c r="D14" s="252" t="s">
        <v>160</v>
      </c>
      <c r="E14" s="253" t="s">
        <v>203</v>
      </c>
      <c r="F14" s="254">
        <f>'4.mell '!F20</f>
        <v>986</v>
      </c>
      <c r="G14" s="587">
        <f>'4.mell '!E20</f>
        <v>0</v>
      </c>
      <c r="H14" s="588">
        <f t="shared" si="0"/>
        <v>986</v>
      </c>
    </row>
    <row r="15" spans="1:8" s="12" customFormat="1" ht="15" customHeight="1" thickBot="1" thickTop="1">
      <c r="A15" s="850" t="s">
        <v>232</v>
      </c>
      <c r="B15" s="851"/>
      <c r="C15" s="851"/>
      <c r="D15" s="851"/>
      <c r="E15" s="852"/>
      <c r="F15" s="596">
        <f>F9+F12</f>
        <v>94480</v>
      </c>
      <c r="G15" s="597">
        <f>G12+G9</f>
        <v>0</v>
      </c>
      <c r="H15" s="598">
        <f>H9+H12</f>
        <v>94480</v>
      </c>
    </row>
    <row r="16" spans="1:8" s="11" customFormat="1" ht="16.5" customHeight="1" thickTop="1">
      <c r="A16" s="238" t="s">
        <v>257</v>
      </c>
      <c r="B16" s="239"/>
      <c r="C16" s="258"/>
      <c r="D16" s="816" t="s">
        <v>189</v>
      </c>
      <c r="E16" s="816"/>
      <c r="F16" s="816"/>
      <c r="G16" s="816"/>
      <c r="H16" s="817"/>
    </row>
    <row r="17" spans="1:8" s="12" customFormat="1" ht="5.25" customHeight="1">
      <c r="A17" s="259"/>
      <c r="B17" s="260"/>
      <c r="C17" s="228"/>
      <c r="D17" s="260"/>
      <c r="E17" s="261"/>
      <c r="F17" s="262"/>
      <c r="G17" s="262"/>
      <c r="H17" s="263"/>
    </row>
    <row r="18" spans="1:8" s="12" customFormat="1" ht="14.25" customHeight="1">
      <c r="A18" s="785" t="s">
        <v>339</v>
      </c>
      <c r="B18" s="786"/>
      <c r="C18" s="786"/>
      <c r="D18" s="786"/>
      <c r="E18" s="786"/>
      <c r="F18" s="689">
        <f>F20+F39+F42+F43+F44+F45</f>
        <v>1099295</v>
      </c>
      <c r="G18" s="690"/>
      <c r="H18" s="691">
        <f>H20+H39+H42+H43+H44+H45</f>
        <v>1099295</v>
      </c>
    </row>
    <row r="19" spans="1:8" s="12" customFormat="1" ht="5.25" customHeight="1">
      <c r="A19" s="259"/>
      <c r="B19" s="260"/>
      <c r="C19" s="228"/>
      <c r="D19" s="260"/>
      <c r="E19" s="261"/>
      <c r="F19" s="692"/>
      <c r="G19" s="693"/>
      <c r="H19" s="694"/>
    </row>
    <row r="20" spans="1:8" ht="17.25" customHeight="1">
      <c r="A20" s="812" t="s">
        <v>349</v>
      </c>
      <c r="B20" s="813"/>
      <c r="C20" s="814"/>
      <c r="D20" s="814"/>
      <c r="E20" s="815"/>
      <c r="F20" s="248">
        <f>F23+F22+F21+F31+F32+F37</f>
        <v>571007</v>
      </c>
      <c r="G20" s="265"/>
      <c r="H20" s="249">
        <f>H23+H22+H21+H31+H32+H37</f>
        <v>571007</v>
      </c>
    </row>
    <row r="21" spans="1:8" s="132" customFormat="1" ht="12.75" customHeight="1">
      <c r="A21" s="266"/>
      <c r="B21" s="267">
        <v>1</v>
      </c>
      <c r="C21" s="252" t="s">
        <v>258</v>
      </c>
      <c r="D21" s="251" t="s">
        <v>159</v>
      </c>
      <c r="E21" s="484" t="s">
        <v>206</v>
      </c>
      <c r="F21" s="279">
        <f>157613+953</f>
        <v>158566</v>
      </c>
      <c r="G21" s="280"/>
      <c r="H21" s="283">
        <f aca="true" t="shared" si="1" ref="H21:H32">G21+F21</f>
        <v>158566</v>
      </c>
    </row>
    <row r="22" spans="1:8" s="132" customFormat="1" ht="12.75" customHeight="1">
      <c r="A22" s="266"/>
      <c r="B22" s="267">
        <v>2</v>
      </c>
      <c r="C22" s="252" t="s">
        <v>259</v>
      </c>
      <c r="D22" s="251" t="s">
        <v>159</v>
      </c>
      <c r="E22" s="485" t="s">
        <v>260</v>
      </c>
      <c r="F22" s="276">
        <f>173452+26320+3628+1995</f>
        <v>205395</v>
      </c>
      <c r="G22" s="277"/>
      <c r="H22" s="283">
        <f t="shared" si="1"/>
        <v>205395</v>
      </c>
    </row>
    <row r="23" spans="1:8" s="132" customFormat="1" ht="12.75" customHeight="1">
      <c r="A23" s="266"/>
      <c r="B23" s="267">
        <v>3</v>
      </c>
      <c r="C23" s="252" t="s">
        <v>261</v>
      </c>
      <c r="D23" s="251" t="s">
        <v>159</v>
      </c>
      <c r="E23" s="485" t="s">
        <v>321</v>
      </c>
      <c r="F23" s="276">
        <f>SUM(F24:F30)</f>
        <v>175111</v>
      </c>
      <c r="G23" s="277"/>
      <c r="H23" s="283">
        <f t="shared" si="1"/>
        <v>175111</v>
      </c>
    </row>
    <row r="24" spans="1:8" s="132" customFormat="1" ht="12.75" customHeight="1">
      <c r="A24" s="266"/>
      <c r="B24" s="267"/>
      <c r="C24" s="252"/>
      <c r="D24" s="251"/>
      <c r="E24" s="483" t="s">
        <v>368</v>
      </c>
      <c r="F24" s="254">
        <f>5728+5728</f>
        <v>11456</v>
      </c>
      <c r="G24" s="269"/>
      <c r="H24" s="268">
        <f t="shared" si="1"/>
        <v>11456</v>
      </c>
    </row>
    <row r="25" spans="1:8" s="132" customFormat="1" ht="12.75" customHeight="1">
      <c r="A25" s="266"/>
      <c r="B25" s="267"/>
      <c r="C25" s="252"/>
      <c r="D25" s="251"/>
      <c r="E25" s="483" t="s">
        <v>369</v>
      </c>
      <c r="F25" s="254">
        <f>20258</f>
        <v>20258</v>
      </c>
      <c r="G25" s="269"/>
      <c r="H25" s="268">
        <f t="shared" si="1"/>
        <v>20258</v>
      </c>
    </row>
    <row r="26" spans="1:8" s="132" customFormat="1" ht="12.75" customHeight="1">
      <c r="A26" s="266"/>
      <c r="B26" s="267"/>
      <c r="C26" s="252"/>
      <c r="D26" s="251"/>
      <c r="E26" s="483" t="s">
        <v>371</v>
      </c>
      <c r="F26" s="254">
        <f>48275-5212+1647</f>
        <v>44710</v>
      </c>
      <c r="G26" s="269"/>
      <c r="H26" s="268">
        <f t="shared" si="1"/>
        <v>44710</v>
      </c>
    </row>
    <row r="27" spans="1:8" s="132" customFormat="1" ht="12.75" customHeight="1">
      <c r="A27" s="266"/>
      <c r="B27" s="267"/>
      <c r="C27" s="252"/>
      <c r="D27" s="251"/>
      <c r="E27" s="483" t="s">
        <v>370</v>
      </c>
      <c r="F27" s="254">
        <f>62884-1893-1064</f>
        <v>59927</v>
      </c>
      <c r="G27" s="269"/>
      <c r="H27" s="268">
        <f t="shared" si="1"/>
        <v>59927</v>
      </c>
    </row>
    <row r="28" spans="1:8" s="132" customFormat="1" ht="14.25" customHeight="1">
      <c r="A28" s="266"/>
      <c r="B28" s="267"/>
      <c r="C28" s="252"/>
      <c r="D28" s="251"/>
      <c r="E28" s="487" t="s">
        <v>397</v>
      </c>
      <c r="F28" s="254">
        <v>15266</v>
      </c>
      <c r="G28" s="269"/>
      <c r="H28" s="268">
        <f t="shared" si="1"/>
        <v>15266</v>
      </c>
    </row>
    <row r="29" spans="1:8" s="132" customFormat="1" ht="14.25" customHeight="1">
      <c r="A29" s="266"/>
      <c r="B29" s="267"/>
      <c r="C29" s="252"/>
      <c r="D29" s="251"/>
      <c r="E29" s="487" t="s">
        <v>444</v>
      </c>
      <c r="F29" s="254">
        <f>14052+740+686+628+573+10+504+685</f>
        <v>17878</v>
      </c>
      <c r="G29" s="269"/>
      <c r="H29" s="268">
        <f>F29</f>
        <v>17878</v>
      </c>
    </row>
    <row r="30" spans="1:8" s="132" customFormat="1" ht="14.25" customHeight="1">
      <c r="A30" s="266"/>
      <c r="B30" s="267"/>
      <c r="C30" s="252"/>
      <c r="D30" s="251"/>
      <c r="E30" s="487" t="s">
        <v>447</v>
      </c>
      <c r="F30" s="254">
        <f>1338+1485+1376+1417</f>
        <v>5616</v>
      </c>
      <c r="G30" s="269"/>
      <c r="H30" s="268">
        <f>F30</f>
        <v>5616</v>
      </c>
    </row>
    <row r="31" spans="1:8" s="132" customFormat="1" ht="12.75" customHeight="1">
      <c r="A31" s="266"/>
      <c r="B31" s="267">
        <v>4</v>
      </c>
      <c r="C31" s="252" t="s">
        <v>262</v>
      </c>
      <c r="D31" s="251" t="s">
        <v>159</v>
      </c>
      <c r="E31" s="485" t="s">
        <v>263</v>
      </c>
      <c r="F31" s="276">
        <f>16532+1377</f>
        <v>17909</v>
      </c>
      <c r="G31" s="277"/>
      <c r="H31" s="283">
        <f t="shared" si="1"/>
        <v>17909</v>
      </c>
    </row>
    <row r="32" spans="1:8" s="132" customFormat="1" ht="12.75" customHeight="1">
      <c r="A32" s="266"/>
      <c r="B32" s="267">
        <v>5</v>
      </c>
      <c r="C32" s="252" t="s">
        <v>264</v>
      </c>
      <c r="D32" s="251" t="s">
        <v>159</v>
      </c>
      <c r="E32" s="485" t="s">
        <v>322</v>
      </c>
      <c r="F32" s="276">
        <f>F33+F34+F35+F36</f>
        <v>14026</v>
      </c>
      <c r="G32" s="277"/>
      <c r="H32" s="283">
        <f t="shared" si="1"/>
        <v>14026</v>
      </c>
    </row>
    <row r="33" spans="1:8" s="132" customFormat="1" ht="12.75" customHeight="1">
      <c r="A33" s="266"/>
      <c r="B33" s="267"/>
      <c r="C33" s="252"/>
      <c r="D33" s="251"/>
      <c r="E33" s="716" t="s">
        <v>463</v>
      </c>
      <c r="F33" s="569">
        <f>953-953+1893+492+941+935+915+948+705</f>
        <v>6829</v>
      </c>
      <c r="G33" s="715"/>
      <c r="H33" s="586">
        <f aca="true" t="shared" si="2" ref="H33:H41">F33</f>
        <v>6829</v>
      </c>
    </row>
    <row r="34" spans="1:8" s="132" customFormat="1" ht="12.75" customHeight="1">
      <c r="A34" s="266"/>
      <c r="B34" s="267"/>
      <c r="C34" s="252"/>
      <c r="D34" s="251"/>
      <c r="E34" s="716" t="s">
        <v>459</v>
      </c>
      <c r="F34" s="569">
        <f>643+1249</f>
        <v>1892</v>
      </c>
      <c r="G34" s="715"/>
      <c r="H34" s="588">
        <f t="shared" si="2"/>
        <v>1892</v>
      </c>
    </row>
    <row r="35" spans="1:8" s="132" customFormat="1" ht="12.75" customHeight="1">
      <c r="A35" s="266"/>
      <c r="B35" s="267"/>
      <c r="C35" s="252"/>
      <c r="D35" s="251"/>
      <c r="E35" s="716" t="s">
        <v>484</v>
      </c>
      <c r="F35" s="569">
        <v>3385</v>
      </c>
      <c r="G35" s="715"/>
      <c r="H35" s="586">
        <f>F35</f>
        <v>3385</v>
      </c>
    </row>
    <row r="36" spans="1:8" s="132" customFormat="1" ht="12.75" customHeight="1">
      <c r="A36" s="266"/>
      <c r="B36" s="267"/>
      <c r="C36" s="252"/>
      <c r="D36" s="251"/>
      <c r="E36" s="716" t="s">
        <v>485</v>
      </c>
      <c r="F36" s="569">
        <v>1920</v>
      </c>
      <c r="G36" s="715"/>
      <c r="H36" s="588">
        <f>F36</f>
        <v>1920</v>
      </c>
    </row>
    <row r="37" spans="1:8" ht="12.75" customHeight="1">
      <c r="A37" s="270" t="s">
        <v>77</v>
      </c>
      <c r="B37" s="267">
        <v>6</v>
      </c>
      <c r="C37" s="252" t="s">
        <v>265</v>
      </c>
      <c r="D37" s="252" t="s">
        <v>159</v>
      </c>
      <c r="E37" s="486" t="s">
        <v>266</v>
      </c>
      <c r="F37" s="271">
        <f>F38</f>
        <v>0</v>
      </c>
      <c r="G37" s="272"/>
      <c r="H37" s="273">
        <f t="shared" si="2"/>
        <v>0</v>
      </c>
    </row>
    <row r="38" spans="1:8" ht="12.75" customHeight="1">
      <c r="A38" s="270"/>
      <c r="B38" s="491"/>
      <c r="C38" s="300"/>
      <c r="D38" s="300"/>
      <c r="E38" s="717" t="s">
        <v>443</v>
      </c>
      <c r="F38" s="569">
        <f>834+1059-1893</f>
        <v>0</v>
      </c>
      <c r="G38" s="715"/>
      <c r="H38" s="571">
        <f t="shared" si="2"/>
        <v>0</v>
      </c>
    </row>
    <row r="39" spans="1:8" ht="15.75" customHeight="1">
      <c r="A39" s="787" t="s">
        <v>267</v>
      </c>
      <c r="B39" s="788"/>
      <c r="C39" s="794"/>
      <c r="D39" s="794"/>
      <c r="E39" s="789"/>
      <c r="F39" s="248">
        <f>SUM(F40:F41)</f>
        <v>42652</v>
      </c>
      <c r="G39" s="265"/>
      <c r="H39" s="249">
        <f t="shared" si="2"/>
        <v>42652</v>
      </c>
    </row>
    <row r="40" spans="1:8" ht="12.75" customHeight="1">
      <c r="A40" s="735"/>
      <c r="B40" s="826">
        <v>1</v>
      </c>
      <c r="C40" s="731"/>
      <c r="D40" s="301" t="s">
        <v>159</v>
      </c>
      <c r="E40" s="790" t="s">
        <v>461</v>
      </c>
      <c r="F40" s="276">
        <v>40191</v>
      </c>
      <c r="G40" s="265"/>
      <c r="H40" s="562">
        <f t="shared" si="2"/>
        <v>40191</v>
      </c>
    </row>
    <row r="41" spans="1:8" ht="12.75" customHeight="1">
      <c r="A41" s="734"/>
      <c r="B41" s="884"/>
      <c r="C41" s="737"/>
      <c r="D41" s="738" t="s">
        <v>160</v>
      </c>
      <c r="E41" s="791"/>
      <c r="F41" s="276">
        <f>2460+1</f>
        <v>2461</v>
      </c>
      <c r="G41" s="265"/>
      <c r="H41" s="562">
        <f t="shared" si="2"/>
        <v>2461</v>
      </c>
    </row>
    <row r="42" spans="1:8" ht="14.25" customHeight="1">
      <c r="A42" s="795" t="s">
        <v>268</v>
      </c>
      <c r="B42" s="794"/>
      <c r="C42" s="794"/>
      <c r="D42" s="794"/>
      <c r="E42" s="789"/>
      <c r="F42" s="248">
        <v>0</v>
      </c>
      <c r="G42" s="265"/>
      <c r="H42" s="249">
        <v>0</v>
      </c>
    </row>
    <row r="43" spans="1:8" ht="16.5" customHeight="1">
      <c r="A43" s="795" t="s">
        <v>269</v>
      </c>
      <c r="B43" s="794"/>
      <c r="C43" s="794"/>
      <c r="D43" s="794"/>
      <c r="E43" s="789"/>
      <c r="F43" s="248">
        <v>0</v>
      </c>
      <c r="G43" s="265"/>
      <c r="H43" s="249">
        <v>0</v>
      </c>
    </row>
    <row r="44" spans="1:8" ht="15.75" customHeight="1">
      <c r="A44" s="795" t="s">
        <v>270</v>
      </c>
      <c r="B44" s="794"/>
      <c r="C44" s="794"/>
      <c r="D44" s="794"/>
      <c r="E44" s="789"/>
      <c r="F44" s="248">
        <v>0</v>
      </c>
      <c r="G44" s="265"/>
      <c r="H44" s="249">
        <v>0</v>
      </c>
    </row>
    <row r="45" spans="1:8" ht="15" customHeight="1">
      <c r="A45" s="787" t="s">
        <v>271</v>
      </c>
      <c r="B45" s="788"/>
      <c r="C45" s="788"/>
      <c r="D45" s="788"/>
      <c r="E45" s="821"/>
      <c r="F45" s="248">
        <f>F46+F51</f>
        <v>485636</v>
      </c>
      <c r="G45" s="265"/>
      <c r="H45" s="249">
        <f>H46+H51</f>
        <v>485636</v>
      </c>
    </row>
    <row r="46" spans="1:8" ht="12" customHeight="1">
      <c r="A46" s="270"/>
      <c r="B46" s="252"/>
      <c r="C46" s="805" t="s">
        <v>346</v>
      </c>
      <c r="D46" s="806"/>
      <c r="E46" s="807"/>
      <c r="F46" s="584">
        <f>SUM(F47:F50)</f>
        <v>7636</v>
      </c>
      <c r="G46" s="585"/>
      <c r="H46" s="586">
        <f>SUM(H47:H50)</f>
        <v>7636</v>
      </c>
    </row>
    <row r="47" spans="1:8" ht="14.25" customHeight="1">
      <c r="A47" s="270"/>
      <c r="B47" s="252">
        <v>1</v>
      </c>
      <c r="C47" s="274" t="s">
        <v>362</v>
      </c>
      <c r="D47" s="274" t="s">
        <v>159</v>
      </c>
      <c r="E47" s="282" t="s">
        <v>273</v>
      </c>
      <c r="F47" s="276">
        <v>4007</v>
      </c>
      <c r="G47" s="280"/>
      <c r="H47" s="562">
        <f>F47+G47</f>
        <v>4007</v>
      </c>
    </row>
    <row r="48" spans="1:8" ht="14.25" customHeight="1">
      <c r="A48" s="270"/>
      <c r="B48" s="252">
        <v>2</v>
      </c>
      <c r="C48" s="732" t="s">
        <v>362</v>
      </c>
      <c r="D48" s="284" t="s">
        <v>159</v>
      </c>
      <c r="E48" s="733" t="s">
        <v>460</v>
      </c>
      <c r="F48" s="279">
        <v>165</v>
      </c>
      <c r="G48" s="280"/>
      <c r="H48" s="283">
        <f>F48</f>
        <v>165</v>
      </c>
    </row>
    <row r="49" spans="1:8" ht="14.25" customHeight="1">
      <c r="A49" s="270"/>
      <c r="B49" s="252">
        <v>3</v>
      </c>
      <c r="C49" s="732" t="s">
        <v>362</v>
      </c>
      <c r="D49" s="284" t="s">
        <v>160</v>
      </c>
      <c r="E49" s="742" t="s">
        <v>469</v>
      </c>
      <c r="F49" s="279">
        <v>2019</v>
      </c>
      <c r="G49" s="280"/>
      <c r="H49" s="283">
        <f>F49</f>
        <v>2019</v>
      </c>
    </row>
    <row r="50" spans="1:8" ht="26.25" customHeight="1">
      <c r="A50" s="270"/>
      <c r="B50" s="252">
        <v>4</v>
      </c>
      <c r="C50" s="732" t="s">
        <v>362</v>
      </c>
      <c r="D50" s="736" t="s">
        <v>160</v>
      </c>
      <c r="E50" s="742" t="s">
        <v>494</v>
      </c>
      <c r="F50" s="279">
        <v>1445</v>
      </c>
      <c r="G50" s="280"/>
      <c r="H50" s="283">
        <f>F50</f>
        <v>1445</v>
      </c>
    </row>
    <row r="51" spans="1:8" ht="11.25" customHeight="1">
      <c r="A51" s="270"/>
      <c r="B51" s="252"/>
      <c r="C51" s="805" t="s">
        <v>347</v>
      </c>
      <c r="D51" s="806"/>
      <c r="E51" s="807"/>
      <c r="F51" s="685">
        <f>SUM(F52:F80)</f>
        <v>478000</v>
      </c>
      <c r="G51" s="686"/>
      <c r="H51" s="268">
        <f>F51</f>
        <v>478000</v>
      </c>
    </row>
    <row r="52" spans="1:8" ht="14.25" customHeight="1">
      <c r="A52" s="270"/>
      <c r="B52" s="252">
        <v>1</v>
      </c>
      <c r="C52" s="274" t="s">
        <v>362</v>
      </c>
      <c r="D52" s="274" t="s">
        <v>159</v>
      </c>
      <c r="E52" s="275" t="s">
        <v>173</v>
      </c>
      <c r="F52" s="279">
        <f>5280-5280</f>
        <v>0</v>
      </c>
      <c r="G52" s="280"/>
      <c r="H52" s="283">
        <f>F52+G52</f>
        <v>0</v>
      </c>
    </row>
    <row r="53" spans="1:8" ht="14.25" customHeight="1">
      <c r="A53" s="270"/>
      <c r="B53" s="252">
        <v>2</v>
      </c>
      <c r="C53" s="274" t="s">
        <v>362</v>
      </c>
      <c r="D53" s="274" t="s">
        <v>159</v>
      </c>
      <c r="E53" s="275" t="s">
        <v>172</v>
      </c>
      <c r="F53" s="279">
        <f>2700-2700</f>
        <v>0</v>
      </c>
      <c r="G53" s="280"/>
      <c r="H53" s="283">
        <f>F53+G53</f>
        <v>0</v>
      </c>
    </row>
    <row r="54" spans="1:8" ht="14.25" customHeight="1">
      <c r="A54" s="270"/>
      <c r="B54" s="252">
        <v>3</v>
      </c>
      <c r="C54" s="274" t="s">
        <v>362</v>
      </c>
      <c r="D54" s="274" t="s">
        <v>159</v>
      </c>
      <c r="E54" s="278" t="s">
        <v>48</v>
      </c>
      <c r="F54" s="279">
        <f>6300-2756-740-686-628-573-504-413</f>
        <v>0</v>
      </c>
      <c r="G54" s="280"/>
      <c r="H54" s="283">
        <f>F54+G54</f>
        <v>0</v>
      </c>
    </row>
    <row r="55" spans="1:8" ht="14.25" customHeight="1">
      <c r="A55" s="270"/>
      <c r="B55" s="252">
        <v>4</v>
      </c>
      <c r="C55" s="274" t="s">
        <v>362</v>
      </c>
      <c r="D55" s="274" t="s">
        <v>159</v>
      </c>
      <c r="E55" s="278" t="s">
        <v>90</v>
      </c>
      <c r="F55" s="279">
        <f>50-10</f>
        <v>40</v>
      </c>
      <c r="G55" s="280"/>
      <c r="H55" s="283">
        <f>F55+G55</f>
        <v>40</v>
      </c>
    </row>
    <row r="56" spans="1:8" ht="14.25" customHeight="1">
      <c r="A56" s="270"/>
      <c r="B56" s="252">
        <v>5</v>
      </c>
      <c r="C56" s="274" t="s">
        <v>362</v>
      </c>
      <c r="D56" s="274" t="s">
        <v>159</v>
      </c>
      <c r="E56" s="278" t="s">
        <v>272</v>
      </c>
      <c r="F56" s="279">
        <v>600</v>
      </c>
      <c r="G56" s="280"/>
      <c r="H56" s="283">
        <f>F56+G56</f>
        <v>600</v>
      </c>
    </row>
    <row r="57" spans="1:8" ht="14.25" customHeight="1">
      <c r="A57" s="270"/>
      <c r="B57" s="252">
        <v>6</v>
      </c>
      <c r="C57" s="274" t="s">
        <v>362</v>
      </c>
      <c r="D57" s="274" t="s">
        <v>159</v>
      </c>
      <c r="E57" s="282" t="s">
        <v>118</v>
      </c>
      <c r="F57" s="276">
        <v>122656</v>
      </c>
      <c r="G57" s="277"/>
      <c r="H57" s="283">
        <f aca="true" t="shared" si="3" ref="H57:H63">F57+G57</f>
        <v>122656</v>
      </c>
    </row>
    <row r="58" spans="1:8" ht="14.25" customHeight="1">
      <c r="A58" s="270"/>
      <c r="B58" s="252">
        <v>7</v>
      </c>
      <c r="C58" s="274" t="s">
        <v>362</v>
      </c>
      <c r="D58" s="274" t="s">
        <v>160</v>
      </c>
      <c r="E58" s="282" t="s">
        <v>49</v>
      </c>
      <c r="F58" s="276">
        <v>1080</v>
      </c>
      <c r="G58" s="277"/>
      <c r="H58" s="283">
        <f t="shared" si="3"/>
        <v>1080</v>
      </c>
    </row>
    <row r="59" spans="1:8" ht="14.25" customHeight="1">
      <c r="A59" s="270"/>
      <c r="B59" s="252">
        <v>8</v>
      </c>
      <c r="C59" s="274" t="s">
        <v>362</v>
      </c>
      <c r="D59" s="274" t="s">
        <v>159</v>
      </c>
      <c r="E59" s="278" t="s">
        <v>79</v>
      </c>
      <c r="F59" s="276">
        <v>500</v>
      </c>
      <c r="G59" s="277"/>
      <c r="H59" s="283">
        <f t="shared" si="3"/>
        <v>500</v>
      </c>
    </row>
    <row r="60" spans="1:8" ht="14.25" customHeight="1">
      <c r="A60" s="270"/>
      <c r="B60" s="252">
        <v>9</v>
      </c>
      <c r="C60" s="274" t="s">
        <v>362</v>
      </c>
      <c r="D60" s="274" t="s">
        <v>160</v>
      </c>
      <c r="E60" s="281" t="s">
        <v>333</v>
      </c>
      <c r="F60" s="271">
        <f>17941-9920</f>
        <v>8021</v>
      </c>
      <c r="G60" s="272"/>
      <c r="H60" s="283">
        <f>F60</f>
        <v>8021</v>
      </c>
    </row>
    <row r="61" spans="1:8" ht="14.25" customHeight="1">
      <c r="A61" s="270"/>
      <c r="B61" s="252">
        <v>10</v>
      </c>
      <c r="C61" s="274" t="s">
        <v>362</v>
      </c>
      <c r="D61" s="274" t="s">
        <v>160</v>
      </c>
      <c r="E61" s="275" t="s">
        <v>327</v>
      </c>
      <c r="F61" s="276">
        <f>117093-31239-18186-4634</f>
        <v>63034</v>
      </c>
      <c r="G61" s="272"/>
      <c r="H61" s="283">
        <f>F61</f>
        <v>63034</v>
      </c>
    </row>
    <row r="62" spans="1:8" ht="15.75" customHeight="1">
      <c r="A62" s="270"/>
      <c r="B62" s="252">
        <v>11</v>
      </c>
      <c r="C62" s="274" t="s">
        <v>362</v>
      </c>
      <c r="D62" s="274" t="s">
        <v>160</v>
      </c>
      <c r="E62" s="275" t="s">
        <v>247</v>
      </c>
      <c r="F62" s="276">
        <f>59802-6138+1815</f>
        <v>55479</v>
      </c>
      <c r="G62" s="272"/>
      <c r="H62" s="283">
        <f>F62</f>
        <v>55479</v>
      </c>
    </row>
    <row r="63" spans="1:8" ht="14.25" customHeight="1">
      <c r="A63" s="270"/>
      <c r="B63" s="252">
        <v>12</v>
      </c>
      <c r="C63" s="274" t="s">
        <v>362</v>
      </c>
      <c r="D63" s="284" t="s">
        <v>160</v>
      </c>
      <c r="E63" s="285" t="s">
        <v>218</v>
      </c>
      <c r="F63" s="271">
        <f>10499-595-4718-5186</f>
        <v>0</v>
      </c>
      <c r="G63" s="272"/>
      <c r="H63" s="577">
        <f t="shared" si="3"/>
        <v>0</v>
      </c>
    </row>
    <row r="64" spans="1:8" ht="12" customHeight="1">
      <c r="A64" s="270"/>
      <c r="B64" s="252">
        <v>13</v>
      </c>
      <c r="C64" s="284" t="s">
        <v>362</v>
      </c>
      <c r="D64" s="284" t="s">
        <v>160</v>
      </c>
      <c r="E64" s="285" t="s">
        <v>228</v>
      </c>
      <c r="F64" s="271">
        <f>10207+12500+21309</f>
        <v>44016</v>
      </c>
      <c r="G64" s="272"/>
      <c r="H64" s="273">
        <f aca="true" t="shared" si="4" ref="H64:H71">F64</f>
        <v>44016</v>
      </c>
    </row>
    <row r="65" spans="1:8" ht="13.5" customHeight="1">
      <c r="A65" s="270"/>
      <c r="B65" s="252">
        <v>14</v>
      </c>
      <c r="C65" s="499" t="s">
        <v>362</v>
      </c>
      <c r="D65" s="284" t="s">
        <v>160</v>
      </c>
      <c r="E65" s="285" t="s">
        <v>407</v>
      </c>
      <c r="F65" s="271">
        <f>5000-1338-1485-1376-801</f>
        <v>0</v>
      </c>
      <c r="G65" s="272"/>
      <c r="H65" s="273">
        <f t="shared" si="4"/>
        <v>0</v>
      </c>
    </row>
    <row r="66" spans="1:8" ht="13.5" customHeight="1">
      <c r="A66" s="270"/>
      <c r="B66" s="252">
        <v>15</v>
      </c>
      <c r="C66" s="284" t="s">
        <v>362</v>
      </c>
      <c r="D66" s="284" t="s">
        <v>160</v>
      </c>
      <c r="E66" s="285" t="s">
        <v>385</v>
      </c>
      <c r="F66" s="271">
        <f>66827+47849</f>
        <v>114676</v>
      </c>
      <c r="G66" s="272"/>
      <c r="H66" s="273">
        <f t="shared" si="4"/>
        <v>114676</v>
      </c>
    </row>
    <row r="67" spans="1:8" ht="13.5" customHeight="1">
      <c r="A67" s="270"/>
      <c r="B67" s="252">
        <v>16</v>
      </c>
      <c r="C67" s="284" t="s">
        <v>362</v>
      </c>
      <c r="D67" s="284" t="s">
        <v>159</v>
      </c>
      <c r="E67" s="503" t="s">
        <v>329</v>
      </c>
      <c r="F67" s="276">
        <f>3513-3513</f>
        <v>0</v>
      </c>
      <c r="G67" s="277"/>
      <c r="H67" s="562">
        <f t="shared" si="4"/>
        <v>0</v>
      </c>
    </row>
    <row r="68" spans="1:8" ht="13.5" customHeight="1">
      <c r="A68" s="270"/>
      <c r="B68" s="252">
        <v>17</v>
      </c>
      <c r="C68" s="284" t="s">
        <v>362</v>
      </c>
      <c r="D68" s="284" t="s">
        <v>159</v>
      </c>
      <c r="E68" s="503" t="s">
        <v>331</v>
      </c>
      <c r="F68" s="276">
        <f>4164-4164</f>
        <v>0</v>
      </c>
      <c r="G68" s="277"/>
      <c r="H68" s="562">
        <f t="shared" si="4"/>
        <v>0</v>
      </c>
    </row>
    <row r="69" spans="1:8" ht="13.5" customHeight="1">
      <c r="A69" s="270"/>
      <c r="B69" s="252">
        <v>18</v>
      </c>
      <c r="C69" s="284" t="s">
        <v>362</v>
      </c>
      <c r="D69" s="284" t="s">
        <v>159</v>
      </c>
      <c r="E69" s="503" t="s">
        <v>330</v>
      </c>
      <c r="F69" s="276">
        <f>1810-1810</f>
        <v>0</v>
      </c>
      <c r="G69" s="277"/>
      <c r="H69" s="562">
        <f t="shared" si="4"/>
        <v>0</v>
      </c>
    </row>
    <row r="70" spans="1:8" ht="13.5" customHeight="1">
      <c r="A70" s="270"/>
      <c r="B70" s="252">
        <v>19</v>
      </c>
      <c r="C70" s="284" t="s">
        <v>362</v>
      </c>
      <c r="D70" s="284" t="s">
        <v>159</v>
      </c>
      <c r="E70" s="504" t="s">
        <v>332</v>
      </c>
      <c r="F70" s="575">
        <f>3676-3676</f>
        <v>0</v>
      </c>
      <c r="G70" s="576"/>
      <c r="H70" s="577">
        <f t="shared" si="4"/>
        <v>0</v>
      </c>
    </row>
    <row r="71" spans="1:8" ht="13.5" customHeight="1">
      <c r="A71" s="270"/>
      <c r="B71" s="228">
        <v>20</v>
      </c>
      <c r="C71" s="284" t="s">
        <v>362</v>
      </c>
      <c r="D71" s="284" t="s">
        <v>160</v>
      </c>
      <c r="E71" s="285" t="s">
        <v>446</v>
      </c>
      <c r="F71" s="271">
        <v>21083</v>
      </c>
      <c r="G71" s="272"/>
      <c r="H71" s="273">
        <f t="shared" si="4"/>
        <v>21083</v>
      </c>
    </row>
    <row r="72" spans="1:8" ht="13.5" customHeight="1">
      <c r="A72" s="270"/>
      <c r="B72" s="228">
        <v>21</v>
      </c>
      <c r="C72" s="284" t="s">
        <v>362</v>
      </c>
      <c r="D72" s="284" t="s">
        <v>159</v>
      </c>
      <c r="E72" s="285" t="s">
        <v>442</v>
      </c>
      <c r="F72" s="271">
        <f>12602-953-834-1059-492-941-935-915-948-705</f>
        <v>4820</v>
      </c>
      <c r="G72" s="272"/>
      <c r="H72" s="273">
        <f aca="true" t="shared" si="5" ref="H72:H79">F72</f>
        <v>4820</v>
      </c>
    </row>
    <row r="73" spans="1:8" ht="13.5" customHeight="1">
      <c r="A73" s="270"/>
      <c r="B73" s="228">
        <v>22</v>
      </c>
      <c r="C73" s="284" t="s">
        <v>362</v>
      </c>
      <c r="D73" s="284" t="s">
        <v>160</v>
      </c>
      <c r="E73" s="285" t="s">
        <v>482</v>
      </c>
      <c r="F73" s="271">
        <v>800</v>
      </c>
      <c r="G73" s="272"/>
      <c r="H73" s="273">
        <f t="shared" si="5"/>
        <v>800</v>
      </c>
    </row>
    <row r="74" spans="1:8" ht="13.5" customHeight="1">
      <c r="A74" s="270"/>
      <c r="B74" s="228">
        <v>23</v>
      </c>
      <c r="C74" s="284" t="s">
        <v>362</v>
      </c>
      <c r="D74" s="284" t="s">
        <v>159</v>
      </c>
      <c r="E74" s="285" t="s">
        <v>181</v>
      </c>
      <c r="F74" s="271">
        <f>18400-9361</f>
        <v>9039</v>
      </c>
      <c r="G74" s="272"/>
      <c r="H74" s="273">
        <f t="shared" si="5"/>
        <v>9039</v>
      </c>
    </row>
    <row r="75" spans="1:8" ht="13.5" customHeight="1">
      <c r="A75" s="270"/>
      <c r="B75" s="228">
        <v>24</v>
      </c>
      <c r="C75" s="284" t="s">
        <v>362</v>
      </c>
      <c r="D75" s="284" t="s">
        <v>160</v>
      </c>
      <c r="E75" s="285" t="s">
        <v>491</v>
      </c>
      <c r="F75" s="271">
        <v>1000</v>
      </c>
      <c r="G75" s="272"/>
      <c r="H75" s="273">
        <f t="shared" si="5"/>
        <v>1000</v>
      </c>
    </row>
    <row r="76" spans="1:8" ht="13.5" customHeight="1">
      <c r="A76" s="270"/>
      <c r="B76" s="228">
        <v>25</v>
      </c>
      <c r="C76" s="284" t="s">
        <v>362</v>
      </c>
      <c r="D76" s="284" t="s">
        <v>160</v>
      </c>
      <c r="E76" s="285" t="s">
        <v>492</v>
      </c>
      <c r="F76" s="271">
        <v>6300</v>
      </c>
      <c r="G76" s="272"/>
      <c r="H76" s="273">
        <f t="shared" si="5"/>
        <v>6300</v>
      </c>
    </row>
    <row r="77" spans="1:8" ht="13.5" customHeight="1">
      <c r="A77" s="270"/>
      <c r="B77" s="228">
        <v>26</v>
      </c>
      <c r="C77" s="284" t="s">
        <v>362</v>
      </c>
      <c r="D77" s="284" t="s">
        <v>159</v>
      </c>
      <c r="E77" s="285" t="s">
        <v>483</v>
      </c>
      <c r="F77" s="271">
        <v>10033</v>
      </c>
      <c r="G77" s="272"/>
      <c r="H77" s="273">
        <f t="shared" si="5"/>
        <v>10033</v>
      </c>
    </row>
    <row r="78" spans="1:8" ht="13.5" customHeight="1">
      <c r="A78" s="270"/>
      <c r="B78" s="228">
        <v>27</v>
      </c>
      <c r="C78" s="284" t="s">
        <v>362</v>
      </c>
      <c r="D78" s="284" t="s">
        <v>159</v>
      </c>
      <c r="E78" s="285" t="s">
        <v>273</v>
      </c>
      <c r="F78" s="271">
        <v>25</v>
      </c>
      <c r="G78" s="272"/>
      <c r="H78" s="273">
        <f t="shared" si="5"/>
        <v>25</v>
      </c>
    </row>
    <row r="79" spans="1:8" ht="13.5" customHeight="1">
      <c r="A79" s="270"/>
      <c r="B79" s="228">
        <v>28</v>
      </c>
      <c r="C79" s="284" t="s">
        <v>362</v>
      </c>
      <c r="D79" s="284" t="s">
        <v>160</v>
      </c>
      <c r="E79" s="285" t="s">
        <v>493</v>
      </c>
      <c r="F79" s="271">
        <v>18</v>
      </c>
      <c r="G79" s="272"/>
      <c r="H79" s="273">
        <f t="shared" si="5"/>
        <v>18</v>
      </c>
    </row>
    <row r="80" spans="1:8" ht="25.5" customHeight="1">
      <c r="A80" s="270"/>
      <c r="B80" s="228">
        <v>29</v>
      </c>
      <c r="C80" s="719" t="s">
        <v>362</v>
      </c>
      <c r="D80" s="719" t="s">
        <v>160</v>
      </c>
      <c r="E80" s="720" t="s">
        <v>501</v>
      </c>
      <c r="F80" s="565">
        <v>14780</v>
      </c>
      <c r="G80" s="721"/>
      <c r="H80" s="567">
        <f>F80</f>
        <v>14780</v>
      </c>
    </row>
    <row r="81" spans="1:8" ht="16.5" customHeight="1">
      <c r="A81" s="802" t="s">
        <v>350</v>
      </c>
      <c r="B81" s="803"/>
      <c r="C81" s="803"/>
      <c r="D81" s="803"/>
      <c r="E81" s="804"/>
      <c r="F81" s="319"/>
      <c r="G81" s="600">
        <f>SUM(G82:G103)</f>
        <v>1894307</v>
      </c>
      <c r="H81" s="601">
        <f aca="true" t="shared" si="6" ref="H81:H94">G81</f>
        <v>1894307</v>
      </c>
    </row>
    <row r="82" spans="1:10" ht="24" customHeight="1">
      <c r="A82" s="264"/>
      <c r="B82" s="288">
        <v>1</v>
      </c>
      <c r="C82" s="289" t="s">
        <v>467</v>
      </c>
      <c r="D82" s="289" t="s">
        <v>159</v>
      </c>
      <c r="E82" s="290" t="s">
        <v>328</v>
      </c>
      <c r="F82" s="287"/>
      <c r="G82" s="561">
        <v>435434</v>
      </c>
      <c r="H82" s="562">
        <f t="shared" si="6"/>
        <v>435434</v>
      </c>
      <c r="J82" s="10">
        <f>F74+G84</f>
        <v>346972</v>
      </c>
    </row>
    <row r="83" spans="1:8" ht="15.75" customHeight="1">
      <c r="A83" s="264"/>
      <c r="B83" s="288">
        <v>2</v>
      </c>
      <c r="C83" s="289" t="s">
        <v>363</v>
      </c>
      <c r="D83" s="289" t="s">
        <v>160</v>
      </c>
      <c r="E83" s="290" t="s">
        <v>228</v>
      </c>
      <c r="F83" s="287"/>
      <c r="G83" s="561">
        <f>233022-10207-12500-21309</f>
        <v>189006</v>
      </c>
      <c r="H83" s="562">
        <f t="shared" si="6"/>
        <v>189006</v>
      </c>
    </row>
    <row r="84" spans="1:8" ht="13.5" customHeight="1">
      <c r="A84" s="264"/>
      <c r="B84" s="288">
        <v>3</v>
      </c>
      <c r="C84" s="289" t="s">
        <v>363</v>
      </c>
      <c r="D84" s="289" t="s">
        <v>159</v>
      </c>
      <c r="E84" s="636" t="s">
        <v>181</v>
      </c>
      <c r="F84" s="287"/>
      <c r="G84" s="561">
        <f>405275-58303-18400+9361</f>
        <v>337933</v>
      </c>
      <c r="H84" s="562">
        <f t="shared" si="6"/>
        <v>337933</v>
      </c>
    </row>
    <row r="85" spans="1:8" ht="13.5" customHeight="1">
      <c r="A85" s="264"/>
      <c r="B85" s="288">
        <v>4</v>
      </c>
      <c r="C85" s="289" t="s">
        <v>363</v>
      </c>
      <c r="D85" s="289" t="s">
        <v>159</v>
      </c>
      <c r="E85" s="290" t="s">
        <v>329</v>
      </c>
      <c r="F85" s="287"/>
      <c r="G85" s="561">
        <f>33513-3513+3513+2957</f>
        <v>36470</v>
      </c>
      <c r="H85" s="562">
        <f t="shared" si="6"/>
        <v>36470</v>
      </c>
    </row>
    <row r="86" spans="1:8" ht="15" customHeight="1">
      <c r="A86" s="264"/>
      <c r="B86" s="288">
        <v>5</v>
      </c>
      <c r="C86" s="289" t="s">
        <v>363</v>
      </c>
      <c r="D86" s="289" t="s">
        <v>159</v>
      </c>
      <c r="E86" s="290" t="s">
        <v>330</v>
      </c>
      <c r="F86" s="287"/>
      <c r="G86" s="561">
        <f>17157-1810+1810+1406</f>
        <v>18563</v>
      </c>
      <c r="H86" s="562">
        <f t="shared" si="6"/>
        <v>18563</v>
      </c>
    </row>
    <row r="87" spans="1:8" ht="12.75" customHeight="1">
      <c r="A87" s="264"/>
      <c r="B87" s="288">
        <v>6</v>
      </c>
      <c r="C87" s="289" t="s">
        <v>363</v>
      </c>
      <c r="D87" s="289" t="s">
        <v>159</v>
      </c>
      <c r="E87" s="290" t="s">
        <v>331</v>
      </c>
      <c r="F87" s="287"/>
      <c r="G87" s="561">
        <f>41322-4164+4164+3646</f>
        <v>44968</v>
      </c>
      <c r="H87" s="562">
        <f t="shared" si="6"/>
        <v>44968</v>
      </c>
    </row>
    <row r="88" spans="1:8" ht="15" customHeight="1">
      <c r="A88" s="264"/>
      <c r="B88" s="288">
        <v>7</v>
      </c>
      <c r="C88" s="289" t="s">
        <v>363</v>
      </c>
      <c r="D88" s="289" t="s">
        <v>159</v>
      </c>
      <c r="E88" s="290" t="s">
        <v>332</v>
      </c>
      <c r="F88" s="287"/>
      <c r="G88" s="561">
        <f>35162-3676+3676</f>
        <v>35162</v>
      </c>
      <c r="H88" s="562">
        <f t="shared" si="6"/>
        <v>35162</v>
      </c>
    </row>
    <row r="89" spans="1:8" ht="15" customHeight="1">
      <c r="A89" s="264"/>
      <c r="B89" s="288">
        <v>8</v>
      </c>
      <c r="C89" s="289" t="s">
        <v>363</v>
      </c>
      <c r="D89" s="289" t="s">
        <v>160</v>
      </c>
      <c r="E89" s="290" t="s">
        <v>327</v>
      </c>
      <c r="F89" s="287"/>
      <c r="G89" s="561">
        <f>7878+4634</f>
        <v>12512</v>
      </c>
      <c r="H89" s="562">
        <f t="shared" si="6"/>
        <v>12512</v>
      </c>
    </row>
    <row r="90" spans="1:8" ht="15" customHeight="1">
      <c r="A90" s="264"/>
      <c r="B90" s="288">
        <v>9</v>
      </c>
      <c r="C90" s="289" t="s">
        <v>363</v>
      </c>
      <c r="D90" s="289" t="s">
        <v>160</v>
      </c>
      <c r="E90" s="290" t="s">
        <v>247</v>
      </c>
      <c r="F90" s="287"/>
      <c r="G90" s="561">
        <f>74347-9035-964</f>
        <v>64348</v>
      </c>
      <c r="H90" s="562">
        <f t="shared" si="6"/>
        <v>64348</v>
      </c>
    </row>
    <row r="91" spans="1:8" ht="12" customHeight="1">
      <c r="A91" s="264"/>
      <c r="B91" s="288">
        <v>10</v>
      </c>
      <c r="C91" s="289" t="s">
        <v>363</v>
      </c>
      <c r="D91" s="289" t="s">
        <v>160</v>
      </c>
      <c r="E91" s="285" t="s">
        <v>218</v>
      </c>
      <c r="F91" s="490"/>
      <c r="G91" s="653">
        <f>595-595</f>
        <v>0</v>
      </c>
      <c r="H91" s="273">
        <f t="shared" si="6"/>
        <v>0</v>
      </c>
    </row>
    <row r="92" spans="1:8" ht="14.25" customHeight="1">
      <c r="A92" s="264"/>
      <c r="B92" s="288">
        <v>11</v>
      </c>
      <c r="C92" s="289" t="s">
        <v>363</v>
      </c>
      <c r="D92" s="289" t="s">
        <v>159</v>
      </c>
      <c r="E92" s="285" t="s">
        <v>383</v>
      </c>
      <c r="F92" s="498"/>
      <c r="G92" s="568">
        <f>294216-178590+1200</f>
        <v>116826</v>
      </c>
      <c r="H92" s="273">
        <f t="shared" si="6"/>
        <v>116826</v>
      </c>
    </row>
    <row r="93" spans="1:8" ht="13.5" customHeight="1">
      <c r="A93" s="264"/>
      <c r="B93" s="288">
        <v>12</v>
      </c>
      <c r="C93" s="289" t="s">
        <v>363</v>
      </c>
      <c r="D93" s="289" t="s">
        <v>160</v>
      </c>
      <c r="E93" s="285" t="s">
        <v>385</v>
      </c>
      <c r="F93" s="508"/>
      <c r="G93" s="568">
        <f>341096-47849</f>
        <v>293247</v>
      </c>
      <c r="H93" s="273">
        <f t="shared" si="6"/>
        <v>293247</v>
      </c>
    </row>
    <row r="94" spans="1:8" ht="14.25" customHeight="1">
      <c r="A94" s="264"/>
      <c r="B94" s="288">
        <v>13</v>
      </c>
      <c r="C94" s="289" t="s">
        <v>363</v>
      </c>
      <c r="D94" s="289" t="s">
        <v>160</v>
      </c>
      <c r="E94" s="722" t="s">
        <v>445</v>
      </c>
      <c r="F94" s="508"/>
      <c r="G94" s="568">
        <v>5775</v>
      </c>
      <c r="H94" s="273">
        <f t="shared" si="6"/>
        <v>5775</v>
      </c>
    </row>
    <row r="95" spans="1:8" ht="13.5" customHeight="1">
      <c r="A95" s="264"/>
      <c r="B95" s="288">
        <v>14</v>
      </c>
      <c r="C95" s="289" t="s">
        <v>363</v>
      </c>
      <c r="D95" s="289" t="s">
        <v>160</v>
      </c>
      <c r="E95" s="285" t="s">
        <v>446</v>
      </c>
      <c r="F95" s="508"/>
      <c r="G95" s="568">
        <v>917</v>
      </c>
      <c r="H95" s="273">
        <f aca="true" t="shared" si="7" ref="H95:H100">G95</f>
        <v>917</v>
      </c>
    </row>
    <row r="96" spans="1:8" ht="12" customHeight="1">
      <c r="A96" s="264"/>
      <c r="B96" s="288">
        <v>15</v>
      </c>
      <c r="C96" s="289" t="s">
        <v>467</v>
      </c>
      <c r="D96" s="289" t="s">
        <v>159</v>
      </c>
      <c r="E96" s="285" t="s">
        <v>458</v>
      </c>
      <c r="F96" s="508"/>
      <c r="G96" s="568">
        <f>1377-1377</f>
        <v>0</v>
      </c>
      <c r="H96" s="273">
        <f t="shared" si="7"/>
        <v>0</v>
      </c>
    </row>
    <row r="97" spans="1:8" ht="12" customHeight="1">
      <c r="A97" s="264"/>
      <c r="B97" s="288">
        <v>16</v>
      </c>
      <c r="C97" s="289" t="s">
        <v>363</v>
      </c>
      <c r="D97" s="289" t="s">
        <v>159</v>
      </c>
      <c r="E97" s="503" t="s">
        <v>490</v>
      </c>
      <c r="F97" s="747"/>
      <c r="G97" s="561">
        <v>5000</v>
      </c>
      <c r="H97" s="562">
        <f t="shared" si="7"/>
        <v>5000</v>
      </c>
    </row>
    <row r="98" spans="1:8" ht="12" customHeight="1">
      <c r="A98" s="264"/>
      <c r="B98" s="288">
        <v>17</v>
      </c>
      <c r="C98" s="289" t="s">
        <v>467</v>
      </c>
      <c r="D98" s="289" t="s">
        <v>160</v>
      </c>
      <c r="E98" s="504" t="s">
        <v>476</v>
      </c>
      <c r="F98" s="746"/>
      <c r="G98" s="653">
        <v>7000</v>
      </c>
      <c r="H98" s="577">
        <f t="shared" si="7"/>
        <v>7000</v>
      </c>
    </row>
    <row r="99" spans="1:8" ht="12" customHeight="1">
      <c r="A99" s="264"/>
      <c r="B99" s="288">
        <v>18</v>
      </c>
      <c r="C99" s="289" t="s">
        <v>363</v>
      </c>
      <c r="D99" s="289" t="s">
        <v>159</v>
      </c>
      <c r="E99" s="285" t="s">
        <v>481</v>
      </c>
      <c r="F99" s="508"/>
      <c r="G99" s="568">
        <v>743</v>
      </c>
      <c r="H99" s="273">
        <f t="shared" si="7"/>
        <v>743</v>
      </c>
    </row>
    <row r="100" spans="1:8" ht="12" customHeight="1">
      <c r="A100" s="264"/>
      <c r="B100" s="288">
        <v>19</v>
      </c>
      <c r="C100" s="289" t="s">
        <v>363</v>
      </c>
      <c r="D100" s="289" t="s">
        <v>159</v>
      </c>
      <c r="E100" s="285" t="s">
        <v>483</v>
      </c>
      <c r="F100" s="508"/>
      <c r="G100" s="568">
        <f>150000-10033</f>
        <v>139967</v>
      </c>
      <c r="H100" s="273">
        <f t="shared" si="7"/>
        <v>139967</v>
      </c>
    </row>
    <row r="101" spans="1:8" ht="12" customHeight="1">
      <c r="A101" s="264"/>
      <c r="B101" s="288">
        <v>20</v>
      </c>
      <c r="C101" s="289" t="s">
        <v>363</v>
      </c>
      <c r="D101" s="289" t="s">
        <v>160</v>
      </c>
      <c r="E101" s="285" t="s">
        <v>487</v>
      </c>
      <c r="F101" s="508"/>
      <c r="G101" s="568">
        <v>5885</v>
      </c>
      <c r="H101" s="273">
        <f>G101</f>
        <v>5885</v>
      </c>
    </row>
    <row r="102" spans="1:8" ht="12" customHeight="1">
      <c r="A102" s="264"/>
      <c r="B102" s="288">
        <v>21</v>
      </c>
      <c r="C102" s="289" t="s">
        <v>467</v>
      </c>
      <c r="D102" s="289" t="s">
        <v>160</v>
      </c>
      <c r="E102" s="285" t="s">
        <v>488</v>
      </c>
      <c r="F102" s="508"/>
      <c r="G102" s="568">
        <v>8000</v>
      </c>
      <c r="H102" s="273">
        <f>G102</f>
        <v>8000</v>
      </c>
    </row>
    <row r="103" spans="1:8" ht="27.75" customHeight="1">
      <c r="A103" s="264"/>
      <c r="B103" s="288">
        <v>22</v>
      </c>
      <c r="C103" s="718" t="s">
        <v>363</v>
      </c>
      <c r="D103" s="718" t="s">
        <v>160</v>
      </c>
      <c r="E103" s="720" t="s">
        <v>501</v>
      </c>
      <c r="F103" s="749"/>
      <c r="G103" s="566">
        <v>136551</v>
      </c>
      <c r="H103" s="567">
        <f>G103</f>
        <v>136551</v>
      </c>
    </row>
    <row r="104" spans="1:8" ht="15" customHeight="1">
      <c r="A104" s="802" t="s">
        <v>323</v>
      </c>
      <c r="B104" s="803"/>
      <c r="C104" s="803"/>
      <c r="D104" s="803"/>
      <c r="E104" s="804"/>
      <c r="F104" s="599">
        <f>F115+F110+F108+F107+F106+F105</f>
        <v>589807</v>
      </c>
      <c r="G104" s="600"/>
      <c r="H104" s="601">
        <f>H105+H106+H107+H108+H110+H115</f>
        <v>589807</v>
      </c>
    </row>
    <row r="105" spans="1:8" ht="14.25" customHeight="1">
      <c r="A105" s="795" t="s">
        <v>274</v>
      </c>
      <c r="B105" s="794"/>
      <c r="C105" s="794"/>
      <c r="D105" s="794"/>
      <c r="E105" s="789"/>
      <c r="F105" s="276">
        <v>0</v>
      </c>
      <c r="G105" s="561"/>
      <c r="H105" s="562">
        <v>0</v>
      </c>
    </row>
    <row r="106" spans="1:8" ht="14.25" customHeight="1">
      <c r="A106" s="795" t="s">
        <v>275</v>
      </c>
      <c r="B106" s="794"/>
      <c r="C106" s="794"/>
      <c r="D106" s="794"/>
      <c r="E106" s="789"/>
      <c r="F106" s="276">
        <v>0</v>
      </c>
      <c r="G106" s="561"/>
      <c r="H106" s="562">
        <v>0</v>
      </c>
    </row>
    <row r="107" spans="1:8" ht="14.25" customHeight="1">
      <c r="A107" s="795" t="s">
        <v>337</v>
      </c>
      <c r="B107" s="794"/>
      <c r="C107" s="794"/>
      <c r="D107" s="794"/>
      <c r="E107" s="789"/>
      <c r="F107" s="276">
        <v>0</v>
      </c>
      <c r="G107" s="561"/>
      <c r="H107" s="562">
        <v>0</v>
      </c>
    </row>
    <row r="108" spans="1:8" ht="14.25" customHeight="1">
      <c r="A108" s="787" t="s">
        <v>351</v>
      </c>
      <c r="B108" s="788"/>
      <c r="C108" s="788"/>
      <c r="D108" s="788"/>
      <c r="E108" s="789"/>
      <c r="F108" s="248">
        <f>F109</f>
        <v>58000</v>
      </c>
      <c r="G108" s="563"/>
      <c r="H108" s="249">
        <f>H109</f>
        <v>58000</v>
      </c>
    </row>
    <row r="109" spans="1:8" ht="14.25" customHeight="1">
      <c r="A109" s="296"/>
      <c r="B109" s="257">
        <v>1</v>
      </c>
      <c r="C109" s="300" t="s">
        <v>365</v>
      </c>
      <c r="D109" s="257" t="s">
        <v>160</v>
      </c>
      <c r="E109" s="291" t="s">
        <v>276</v>
      </c>
      <c r="F109" s="276">
        <v>58000</v>
      </c>
      <c r="G109" s="561"/>
      <c r="H109" s="562">
        <f>F109+G109</f>
        <v>58000</v>
      </c>
    </row>
    <row r="110" spans="1:8" ht="14.25" customHeight="1">
      <c r="A110" s="880" t="s">
        <v>352</v>
      </c>
      <c r="B110" s="881"/>
      <c r="C110" s="881"/>
      <c r="D110" s="881"/>
      <c r="E110" s="882"/>
      <c r="F110" s="572">
        <f>F114+F113+F112+F111</f>
        <v>524500</v>
      </c>
      <c r="G110" s="573"/>
      <c r="H110" s="574">
        <f>H114+H113+H112+H111</f>
        <v>524500</v>
      </c>
    </row>
    <row r="111" spans="1:8" ht="14.25" customHeight="1">
      <c r="A111" s="270"/>
      <c r="B111" s="252">
        <v>1</v>
      </c>
      <c r="C111" s="252" t="s">
        <v>364</v>
      </c>
      <c r="D111" s="252" t="s">
        <v>160</v>
      </c>
      <c r="E111" s="294" t="s">
        <v>277</v>
      </c>
      <c r="F111" s="276">
        <v>470000</v>
      </c>
      <c r="G111" s="561"/>
      <c r="H111" s="562">
        <f>F111+G111</f>
        <v>470000</v>
      </c>
    </row>
    <row r="112" spans="1:8" ht="14.25" customHeight="1">
      <c r="A112" s="270"/>
      <c r="B112" s="252">
        <v>2</v>
      </c>
      <c r="C112" s="252" t="s">
        <v>366</v>
      </c>
      <c r="D112" s="252" t="s">
        <v>159</v>
      </c>
      <c r="E112" s="282" t="s">
        <v>46</v>
      </c>
      <c r="F112" s="276">
        <v>50000</v>
      </c>
      <c r="G112" s="561"/>
      <c r="H112" s="562">
        <f>F112+G112</f>
        <v>50000</v>
      </c>
    </row>
    <row r="113" spans="1:8" ht="14.25" customHeight="1">
      <c r="A113" s="270"/>
      <c r="B113" s="252">
        <v>3</v>
      </c>
      <c r="C113" s="252" t="s">
        <v>367</v>
      </c>
      <c r="D113" s="267" t="s">
        <v>160</v>
      </c>
      <c r="E113" s="282" t="s">
        <v>278</v>
      </c>
      <c r="F113" s="282">
        <v>4000</v>
      </c>
      <c r="G113" s="564"/>
      <c r="H113" s="562">
        <f>F113+G113</f>
        <v>4000</v>
      </c>
    </row>
    <row r="114" spans="1:8" ht="14.25" customHeight="1">
      <c r="A114" s="270"/>
      <c r="B114" s="252">
        <v>4</v>
      </c>
      <c r="C114" s="252" t="s">
        <v>381</v>
      </c>
      <c r="D114" s="252" t="s">
        <v>159</v>
      </c>
      <c r="E114" s="295" t="s">
        <v>47</v>
      </c>
      <c r="F114" s="271">
        <v>500</v>
      </c>
      <c r="G114" s="568"/>
      <c r="H114" s="273">
        <f>F114+G114</f>
        <v>500</v>
      </c>
    </row>
    <row r="115" spans="1:8" ht="14.25" customHeight="1">
      <c r="A115" s="799" t="s">
        <v>279</v>
      </c>
      <c r="B115" s="800"/>
      <c r="C115" s="800"/>
      <c r="D115" s="800"/>
      <c r="E115" s="801"/>
      <c r="F115" s="599">
        <f>F116+F119</f>
        <v>7307</v>
      </c>
      <c r="G115" s="600"/>
      <c r="H115" s="601">
        <f>H116+H119</f>
        <v>7307</v>
      </c>
    </row>
    <row r="116" spans="1:8" ht="12.75" customHeight="1">
      <c r="A116" s="292"/>
      <c r="B116" s="293"/>
      <c r="C116" s="805" t="s">
        <v>347</v>
      </c>
      <c r="D116" s="806"/>
      <c r="E116" s="807"/>
      <c r="F116" s="254">
        <f>F117+F118</f>
        <v>5707</v>
      </c>
      <c r="G116" s="587"/>
      <c r="H116" s="588">
        <f>H117+H118</f>
        <v>5707</v>
      </c>
    </row>
    <row r="117" spans="1:8" ht="14.25" customHeight="1">
      <c r="A117" s="270"/>
      <c r="B117" s="252">
        <v>1</v>
      </c>
      <c r="C117" s="811" t="s">
        <v>280</v>
      </c>
      <c r="D117" s="323" t="s">
        <v>160</v>
      </c>
      <c r="E117" s="797" t="s">
        <v>390</v>
      </c>
      <c r="F117" s="271">
        <f>4000+240</f>
        <v>4240</v>
      </c>
      <c r="G117" s="568"/>
      <c r="H117" s="273">
        <f>F117+G117</f>
        <v>4240</v>
      </c>
    </row>
    <row r="118" spans="1:8" ht="14.25" customHeight="1">
      <c r="A118" s="270"/>
      <c r="B118" s="252">
        <v>2</v>
      </c>
      <c r="C118" s="820"/>
      <c r="D118" s="300" t="s">
        <v>159</v>
      </c>
      <c r="E118" s="798"/>
      <c r="F118" s="271">
        <f>1000+467</f>
        <v>1467</v>
      </c>
      <c r="G118" s="568"/>
      <c r="H118" s="273">
        <f>F118</f>
        <v>1467</v>
      </c>
    </row>
    <row r="119" spans="1:8" ht="14.25" customHeight="1">
      <c r="A119" s="270"/>
      <c r="B119" s="252"/>
      <c r="C119" s="805" t="s">
        <v>346</v>
      </c>
      <c r="D119" s="806"/>
      <c r="E119" s="807"/>
      <c r="F119" s="569">
        <f>SUM(F120:F124)</f>
        <v>1600</v>
      </c>
      <c r="G119" s="570"/>
      <c r="H119" s="571">
        <f>SUM(H120:H124)</f>
        <v>1600</v>
      </c>
    </row>
    <row r="120" spans="1:8" ht="14.25" customHeight="1">
      <c r="A120" s="270"/>
      <c r="B120" s="252">
        <v>1</v>
      </c>
      <c r="C120" s="252" t="s">
        <v>280</v>
      </c>
      <c r="D120" s="323" t="s">
        <v>207</v>
      </c>
      <c r="E120" s="282" t="s">
        <v>281</v>
      </c>
      <c r="F120" s="276">
        <v>300</v>
      </c>
      <c r="G120" s="561"/>
      <c r="H120" s="562">
        <f>F120+G120</f>
        <v>300</v>
      </c>
    </row>
    <row r="121" spans="1:8" ht="14.25" customHeight="1">
      <c r="A121" s="270"/>
      <c r="B121" s="252">
        <v>2</v>
      </c>
      <c r="C121" s="252" t="s">
        <v>280</v>
      </c>
      <c r="D121" s="252" t="s">
        <v>207</v>
      </c>
      <c r="E121" s="275" t="s">
        <v>282</v>
      </c>
      <c r="F121" s="276">
        <v>400</v>
      </c>
      <c r="G121" s="561"/>
      <c r="H121" s="562">
        <f>F121+G121</f>
        <v>400</v>
      </c>
    </row>
    <row r="122" spans="1:8" ht="14.25" customHeight="1">
      <c r="A122" s="270"/>
      <c r="B122" s="252">
        <v>3</v>
      </c>
      <c r="C122" s="252" t="s">
        <v>280</v>
      </c>
      <c r="D122" s="252" t="s">
        <v>207</v>
      </c>
      <c r="E122" s="282" t="s">
        <v>283</v>
      </c>
      <c r="F122" s="276">
        <v>300</v>
      </c>
      <c r="G122" s="561"/>
      <c r="H122" s="562">
        <f>F122+G122</f>
        <v>300</v>
      </c>
    </row>
    <row r="123" spans="1:8" ht="14.25" customHeight="1">
      <c r="A123" s="270"/>
      <c r="B123" s="252">
        <v>4</v>
      </c>
      <c r="C123" s="252" t="s">
        <v>280</v>
      </c>
      <c r="D123" s="252" t="s">
        <v>207</v>
      </c>
      <c r="E123" s="294" t="s">
        <v>86</v>
      </c>
      <c r="F123" s="276">
        <v>200</v>
      </c>
      <c r="G123" s="561"/>
      <c r="H123" s="562">
        <f>F123+G123</f>
        <v>200</v>
      </c>
    </row>
    <row r="124" spans="1:8" ht="14.25" customHeight="1">
      <c r="A124" s="320"/>
      <c r="B124" s="321">
        <v>5</v>
      </c>
      <c r="C124" s="321" t="s">
        <v>280</v>
      </c>
      <c r="D124" s="321" t="s">
        <v>207</v>
      </c>
      <c r="E124" s="322" t="s">
        <v>144</v>
      </c>
      <c r="F124" s="565">
        <v>400</v>
      </c>
      <c r="G124" s="566"/>
      <c r="H124" s="567">
        <f>F124+G124</f>
        <v>400</v>
      </c>
    </row>
    <row r="125" spans="1:8" ht="17.25" customHeight="1">
      <c r="A125" s="808" t="s">
        <v>284</v>
      </c>
      <c r="B125" s="809"/>
      <c r="C125" s="809"/>
      <c r="D125" s="809"/>
      <c r="E125" s="810"/>
      <c r="F125" s="633">
        <f>F126+F148</f>
        <v>174168</v>
      </c>
      <c r="G125" s="634"/>
      <c r="H125" s="613">
        <f>H126+H148</f>
        <v>174168</v>
      </c>
    </row>
    <row r="126" spans="1:8" ht="12.75" customHeight="1">
      <c r="A126" s="270"/>
      <c r="B126" s="252"/>
      <c r="C126" s="805" t="s">
        <v>347</v>
      </c>
      <c r="D126" s="806"/>
      <c r="E126" s="807"/>
      <c r="F126" s="584">
        <f>SUM(F127:F147)</f>
        <v>170240</v>
      </c>
      <c r="G126" s="585"/>
      <c r="H126" s="586">
        <f>F126</f>
        <v>170240</v>
      </c>
    </row>
    <row r="127" spans="1:8" ht="12.75" customHeight="1">
      <c r="A127" s="317"/>
      <c r="B127" s="252">
        <v>1</v>
      </c>
      <c r="C127" s="289" t="s">
        <v>340</v>
      </c>
      <c r="D127" s="299"/>
      <c r="E127" s="299" t="s">
        <v>388</v>
      </c>
      <c r="F127" s="271">
        <v>0</v>
      </c>
      <c r="G127" s="614"/>
      <c r="H127" s="273">
        <v>0</v>
      </c>
    </row>
    <row r="128" spans="1:8" ht="12.75" customHeight="1">
      <c r="A128" s="270"/>
      <c r="B128" s="796">
        <v>2</v>
      </c>
      <c r="C128" s="811" t="s">
        <v>288</v>
      </c>
      <c r="D128" s="252" t="s">
        <v>160</v>
      </c>
      <c r="E128" s="797" t="s">
        <v>379</v>
      </c>
      <c r="F128" s="271">
        <f>2452+20068+166+4200+221</f>
        <v>27107</v>
      </c>
      <c r="G128" s="272"/>
      <c r="H128" s="562">
        <f aca="true" t="shared" si="8" ref="H128:H140">F128</f>
        <v>27107</v>
      </c>
    </row>
    <row r="129" spans="1:8" ht="12.75" customHeight="1">
      <c r="A129" s="270"/>
      <c r="B129" s="796"/>
      <c r="C129" s="811"/>
      <c r="D129" s="252" t="s">
        <v>159</v>
      </c>
      <c r="E129" s="798"/>
      <c r="F129" s="271">
        <f>1800+760</f>
        <v>2560</v>
      </c>
      <c r="G129" s="272"/>
      <c r="H129" s="562">
        <f t="shared" si="8"/>
        <v>2560</v>
      </c>
    </row>
    <row r="130" spans="1:8" ht="12.75" customHeight="1">
      <c r="A130" s="270"/>
      <c r="B130" s="796">
        <v>3</v>
      </c>
      <c r="C130" s="811" t="s">
        <v>286</v>
      </c>
      <c r="D130" s="252" t="s">
        <v>160</v>
      </c>
      <c r="E130" s="797" t="s">
        <v>389</v>
      </c>
      <c r="F130" s="276">
        <f>1684+9068+1310</f>
        <v>12062</v>
      </c>
      <c r="G130" s="277"/>
      <c r="H130" s="562">
        <f t="shared" si="8"/>
        <v>12062</v>
      </c>
    </row>
    <row r="131" spans="1:8" ht="12.75" customHeight="1">
      <c r="A131" s="270"/>
      <c r="B131" s="796"/>
      <c r="C131" s="811"/>
      <c r="D131" s="252" t="s">
        <v>159</v>
      </c>
      <c r="E131" s="798"/>
      <c r="F131" s="276">
        <v>338</v>
      </c>
      <c r="G131" s="277"/>
      <c r="H131" s="562">
        <f t="shared" si="8"/>
        <v>338</v>
      </c>
    </row>
    <row r="132" spans="1:8" ht="12.75" customHeight="1">
      <c r="A132" s="270"/>
      <c r="B132" s="796">
        <v>4</v>
      </c>
      <c r="C132" s="811" t="s">
        <v>285</v>
      </c>
      <c r="D132" s="252" t="s">
        <v>160</v>
      </c>
      <c r="E132" s="797" t="s">
        <v>392</v>
      </c>
      <c r="F132" s="276">
        <f>5000+41</f>
        <v>5041</v>
      </c>
      <c r="G132" s="277"/>
      <c r="H132" s="562">
        <f t="shared" si="8"/>
        <v>5041</v>
      </c>
    </row>
    <row r="133" spans="1:8" ht="12.75" customHeight="1">
      <c r="A133" s="270"/>
      <c r="B133" s="796"/>
      <c r="C133" s="811"/>
      <c r="D133" s="252" t="s">
        <v>159</v>
      </c>
      <c r="E133" s="798"/>
      <c r="F133" s="271">
        <f>4408+50000+68</f>
        <v>54476</v>
      </c>
      <c r="G133" s="272"/>
      <c r="H133" s="562">
        <f t="shared" si="8"/>
        <v>54476</v>
      </c>
    </row>
    <row r="134" spans="1:8" ht="12.75" customHeight="1">
      <c r="A134" s="270"/>
      <c r="B134" s="796">
        <v>5</v>
      </c>
      <c r="C134" s="811" t="s">
        <v>414</v>
      </c>
      <c r="D134" s="252" t="s">
        <v>160</v>
      </c>
      <c r="E134" s="797" t="s">
        <v>411</v>
      </c>
      <c r="F134" s="271">
        <v>0</v>
      </c>
      <c r="G134" s="272"/>
      <c r="H134" s="562">
        <f t="shared" si="8"/>
        <v>0</v>
      </c>
    </row>
    <row r="135" spans="1:8" ht="12.75" customHeight="1">
      <c r="A135" s="270"/>
      <c r="B135" s="796"/>
      <c r="C135" s="811"/>
      <c r="D135" s="252" t="s">
        <v>159</v>
      </c>
      <c r="E135" s="798"/>
      <c r="F135" s="271">
        <f>31012+186+645</f>
        <v>31843</v>
      </c>
      <c r="G135" s="272"/>
      <c r="H135" s="562">
        <f t="shared" si="8"/>
        <v>31843</v>
      </c>
    </row>
    <row r="136" spans="1:8" ht="12.75" customHeight="1">
      <c r="A136" s="270"/>
      <c r="B136" s="796">
        <v>6</v>
      </c>
      <c r="C136" s="811" t="s">
        <v>410</v>
      </c>
      <c r="D136" s="252" t="s">
        <v>160</v>
      </c>
      <c r="E136" s="797" t="s">
        <v>412</v>
      </c>
      <c r="F136" s="271">
        <f>9382+1134</f>
        <v>10516</v>
      </c>
      <c r="G136" s="272"/>
      <c r="H136" s="562">
        <f t="shared" si="8"/>
        <v>10516</v>
      </c>
    </row>
    <row r="137" spans="1:8" ht="12.75" customHeight="1">
      <c r="A137" s="270"/>
      <c r="B137" s="796"/>
      <c r="C137" s="811"/>
      <c r="D137" s="252" t="s">
        <v>159</v>
      </c>
      <c r="E137" s="798"/>
      <c r="F137" s="271">
        <f>8373+1282+486+205</f>
        <v>10346</v>
      </c>
      <c r="G137" s="272"/>
      <c r="H137" s="562">
        <f t="shared" si="8"/>
        <v>10346</v>
      </c>
    </row>
    <row r="138" spans="1:8" ht="12.75" customHeight="1">
      <c r="A138" s="270"/>
      <c r="B138" s="796">
        <v>7</v>
      </c>
      <c r="C138" s="811" t="s">
        <v>409</v>
      </c>
      <c r="D138" s="252" t="s">
        <v>160</v>
      </c>
      <c r="E138" s="797" t="s">
        <v>413</v>
      </c>
      <c r="F138" s="276">
        <v>0</v>
      </c>
      <c r="G138" s="277"/>
      <c r="H138" s="562">
        <f t="shared" si="8"/>
        <v>0</v>
      </c>
    </row>
    <row r="139" spans="1:8" ht="12.75" customHeight="1">
      <c r="A139" s="270"/>
      <c r="B139" s="796"/>
      <c r="C139" s="811"/>
      <c r="D139" s="252" t="s">
        <v>159</v>
      </c>
      <c r="E139" s="798"/>
      <c r="F139" s="276">
        <v>0</v>
      </c>
      <c r="G139" s="576"/>
      <c r="H139" s="273">
        <f t="shared" si="8"/>
        <v>0</v>
      </c>
    </row>
    <row r="140" spans="1:8" ht="12.75" customHeight="1">
      <c r="A140" s="270"/>
      <c r="B140" s="796">
        <v>8</v>
      </c>
      <c r="C140" s="811" t="s">
        <v>287</v>
      </c>
      <c r="D140" s="252" t="s">
        <v>160</v>
      </c>
      <c r="E140" s="797" t="s">
        <v>372</v>
      </c>
      <c r="F140" s="575">
        <f>3000+986</f>
        <v>3986</v>
      </c>
      <c r="G140" s="576"/>
      <c r="H140" s="273">
        <f t="shared" si="8"/>
        <v>3986</v>
      </c>
    </row>
    <row r="141" spans="1:8" ht="12.75" customHeight="1">
      <c r="A141" s="270"/>
      <c r="B141" s="796"/>
      <c r="C141" s="811"/>
      <c r="D141" s="298" t="s">
        <v>159</v>
      </c>
      <c r="E141" s="798"/>
      <c r="F141" s="276">
        <f>3000+462+153+522</f>
        <v>4137</v>
      </c>
      <c r="G141" s="277"/>
      <c r="H141" s="562">
        <f aca="true" t="shared" si="9" ref="H141:H154">F141</f>
        <v>4137</v>
      </c>
    </row>
    <row r="142" spans="1:8" ht="12.75" customHeight="1">
      <c r="A142" s="270"/>
      <c r="B142" s="796">
        <v>9</v>
      </c>
      <c r="C142" s="811" t="s">
        <v>341</v>
      </c>
      <c r="D142" s="298" t="s">
        <v>160</v>
      </c>
      <c r="E142" s="857" t="s">
        <v>343</v>
      </c>
      <c r="F142" s="276">
        <f>1500-352</f>
        <v>1148</v>
      </c>
      <c r="G142" s="631"/>
      <c r="H142" s="562">
        <f t="shared" si="9"/>
        <v>1148</v>
      </c>
    </row>
    <row r="143" spans="1:8" ht="12.75" customHeight="1">
      <c r="A143" s="270"/>
      <c r="B143" s="796"/>
      <c r="C143" s="811"/>
      <c r="D143" s="298" t="s">
        <v>159</v>
      </c>
      <c r="E143" s="857"/>
      <c r="F143" s="276">
        <v>352</v>
      </c>
      <c r="G143" s="277"/>
      <c r="H143" s="562">
        <f>F143</f>
        <v>352</v>
      </c>
    </row>
    <row r="144" spans="1:8" ht="12.75" customHeight="1">
      <c r="A144" s="270"/>
      <c r="B144" s="796">
        <v>10</v>
      </c>
      <c r="C144" s="811" t="s">
        <v>342</v>
      </c>
      <c r="D144" s="298" t="s">
        <v>160</v>
      </c>
      <c r="E144" s="797" t="s">
        <v>502</v>
      </c>
      <c r="F144" s="575">
        <v>0</v>
      </c>
      <c r="G144" s="576"/>
      <c r="H144" s="283">
        <f t="shared" si="9"/>
        <v>0</v>
      </c>
    </row>
    <row r="145" spans="1:8" ht="12.75" customHeight="1">
      <c r="A145" s="270"/>
      <c r="B145" s="796"/>
      <c r="C145" s="811"/>
      <c r="D145" s="298" t="s">
        <v>159</v>
      </c>
      <c r="E145" s="798"/>
      <c r="F145" s="276">
        <f>140+1826+84+368</f>
        <v>2418</v>
      </c>
      <c r="G145" s="631"/>
      <c r="H145" s="283">
        <f aca="true" t="shared" si="10" ref="H145:H150">F145</f>
        <v>2418</v>
      </c>
    </row>
    <row r="146" spans="1:8" ht="12.75" customHeight="1">
      <c r="A146" s="270"/>
      <c r="B146" s="796">
        <v>11</v>
      </c>
      <c r="C146" s="811" t="s">
        <v>495</v>
      </c>
      <c r="D146" s="298" t="s">
        <v>160</v>
      </c>
      <c r="E146" s="797" t="s">
        <v>344</v>
      </c>
      <c r="F146" s="276">
        <v>120</v>
      </c>
      <c r="G146" s="277"/>
      <c r="H146" s="283">
        <f t="shared" si="10"/>
        <v>120</v>
      </c>
    </row>
    <row r="147" spans="1:8" ht="12.75" customHeight="1">
      <c r="A147" s="270"/>
      <c r="B147" s="796"/>
      <c r="C147" s="820"/>
      <c r="D147" s="300" t="s">
        <v>159</v>
      </c>
      <c r="E147" s="798"/>
      <c r="F147" s="276">
        <v>3790</v>
      </c>
      <c r="G147" s="277"/>
      <c r="H147" s="283">
        <f t="shared" si="10"/>
        <v>3790</v>
      </c>
    </row>
    <row r="148" spans="1:8" ht="12.75" customHeight="1">
      <c r="A148" s="270"/>
      <c r="B148" s="252"/>
      <c r="C148" s="805" t="s">
        <v>346</v>
      </c>
      <c r="D148" s="806"/>
      <c r="E148" s="807"/>
      <c r="F148" s="254">
        <f>SUM(F149:F156)</f>
        <v>3928</v>
      </c>
      <c r="G148" s="269"/>
      <c r="H148" s="588">
        <f t="shared" si="10"/>
        <v>3928</v>
      </c>
    </row>
    <row r="149" spans="1:8" ht="12.75" customHeight="1">
      <c r="A149" s="270"/>
      <c r="B149" s="252">
        <v>1</v>
      </c>
      <c r="C149" s="288" t="s">
        <v>340</v>
      </c>
      <c r="D149" s="286" t="s">
        <v>159</v>
      </c>
      <c r="E149" s="299" t="s">
        <v>388</v>
      </c>
      <c r="F149" s="271">
        <v>0</v>
      </c>
      <c r="G149" s="272"/>
      <c r="H149" s="273">
        <f t="shared" si="10"/>
        <v>0</v>
      </c>
    </row>
    <row r="150" spans="1:8" ht="12.75" customHeight="1">
      <c r="A150" s="270"/>
      <c r="B150" s="228">
        <v>2</v>
      </c>
      <c r="C150" s="289" t="s">
        <v>288</v>
      </c>
      <c r="D150" s="289" t="s">
        <v>159</v>
      </c>
      <c r="E150" s="505" t="s">
        <v>379</v>
      </c>
      <c r="F150" s="271">
        <v>1000</v>
      </c>
      <c r="G150" s="272"/>
      <c r="H150" s="273">
        <f t="shared" si="10"/>
        <v>1000</v>
      </c>
    </row>
    <row r="151" spans="1:8" ht="12.75" customHeight="1">
      <c r="A151" s="270"/>
      <c r="B151" s="796">
        <v>3</v>
      </c>
      <c r="C151" s="811" t="s">
        <v>286</v>
      </c>
      <c r="D151" s="298" t="s">
        <v>159</v>
      </c>
      <c r="E151" s="797" t="s">
        <v>389</v>
      </c>
      <c r="F151" s="271">
        <v>1623</v>
      </c>
      <c r="G151" s="272"/>
      <c r="H151" s="273">
        <f t="shared" si="9"/>
        <v>1623</v>
      </c>
    </row>
    <row r="152" spans="1:8" ht="12.75" customHeight="1">
      <c r="A152" s="270"/>
      <c r="B152" s="796"/>
      <c r="C152" s="811"/>
      <c r="D152" s="298" t="s">
        <v>160</v>
      </c>
      <c r="E152" s="798"/>
      <c r="F152" s="271">
        <f>69+400</f>
        <v>469</v>
      </c>
      <c r="G152" s="272"/>
      <c r="H152" s="273">
        <f t="shared" si="9"/>
        <v>469</v>
      </c>
    </row>
    <row r="153" spans="1:8" ht="12.75" customHeight="1">
      <c r="A153" s="270"/>
      <c r="B153" s="796">
        <v>4</v>
      </c>
      <c r="C153" s="811" t="s">
        <v>410</v>
      </c>
      <c r="D153" s="298" t="s">
        <v>159</v>
      </c>
      <c r="E153" s="797" t="s">
        <v>412</v>
      </c>
      <c r="F153" s="271">
        <v>709</v>
      </c>
      <c r="G153" s="272"/>
      <c r="H153" s="273">
        <f t="shared" si="9"/>
        <v>709</v>
      </c>
    </row>
    <row r="154" spans="1:8" ht="12.75" customHeight="1">
      <c r="A154" s="270"/>
      <c r="B154" s="796"/>
      <c r="C154" s="811"/>
      <c r="D154" s="298" t="s">
        <v>160</v>
      </c>
      <c r="E154" s="798"/>
      <c r="F154" s="271">
        <v>127</v>
      </c>
      <c r="G154" s="272"/>
      <c r="H154" s="273">
        <f t="shared" si="9"/>
        <v>127</v>
      </c>
    </row>
    <row r="155" spans="1:8" ht="12.75" customHeight="1">
      <c r="A155" s="270"/>
      <c r="B155" s="228">
        <v>5</v>
      </c>
      <c r="C155" s="298" t="s">
        <v>287</v>
      </c>
      <c r="D155" s="298" t="s">
        <v>159</v>
      </c>
      <c r="E155" s="282" t="s">
        <v>372</v>
      </c>
      <c r="F155" s="276">
        <v>0</v>
      </c>
      <c r="G155" s="277"/>
      <c r="H155" s="562">
        <f>F155</f>
        <v>0</v>
      </c>
    </row>
    <row r="156" spans="1:8" ht="12.75" customHeight="1">
      <c r="A156" s="270"/>
      <c r="B156" s="228">
        <v>6</v>
      </c>
      <c r="C156" s="489" t="s">
        <v>342</v>
      </c>
      <c r="D156" s="489" t="s">
        <v>159</v>
      </c>
      <c r="E156" s="297" t="s">
        <v>344</v>
      </c>
      <c r="F156" s="575">
        <v>0</v>
      </c>
      <c r="G156" s="576"/>
      <c r="H156" s="577">
        <f>F156</f>
        <v>0</v>
      </c>
    </row>
    <row r="157" spans="1:8" ht="14.25" customHeight="1">
      <c r="A157" s="822" t="s">
        <v>289</v>
      </c>
      <c r="B157" s="823"/>
      <c r="C157" s="824"/>
      <c r="D157" s="824"/>
      <c r="E157" s="825"/>
      <c r="F157" s="606"/>
      <c r="G157" s="600">
        <f>G158+G159</f>
        <v>1424</v>
      </c>
      <c r="H157" s="601">
        <f>G157</f>
        <v>1424</v>
      </c>
    </row>
    <row r="158" spans="1:8" ht="14.25" customHeight="1">
      <c r="A158" s="270"/>
      <c r="B158" s="491">
        <v>1</v>
      </c>
      <c r="C158" s="827" t="s">
        <v>395</v>
      </c>
      <c r="D158" s="502" t="s">
        <v>159</v>
      </c>
      <c r="E158" s="790" t="s">
        <v>432</v>
      </c>
      <c r="F158" s="607"/>
      <c r="G158" s="608">
        <f>450-450</f>
        <v>0</v>
      </c>
      <c r="H158" s="283">
        <f>G158</f>
        <v>0</v>
      </c>
    </row>
    <row r="159" spans="1:8" ht="14.25" customHeight="1">
      <c r="A159" s="320"/>
      <c r="B159" s="325">
        <v>2</v>
      </c>
      <c r="C159" s="837"/>
      <c r="D159" s="501" t="s">
        <v>160</v>
      </c>
      <c r="E159" s="856"/>
      <c r="F159" s="609"/>
      <c r="G159" s="610">
        <f>600+176+288+360</f>
        <v>1424</v>
      </c>
      <c r="H159" s="611">
        <f>G159</f>
        <v>1424</v>
      </c>
    </row>
    <row r="160" spans="1:8" ht="14.25" customHeight="1">
      <c r="A160" s="840" t="s">
        <v>290</v>
      </c>
      <c r="B160" s="841"/>
      <c r="C160" s="841"/>
      <c r="D160" s="841"/>
      <c r="E160" s="842"/>
      <c r="F160" s="615">
        <v>0</v>
      </c>
      <c r="G160" s="616"/>
      <c r="H160" s="617">
        <v>0</v>
      </c>
    </row>
    <row r="161" spans="1:8" ht="14.25" customHeight="1">
      <c r="A161" s="808" t="s">
        <v>291</v>
      </c>
      <c r="B161" s="809"/>
      <c r="C161" s="818"/>
      <c r="D161" s="818"/>
      <c r="E161" s="819"/>
      <c r="F161" s="607"/>
      <c r="G161" s="612">
        <f>G162+G164+G163+G165</f>
        <v>36612</v>
      </c>
      <c r="H161" s="613">
        <f>G161</f>
        <v>36612</v>
      </c>
    </row>
    <row r="162" spans="1:8" ht="12.75" customHeight="1">
      <c r="A162" s="317"/>
      <c r="B162" s="826">
        <v>1</v>
      </c>
      <c r="C162" s="827" t="s">
        <v>345</v>
      </c>
      <c r="D162" s="301" t="s">
        <v>160</v>
      </c>
      <c r="E162" s="829" t="s">
        <v>418</v>
      </c>
      <c r="F162" s="614"/>
      <c r="G162" s="568">
        <v>600</v>
      </c>
      <c r="H162" s="273">
        <f>G162</f>
        <v>600</v>
      </c>
    </row>
    <row r="163" spans="1:8" ht="10.5" customHeight="1">
      <c r="A163" s="317"/>
      <c r="B163" s="826"/>
      <c r="C163" s="828"/>
      <c r="D163" s="507" t="s">
        <v>159</v>
      </c>
      <c r="E163" s="830"/>
      <c r="F163" s="614"/>
      <c r="G163" s="568">
        <v>400</v>
      </c>
      <c r="H163" s="273">
        <f>G163</f>
        <v>400</v>
      </c>
    </row>
    <row r="164" spans="1:8" ht="12" customHeight="1">
      <c r="A164" s="317"/>
      <c r="B164" s="491">
        <v>2</v>
      </c>
      <c r="C164" s="507" t="s">
        <v>472</v>
      </c>
      <c r="D164" s="507" t="s">
        <v>159</v>
      </c>
      <c r="E164" s="740" t="s">
        <v>393</v>
      </c>
      <c r="F164" s="744"/>
      <c r="G164" s="568">
        <v>33075</v>
      </c>
      <c r="H164" s="273">
        <f>G164</f>
        <v>33075</v>
      </c>
    </row>
    <row r="165" spans="1:8" ht="12.75" customHeight="1">
      <c r="A165" s="324"/>
      <c r="B165" s="325">
        <v>3</v>
      </c>
      <c r="C165" s="500" t="s">
        <v>472</v>
      </c>
      <c r="D165" s="500" t="s">
        <v>160</v>
      </c>
      <c r="E165" s="745" t="s">
        <v>471</v>
      </c>
      <c r="F165" s="510"/>
      <c r="G165" s="566">
        <v>2537</v>
      </c>
      <c r="H165" s="567">
        <f>G165</f>
        <v>2537</v>
      </c>
    </row>
    <row r="166" spans="1:8" ht="14.25" customHeight="1">
      <c r="A166" s="808" t="s">
        <v>292</v>
      </c>
      <c r="B166" s="809"/>
      <c r="C166" s="809"/>
      <c r="D166" s="809"/>
      <c r="E166" s="810"/>
      <c r="F166" s="572">
        <f>F167+F168+F169+F171+F170</f>
        <v>8485032</v>
      </c>
      <c r="G166" s="573">
        <f>G167+G168+G169</f>
        <v>939376</v>
      </c>
      <c r="H166" s="574">
        <f>G166+F166</f>
        <v>9424408</v>
      </c>
    </row>
    <row r="167" spans="1:8" ht="12.75" customHeight="1">
      <c r="A167" s="270"/>
      <c r="B167" s="267" t="s">
        <v>19</v>
      </c>
      <c r="C167" s="827" t="s">
        <v>324</v>
      </c>
      <c r="D167" s="301" t="s">
        <v>159</v>
      </c>
      <c r="E167" s="829" t="s">
        <v>441</v>
      </c>
      <c r="F167" s="271">
        <f>82000+276314-62313+126718+200</f>
        <v>422919</v>
      </c>
      <c r="G167" s="568">
        <f>287800+25981</f>
        <v>313781</v>
      </c>
      <c r="H167" s="618">
        <f>G167+F167</f>
        <v>736700</v>
      </c>
    </row>
    <row r="168" spans="1:8" ht="11.25" customHeight="1">
      <c r="A168" s="270"/>
      <c r="B168" s="267" t="s">
        <v>20</v>
      </c>
      <c r="C168" s="828"/>
      <c r="D168" s="301" t="s">
        <v>160</v>
      </c>
      <c r="E168" s="867"/>
      <c r="F168" s="271">
        <f>126718-126718</f>
        <v>0</v>
      </c>
      <c r="G168" s="568">
        <f>528200+123376-25981</f>
        <v>625595</v>
      </c>
      <c r="H168" s="618">
        <f>G168+F168</f>
        <v>625595</v>
      </c>
    </row>
    <row r="169" spans="1:8" ht="12.75" customHeight="1">
      <c r="A169" s="270"/>
      <c r="B169" s="491" t="s">
        <v>21</v>
      </c>
      <c r="C169" s="828"/>
      <c r="D169" s="301" t="s">
        <v>207</v>
      </c>
      <c r="E169" s="867"/>
      <c r="F169" s="271">
        <f>0+62313-200</f>
        <v>62113</v>
      </c>
      <c r="G169" s="568"/>
      <c r="H169" s="618">
        <f>G169+F169</f>
        <v>62113</v>
      </c>
    </row>
    <row r="170" spans="1:8" ht="14.25" customHeight="1">
      <c r="A170" s="270"/>
      <c r="B170" s="826" t="s">
        <v>22</v>
      </c>
      <c r="C170" s="828" t="s">
        <v>377</v>
      </c>
      <c r="D170" s="301" t="s">
        <v>159</v>
      </c>
      <c r="E170" s="829" t="s">
        <v>378</v>
      </c>
      <c r="F170" s="271">
        <f>3000000+1000000+800000+800000</f>
        <v>5600000</v>
      </c>
      <c r="G170" s="568"/>
      <c r="H170" s="618">
        <f>F170</f>
        <v>5600000</v>
      </c>
    </row>
    <row r="171" spans="1:8" ht="14.25" customHeight="1" thickBot="1">
      <c r="A171" s="318"/>
      <c r="B171" s="839"/>
      <c r="C171" s="838"/>
      <c r="D171" s="302" t="s">
        <v>160</v>
      </c>
      <c r="E171" s="843"/>
      <c r="F171" s="619">
        <f>2000000+200000+200000</f>
        <v>2400000</v>
      </c>
      <c r="G171" s="620"/>
      <c r="H171" s="621">
        <f>F171</f>
        <v>2400000</v>
      </c>
    </row>
    <row r="172" spans="1:8" ht="16.5" customHeight="1" thickBot="1" thickTop="1">
      <c r="A172" s="850" t="s">
        <v>353</v>
      </c>
      <c r="B172" s="851"/>
      <c r="C172" s="851"/>
      <c r="D172" s="851"/>
      <c r="E172" s="852"/>
      <c r="F172" s="596">
        <f>F18+F81+F104+F125+F157+F160+F161+F166</f>
        <v>10348302</v>
      </c>
      <c r="G172" s="596">
        <f>G18+G81+G104+G125+G157+G160+G161+G166</f>
        <v>2871719</v>
      </c>
      <c r="H172" s="598">
        <f>H18+H81+H104+H125+H157+H160+H161+H166</f>
        <v>13220021</v>
      </c>
    </row>
    <row r="173" spans="1:8" s="12" customFormat="1" ht="14.25" customHeight="1" thickTop="1">
      <c r="A173" s="853" t="s">
        <v>188</v>
      </c>
      <c r="B173" s="854"/>
      <c r="C173" s="854"/>
      <c r="D173" s="854"/>
      <c r="E173" s="855"/>
      <c r="F173" s="248">
        <f>F174+F175+F176</f>
        <v>10335138</v>
      </c>
      <c r="G173" s="563">
        <f>G174+G175+G176</f>
        <v>2871719</v>
      </c>
      <c r="H173" s="249">
        <f>G173+F173</f>
        <v>13206857</v>
      </c>
    </row>
    <row r="174" spans="1:8" s="162" customFormat="1" ht="14.25" customHeight="1">
      <c r="A174" s="847" t="s">
        <v>223</v>
      </c>
      <c r="B174" s="848"/>
      <c r="C174" s="848"/>
      <c r="D174" s="848"/>
      <c r="E174" s="849"/>
      <c r="F174" s="670">
        <f>F20+F52+F59+F112+F114+F129+F135+F137+F167+F133+F57+F141+F139+F118+F145+F131+F143+F40+F67+F68+F69+F70+F170+F53+F54+F55+F56+F72+F74+F77+F78+F147</f>
        <v>6944057</v>
      </c>
      <c r="G174" s="671">
        <f>G82+G84+G167+G158+G92+G164+G85+G86+G87+G88+G163+G96+G99+G100+G97</f>
        <v>1518322</v>
      </c>
      <c r="H174" s="672">
        <f>G174+F174</f>
        <v>8462379</v>
      </c>
    </row>
    <row r="175" spans="1:8" s="162" customFormat="1" ht="14.25" customHeight="1">
      <c r="A175" s="831" t="s">
        <v>220</v>
      </c>
      <c r="B175" s="832"/>
      <c r="C175" s="832"/>
      <c r="D175" s="832"/>
      <c r="E175" s="833"/>
      <c r="F175" s="673">
        <f>F169</f>
        <v>62113</v>
      </c>
      <c r="G175" s="674">
        <v>0</v>
      </c>
      <c r="H175" s="675">
        <f>G175+F175</f>
        <v>62113</v>
      </c>
    </row>
    <row r="176" spans="1:8" s="162" customFormat="1" ht="14.25" customHeight="1">
      <c r="A176" s="834" t="s">
        <v>221</v>
      </c>
      <c r="B176" s="835"/>
      <c r="C176" s="835"/>
      <c r="D176" s="835"/>
      <c r="E176" s="836"/>
      <c r="F176" s="676">
        <f>+F58+F60+F61+F62+F63+F109+F111+F113+F117+F132+F138+F130+F140+F136+F168+F64+F142+F65++F128+F66+F144+F171+F134+F71+F41+F73+F75+F76+F79+F146+F80</f>
        <v>3328968</v>
      </c>
      <c r="G176" s="677">
        <f>+G83+G89+G90+G91+G168+G162+G159+G93+G94+G95+G165+G98+G101+G102+G103</f>
        <v>1353397</v>
      </c>
      <c r="H176" s="678">
        <f>F176+G176</f>
        <v>4682365</v>
      </c>
    </row>
    <row r="177" spans="1:8" s="12" customFormat="1" ht="14.25" customHeight="1">
      <c r="A177" s="864" t="s">
        <v>222</v>
      </c>
      <c r="B177" s="865"/>
      <c r="C177" s="865"/>
      <c r="D177" s="865"/>
      <c r="E177" s="866"/>
      <c r="F177" s="572">
        <f>F178+F179+F180</f>
        <v>13164</v>
      </c>
      <c r="G177" s="572">
        <f>G178+G179+G180</f>
        <v>0</v>
      </c>
      <c r="H177" s="574">
        <f>G177+F177</f>
        <v>13164</v>
      </c>
    </row>
    <row r="178" spans="1:8" s="12" customFormat="1" ht="14.25" customHeight="1">
      <c r="A178" s="847" t="s">
        <v>223</v>
      </c>
      <c r="B178" s="848"/>
      <c r="C178" s="848"/>
      <c r="D178" s="848"/>
      <c r="E178" s="849"/>
      <c r="F178" s="254">
        <f>F47+F48+F151+F153+F149+F155+F156+F150</f>
        <v>7504</v>
      </c>
      <c r="G178" s="587"/>
      <c r="H178" s="588">
        <f>G178+F178</f>
        <v>7504</v>
      </c>
    </row>
    <row r="179" spans="1:8" s="12" customFormat="1" ht="14.25" customHeight="1">
      <c r="A179" s="831" t="s">
        <v>220</v>
      </c>
      <c r="B179" s="832"/>
      <c r="C179" s="832"/>
      <c r="D179" s="832"/>
      <c r="E179" s="833"/>
      <c r="F179" s="254">
        <f>F119</f>
        <v>1600</v>
      </c>
      <c r="G179" s="587"/>
      <c r="H179" s="588">
        <f>F179+G179</f>
        <v>1600</v>
      </c>
    </row>
    <row r="180" spans="1:8" s="12" customFormat="1" ht="14.25" customHeight="1" thickBot="1">
      <c r="A180" s="834" t="s">
        <v>221</v>
      </c>
      <c r="B180" s="835"/>
      <c r="C180" s="835"/>
      <c r="D180" s="835"/>
      <c r="E180" s="836"/>
      <c r="F180" s="584">
        <f>F152+F154+F49+F50</f>
        <v>4060</v>
      </c>
      <c r="G180" s="629"/>
      <c r="H180" s="630">
        <f>F180+G180</f>
        <v>4060</v>
      </c>
    </row>
    <row r="181" spans="1:8" ht="14.25" customHeight="1" thickBot="1">
      <c r="A181" s="844" t="s">
        <v>293</v>
      </c>
      <c r="B181" s="845"/>
      <c r="C181" s="845"/>
      <c r="D181" s="845"/>
      <c r="E181" s="846"/>
      <c r="F181" s="679">
        <f>F172+F15+'4.mell '!L18+'4.mell '!L21</f>
        <v>10495906</v>
      </c>
      <c r="G181" s="679">
        <f>G172+G15</f>
        <v>2871719</v>
      </c>
      <c r="H181" s="680">
        <f>G181+F181</f>
        <v>13367625</v>
      </c>
    </row>
    <row r="182" spans="1:8" ht="14.25" customHeight="1">
      <c r="A182" s="847" t="s">
        <v>223</v>
      </c>
      <c r="B182" s="848"/>
      <c r="C182" s="848"/>
      <c r="D182" s="848"/>
      <c r="E182" s="849"/>
      <c r="F182" s="681">
        <f>F178+F174+F10+F13+'4.mell '!L19+'4.mell '!L21</f>
        <v>7044917</v>
      </c>
      <c r="G182" s="681">
        <f>G178+G174+G10+G13</f>
        <v>1518322</v>
      </c>
      <c r="H182" s="682">
        <f>F182+G182</f>
        <v>8563239</v>
      </c>
    </row>
    <row r="183" spans="1:8" ht="14.25" customHeight="1">
      <c r="A183" s="831" t="s">
        <v>220</v>
      </c>
      <c r="B183" s="832"/>
      <c r="C183" s="832"/>
      <c r="D183" s="832"/>
      <c r="E183" s="833"/>
      <c r="F183" s="248">
        <f>F175+F179</f>
        <v>63713</v>
      </c>
      <c r="G183" s="248">
        <f>G175+G179</f>
        <v>0</v>
      </c>
      <c r="H183" s="249">
        <f>F183+G183</f>
        <v>63713</v>
      </c>
    </row>
    <row r="184" spans="1:8" ht="14.25" customHeight="1" thickBot="1">
      <c r="A184" s="834" t="s">
        <v>221</v>
      </c>
      <c r="B184" s="835"/>
      <c r="C184" s="835"/>
      <c r="D184" s="835"/>
      <c r="E184" s="836"/>
      <c r="F184" s="683">
        <f>F176+F180+F11+F14+'4.mell '!L20</f>
        <v>3387276</v>
      </c>
      <c r="G184" s="683">
        <f>G176+G180+G11+G14</f>
        <v>1353397</v>
      </c>
      <c r="H184" s="684">
        <f>F184+G184</f>
        <v>4740673</v>
      </c>
    </row>
    <row r="185" spans="1:8" ht="15" customHeight="1" thickBot="1">
      <c r="A185" s="858" t="s">
        <v>294</v>
      </c>
      <c r="B185" s="859"/>
      <c r="C185" s="859"/>
      <c r="D185" s="859"/>
      <c r="E185" s="859"/>
      <c r="F185" s="859"/>
      <c r="G185" s="859"/>
      <c r="H185" s="860"/>
    </row>
    <row r="186" spans="1:8" ht="16.5" customHeight="1">
      <c r="A186" s="259"/>
      <c r="B186" s="260"/>
      <c r="C186" s="303" t="s">
        <v>295</v>
      </c>
      <c r="D186" s="261"/>
      <c r="E186" s="304"/>
      <c r="F186" s="654"/>
      <c r="G186" s="655"/>
      <c r="H186" s="656"/>
    </row>
    <row r="187" spans="1:8" ht="12.75" customHeight="1">
      <c r="A187" s="241" t="s">
        <v>19</v>
      </c>
      <c r="B187" s="228"/>
      <c r="C187" s="298" t="s">
        <v>296</v>
      </c>
      <c r="D187" s="252"/>
      <c r="E187" s="282" t="s">
        <v>31</v>
      </c>
      <c r="F187" s="276">
        <f>'5.mell'!E161</f>
        <v>612302</v>
      </c>
      <c r="G187" s="277"/>
      <c r="H187" s="562">
        <f>F187+G187</f>
        <v>612302</v>
      </c>
    </row>
    <row r="188" spans="1:8" ht="12.75" customHeight="1">
      <c r="A188" s="241" t="s">
        <v>20</v>
      </c>
      <c r="B188" s="228"/>
      <c r="C188" s="298" t="s">
        <v>297</v>
      </c>
      <c r="D188" s="252"/>
      <c r="E188" s="282" t="s">
        <v>161</v>
      </c>
      <c r="F188" s="276">
        <f>'5.mell'!F161</f>
        <v>162940</v>
      </c>
      <c r="G188" s="277"/>
      <c r="H188" s="562">
        <f>F188+G188</f>
        <v>162940</v>
      </c>
    </row>
    <row r="189" spans="1:8" s="12" customFormat="1" ht="12.75" customHeight="1">
      <c r="A189" s="241" t="s">
        <v>21</v>
      </c>
      <c r="B189" s="228"/>
      <c r="C189" s="298" t="s">
        <v>298</v>
      </c>
      <c r="D189" s="252"/>
      <c r="E189" s="282" t="s">
        <v>32</v>
      </c>
      <c r="F189" s="276">
        <f>'5.mell'!G161</f>
        <v>1178687</v>
      </c>
      <c r="G189" s="277"/>
      <c r="H189" s="562">
        <f>F189+G189</f>
        <v>1178687</v>
      </c>
    </row>
    <row r="190" spans="1:8" ht="12.75" customHeight="1">
      <c r="A190" s="241" t="s">
        <v>22</v>
      </c>
      <c r="B190" s="228"/>
      <c r="C190" s="298" t="s">
        <v>299</v>
      </c>
      <c r="D190" s="252"/>
      <c r="E190" s="282" t="s">
        <v>121</v>
      </c>
      <c r="F190" s="276">
        <f>'5.mell'!H161</f>
        <v>38008</v>
      </c>
      <c r="G190" s="277"/>
      <c r="H190" s="562">
        <f>F190+G190</f>
        <v>38008</v>
      </c>
    </row>
    <row r="191" spans="1:8" s="12" customFormat="1" ht="12.75" customHeight="1">
      <c r="A191" s="241" t="s">
        <v>23</v>
      </c>
      <c r="B191" s="228"/>
      <c r="C191" s="298" t="s">
        <v>300</v>
      </c>
      <c r="D191" s="252"/>
      <c r="E191" s="305" t="s">
        <v>119</v>
      </c>
      <c r="F191" s="276">
        <f>'5.mell'!I161+'5.mell'!J161+'5.mell'!K161</f>
        <v>486813</v>
      </c>
      <c r="G191" s="277"/>
      <c r="H191" s="562">
        <f>F191+G191</f>
        <v>486813</v>
      </c>
    </row>
    <row r="192" spans="1:8" ht="15.75" customHeight="1" thickBot="1">
      <c r="A192" s="861" t="s">
        <v>166</v>
      </c>
      <c r="B192" s="862"/>
      <c r="C192" s="862"/>
      <c r="D192" s="862"/>
      <c r="E192" s="863"/>
      <c r="F192" s="657">
        <f>SUM(F187:F191)</f>
        <v>2478750</v>
      </c>
      <c r="G192" s="658"/>
      <c r="H192" s="659">
        <f>SUM(H187:H191)</f>
        <v>2478750</v>
      </c>
    </row>
    <row r="193" spans="1:8" ht="17.25" customHeight="1" thickTop="1">
      <c r="A193" s="306"/>
      <c r="B193" s="307"/>
      <c r="C193" s="870" t="s">
        <v>301</v>
      </c>
      <c r="D193" s="871"/>
      <c r="E193" s="872"/>
      <c r="F193" s="572"/>
      <c r="G193" s="573"/>
      <c r="H193" s="574"/>
    </row>
    <row r="194" spans="1:8" ht="12" customHeight="1">
      <c r="A194" s="308" t="s">
        <v>19</v>
      </c>
      <c r="B194" s="309"/>
      <c r="C194" s="310" t="s">
        <v>302</v>
      </c>
      <c r="D194" s="311"/>
      <c r="E194" s="312" t="s">
        <v>42</v>
      </c>
      <c r="F194" s="631"/>
      <c r="G194" s="561">
        <f>'6.mell'!D6</f>
        <v>1544150</v>
      </c>
      <c r="H194" s="562">
        <f>G194</f>
        <v>1544150</v>
      </c>
    </row>
    <row r="195" spans="1:8" ht="12" customHeight="1">
      <c r="A195" s="308" t="s">
        <v>20</v>
      </c>
      <c r="B195" s="309"/>
      <c r="C195" s="310" t="s">
        <v>303</v>
      </c>
      <c r="D195" s="311"/>
      <c r="E195" s="312" t="s">
        <v>43</v>
      </c>
      <c r="F195" s="631"/>
      <c r="G195" s="561">
        <f>'6.mell'!D60</f>
        <v>836989</v>
      </c>
      <c r="H195" s="562">
        <f>G195</f>
        <v>836989</v>
      </c>
    </row>
    <row r="196" spans="1:8" ht="12" customHeight="1">
      <c r="A196" s="308" t="s">
        <v>21</v>
      </c>
      <c r="B196" s="309"/>
      <c r="C196" s="310" t="s">
        <v>304</v>
      </c>
      <c r="D196" s="313"/>
      <c r="E196" s="314" t="s">
        <v>59</v>
      </c>
      <c r="F196" s="660"/>
      <c r="G196" s="653">
        <f>'6.mell'!D76</f>
        <v>490580</v>
      </c>
      <c r="H196" s="577">
        <f>G196</f>
        <v>490580</v>
      </c>
    </row>
    <row r="197" spans="1:8" ht="15.75" customHeight="1" thickBot="1">
      <c r="A197" s="861" t="s">
        <v>305</v>
      </c>
      <c r="B197" s="862"/>
      <c r="C197" s="862"/>
      <c r="D197" s="862"/>
      <c r="E197" s="863"/>
      <c r="F197" s="661"/>
      <c r="G197" s="662">
        <f>G194+G195+G196</f>
        <v>2871719</v>
      </c>
      <c r="H197" s="659">
        <f>H194+H195+H196</f>
        <v>2871719</v>
      </c>
    </row>
    <row r="198" spans="1:8" ht="16.5" customHeight="1" thickBot="1" thickTop="1">
      <c r="A198" s="873" t="s">
        <v>306</v>
      </c>
      <c r="B198" s="874"/>
      <c r="C198" s="874"/>
      <c r="D198" s="874"/>
      <c r="E198" s="875"/>
      <c r="F198" s="596">
        <f>'5.mell'!G158+'5.mell'!G159+'5.mell'!G157</f>
        <v>8017156</v>
      </c>
      <c r="G198" s="597">
        <f>'5.mell'!N157</f>
        <v>0</v>
      </c>
      <c r="H198" s="598">
        <f>G198+F198</f>
        <v>8017156</v>
      </c>
    </row>
    <row r="199" spans="1:8" ht="14.25" customHeight="1" thickBot="1" thickTop="1">
      <c r="A199" s="850" t="s">
        <v>307</v>
      </c>
      <c r="B199" s="851"/>
      <c r="C199" s="851"/>
      <c r="D199" s="851"/>
      <c r="E199" s="852"/>
      <c r="F199" s="596">
        <f>F192+F197+F198</f>
        <v>10495906</v>
      </c>
      <c r="G199" s="596">
        <f>G192+G197+G198</f>
        <v>2871719</v>
      </c>
      <c r="H199" s="598">
        <f>H192+H197+H198</f>
        <v>13367625</v>
      </c>
    </row>
    <row r="200" spans="1:8" s="132" customFormat="1" ht="13.5" customHeight="1" thickTop="1">
      <c r="A200" s="876" t="s">
        <v>308</v>
      </c>
      <c r="B200" s="877"/>
      <c r="C200" s="877"/>
      <c r="D200" s="877"/>
      <c r="E200" s="877"/>
      <c r="F200" s="663">
        <f>'5.mell'!L162+'5.mell'!P153</f>
        <v>7174408</v>
      </c>
      <c r="G200" s="664">
        <f>'5.mell'!O162+'5.mell'!M162+'5.mell'!N162</f>
        <v>1526195</v>
      </c>
      <c r="H200" s="665">
        <f>F200+G200</f>
        <v>8700603</v>
      </c>
    </row>
    <row r="201" spans="1:8" s="132" customFormat="1" ht="13.5" customHeight="1">
      <c r="A201" s="878" t="s">
        <v>171</v>
      </c>
      <c r="B201" s="879"/>
      <c r="C201" s="879"/>
      <c r="D201" s="879"/>
      <c r="E201" s="879"/>
      <c r="F201" s="254">
        <f>'5.mell'!L164</f>
        <v>3262103</v>
      </c>
      <c r="G201" s="666">
        <f>'5.mell'!O164+'5.mell'!P164+'5.mell'!M164+'5.mell'!N164</f>
        <v>1345524</v>
      </c>
      <c r="H201" s="588">
        <f>F201+G201</f>
        <v>4607627</v>
      </c>
    </row>
    <row r="202" spans="1:8" s="132" customFormat="1" ht="15" customHeight="1" thickBot="1">
      <c r="A202" s="868" t="s">
        <v>309</v>
      </c>
      <c r="B202" s="869"/>
      <c r="C202" s="869"/>
      <c r="D202" s="869"/>
      <c r="E202" s="869"/>
      <c r="F202" s="667">
        <f>'5.mell'!L163</f>
        <v>59395</v>
      </c>
      <c r="G202" s="668">
        <v>0</v>
      </c>
      <c r="H202" s="669">
        <f>F202+G202</f>
        <v>59395</v>
      </c>
    </row>
    <row r="203" spans="6:8" ht="12" customHeight="1">
      <c r="F203" s="511"/>
      <c r="G203" s="511"/>
      <c r="H203" s="511"/>
    </row>
    <row r="204" spans="6:8" ht="12" customHeight="1">
      <c r="F204" s="316"/>
      <c r="G204" s="316"/>
      <c r="H204" s="316"/>
    </row>
    <row r="205" spans="6:8" ht="12" customHeight="1">
      <c r="F205" s="316"/>
      <c r="G205" s="316"/>
      <c r="H205" s="316"/>
    </row>
    <row r="206" spans="5:8" ht="12" customHeight="1">
      <c r="E206" s="316"/>
      <c r="F206" s="316"/>
      <c r="G206" s="316"/>
      <c r="H206" s="316"/>
    </row>
    <row r="207" spans="5:8" ht="12" customHeight="1">
      <c r="E207" s="316"/>
      <c r="F207" s="316"/>
      <c r="G207" s="316"/>
      <c r="H207" s="316"/>
    </row>
    <row r="208" spans="5:8" ht="12" customHeight="1">
      <c r="E208" s="316"/>
      <c r="F208" s="316"/>
      <c r="G208" s="316"/>
      <c r="H208" s="316"/>
    </row>
    <row r="209" spans="6:8" ht="12" customHeight="1">
      <c r="F209" s="316"/>
      <c r="G209" s="316"/>
      <c r="H209" s="316"/>
    </row>
    <row r="210" spans="6:8" ht="12" customHeight="1">
      <c r="F210" s="316"/>
      <c r="G210" s="316"/>
      <c r="H210" s="316"/>
    </row>
    <row r="211" spans="6:8" ht="12" customHeight="1">
      <c r="F211" s="730"/>
      <c r="G211" s="730"/>
      <c r="H211" s="730"/>
    </row>
    <row r="212" spans="6:8" ht="12" customHeight="1">
      <c r="F212" s="730"/>
      <c r="G212" s="730"/>
      <c r="H212" s="730"/>
    </row>
    <row r="213" spans="6:8" ht="12" customHeight="1">
      <c r="F213" s="730"/>
      <c r="G213" s="730"/>
      <c r="H213" s="730"/>
    </row>
    <row r="214" spans="6:8" ht="12" customHeight="1">
      <c r="F214" s="730"/>
      <c r="G214" s="730"/>
      <c r="H214" s="730"/>
    </row>
  </sheetData>
  <sheetProtection/>
  <mergeCells count="109">
    <mergeCell ref="E1:H1"/>
    <mergeCell ref="A15:E15"/>
    <mergeCell ref="B40:B41"/>
    <mergeCell ref="F4:F5"/>
    <mergeCell ref="G4:G5"/>
    <mergeCell ref="C116:E116"/>
    <mergeCell ref="E4:E5"/>
    <mergeCell ref="A6:H6"/>
    <mergeCell ref="D7:H7"/>
    <mergeCell ref="C132:C133"/>
    <mergeCell ref="A105:E105"/>
    <mergeCell ref="A106:E106"/>
    <mergeCell ref="E130:E131"/>
    <mergeCell ref="A110:E110"/>
    <mergeCell ref="C128:C129"/>
    <mergeCell ref="E128:E129"/>
    <mergeCell ref="C130:C131"/>
    <mergeCell ref="C117:C118"/>
    <mergeCell ref="E117:E118"/>
    <mergeCell ref="A202:E202"/>
    <mergeCell ref="C193:E193"/>
    <mergeCell ref="A197:E197"/>
    <mergeCell ref="A198:E198"/>
    <mergeCell ref="A199:E199"/>
    <mergeCell ref="A200:E200"/>
    <mergeCell ref="A201:E201"/>
    <mergeCell ref="A192:E192"/>
    <mergeCell ref="A175:E175"/>
    <mergeCell ref="A176:E176"/>
    <mergeCell ref="A177:E177"/>
    <mergeCell ref="A178:E178"/>
    <mergeCell ref="A174:E174"/>
    <mergeCell ref="B136:B137"/>
    <mergeCell ref="E138:E139"/>
    <mergeCell ref="C148:E148"/>
    <mergeCell ref="E158:E159"/>
    <mergeCell ref="E142:E143"/>
    <mergeCell ref="A185:H185"/>
    <mergeCell ref="B138:B139"/>
    <mergeCell ref="E167:E169"/>
    <mergeCell ref="C167:C169"/>
    <mergeCell ref="B153:B154"/>
    <mergeCell ref="A160:E160"/>
    <mergeCell ref="E170:E171"/>
    <mergeCell ref="A184:E184"/>
    <mergeCell ref="A181:E181"/>
    <mergeCell ref="A182:E182"/>
    <mergeCell ref="A172:E172"/>
    <mergeCell ref="A173:E173"/>
    <mergeCell ref="E162:E163"/>
    <mergeCell ref="C153:C154"/>
    <mergeCell ref="C151:C152"/>
    <mergeCell ref="A183:E183"/>
    <mergeCell ref="A179:E179"/>
    <mergeCell ref="A180:E180"/>
    <mergeCell ref="E151:E152"/>
    <mergeCell ref="C158:C159"/>
    <mergeCell ref="C170:C171"/>
    <mergeCell ref="B170:B171"/>
    <mergeCell ref="B146:B147"/>
    <mergeCell ref="E136:E137"/>
    <mergeCell ref="C136:C137"/>
    <mergeCell ref="A166:E166"/>
    <mergeCell ref="B140:B141"/>
    <mergeCell ref="A157:E157"/>
    <mergeCell ref="E153:E154"/>
    <mergeCell ref="B142:B143"/>
    <mergeCell ref="B162:B163"/>
    <mergeCell ref="C162:C163"/>
    <mergeCell ref="D16:H16"/>
    <mergeCell ref="A161:E161"/>
    <mergeCell ref="C146:C147"/>
    <mergeCell ref="E146:E147"/>
    <mergeCell ref="A45:E45"/>
    <mergeCell ref="A104:E104"/>
    <mergeCell ref="C134:C135"/>
    <mergeCell ref="C142:C143"/>
    <mergeCell ref="C140:C141"/>
    <mergeCell ref="C138:C139"/>
    <mergeCell ref="B151:B152"/>
    <mergeCell ref="C119:E119"/>
    <mergeCell ref="A125:E125"/>
    <mergeCell ref="C126:E126"/>
    <mergeCell ref="B144:B145"/>
    <mergeCell ref="C144:C145"/>
    <mergeCell ref="E144:E145"/>
    <mergeCell ref="B130:B131"/>
    <mergeCell ref="E134:E135"/>
    <mergeCell ref="E132:E133"/>
    <mergeCell ref="B134:B135"/>
    <mergeCell ref="A44:E44"/>
    <mergeCell ref="A107:E107"/>
    <mergeCell ref="E140:E141"/>
    <mergeCell ref="A115:E115"/>
    <mergeCell ref="B128:B129"/>
    <mergeCell ref="B132:B133"/>
    <mergeCell ref="A81:E81"/>
    <mergeCell ref="C46:E46"/>
    <mergeCell ref="C51:E51"/>
    <mergeCell ref="H4:H5"/>
    <mergeCell ref="C4:C5"/>
    <mergeCell ref="A18:E18"/>
    <mergeCell ref="A108:E108"/>
    <mergeCell ref="E40:E41"/>
    <mergeCell ref="D4:D5"/>
    <mergeCell ref="A39:E39"/>
    <mergeCell ref="A42:E42"/>
    <mergeCell ref="A20:E20"/>
    <mergeCell ref="A43:E43"/>
  </mergeCells>
  <printOptions horizontalCentered="1" vertic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58" r:id="rId2"/>
  <rowBreaks count="2" manualBreakCount="2">
    <brk id="85" max="7" man="1"/>
    <brk id="17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zoomScalePageLayoutView="0" workbookViewId="0" topLeftCell="A1">
      <selection activeCell="F5" sqref="F5:F8"/>
    </sheetView>
  </sheetViews>
  <sheetFormatPr defaultColWidth="9.00390625" defaultRowHeight="12.75"/>
  <cols>
    <col min="1" max="1" width="5.00390625" style="0" customWidth="1"/>
    <col min="2" max="2" width="8.75390625" style="0" customWidth="1"/>
    <col min="3" max="3" width="17.625" style="14" customWidth="1"/>
    <col min="4" max="4" width="9.00390625" style="15" customWidth="1"/>
    <col min="5" max="5" width="11.125" style="15" customWidth="1"/>
    <col min="6" max="6" width="12.00390625" style="15" customWidth="1"/>
    <col min="7" max="7" width="7.75390625" style="15" customWidth="1"/>
    <col min="8" max="8" width="11.75390625" style="15" customWidth="1"/>
    <col min="9" max="9" width="11.875" style="0" customWidth="1"/>
    <col min="10" max="10" width="7.625" style="0" customWidth="1"/>
    <col min="11" max="11" width="9.25390625" style="0" customWidth="1"/>
    <col min="12" max="12" width="8.875" style="0" customWidth="1"/>
    <col min="13" max="13" width="8.25390625" style="0" customWidth="1"/>
    <col min="14" max="14" width="8.875" style="30" customWidth="1"/>
    <col min="17" max="17" width="10.875" style="713" bestFit="1" customWidth="1"/>
    <col min="18" max="18" width="11.125" style="713" bestFit="1" customWidth="1"/>
    <col min="19" max="19" width="11.75390625" style="713" bestFit="1" customWidth="1"/>
    <col min="20" max="20" width="13.875" style="713" bestFit="1" customWidth="1"/>
  </cols>
  <sheetData>
    <row r="1" spans="1:14" ht="15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915" t="s">
        <v>454</v>
      </c>
      <c r="L1" s="915"/>
      <c r="M1" s="915"/>
      <c r="N1" s="915"/>
    </row>
    <row r="2" spans="1:14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9"/>
    </row>
    <row r="3" spans="1:14" ht="20.2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916" t="s">
        <v>391</v>
      </c>
      <c r="N3" s="916"/>
    </row>
    <row r="4" spans="1:14" ht="21" customHeight="1">
      <c r="A4" s="891" t="s">
        <v>60</v>
      </c>
      <c r="B4" s="911" t="s">
        <v>421</v>
      </c>
      <c r="C4" s="894" t="s">
        <v>433</v>
      </c>
      <c r="D4" s="897" t="s">
        <v>434</v>
      </c>
      <c r="E4" s="898"/>
      <c r="F4" s="898"/>
      <c r="G4" s="898"/>
      <c r="H4" s="898"/>
      <c r="I4" s="899"/>
      <c r="J4" s="900" t="s">
        <v>435</v>
      </c>
      <c r="K4" s="901"/>
      <c r="L4" s="901"/>
      <c r="M4" s="902"/>
      <c r="N4" s="913" t="s">
        <v>36</v>
      </c>
    </row>
    <row r="5" spans="1:20" s="92" customFormat="1" ht="24" customHeight="1">
      <c r="A5" s="892"/>
      <c r="B5" s="912"/>
      <c r="C5" s="895"/>
      <c r="D5" s="908" t="s">
        <v>479</v>
      </c>
      <c r="E5" s="908" t="s">
        <v>357</v>
      </c>
      <c r="F5" s="908" t="s">
        <v>354</v>
      </c>
      <c r="G5" s="910" t="s">
        <v>135</v>
      </c>
      <c r="H5" s="908" t="s">
        <v>356</v>
      </c>
      <c r="I5" s="908" t="s">
        <v>355</v>
      </c>
      <c r="J5" s="903"/>
      <c r="K5" s="904"/>
      <c r="L5" s="904"/>
      <c r="M5" s="905"/>
      <c r="N5" s="914"/>
      <c r="Q5" s="395"/>
      <c r="R5" s="395"/>
      <c r="S5" s="395"/>
      <c r="T5" s="395"/>
    </row>
    <row r="6" spans="1:20" s="92" customFormat="1" ht="38.25" customHeight="1">
      <c r="A6" s="892"/>
      <c r="B6" s="912"/>
      <c r="C6" s="895"/>
      <c r="D6" s="908"/>
      <c r="E6" s="908"/>
      <c r="F6" s="908"/>
      <c r="G6" s="910"/>
      <c r="H6" s="908"/>
      <c r="I6" s="908"/>
      <c r="J6" s="906" t="s">
        <v>408</v>
      </c>
      <c r="K6" s="907"/>
      <c r="L6" s="908" t="s">
        <v>436</v>
      </c>
      <c r="M6" s="909"/>
      <c r="N6" s="914"/>
      <c r="Q6" s="395"/>
      <c r="R6" s="395"/>
      <c r="S6" s="395"/>
      <c r="T6" s="395"/>
    </row>
    <row r="7" spans="1:20" s="92" customFormat="1" ht="12.75" customHeight="1">
      <c r="A7" s="892"/>
      <c r="B7" s="912"/>
      <c r="C7" s="895"/>
      <c r="D7" s="908"/>
      <c r="E7" s="908"/>
      <c r="F7" s="908"/>
      <c r="G7" s="910"/>
      <c r="H7" s="908"/>
      <c r="I7" s="908"/>
      <c r="J7" s="908" t="s">
        <v>134</v>
      </c>
      <c r="K7" s="908" t="s">
        <v>34</v>
      </c>
      <c r="L7" s="908" t="s">
        <v>34</v>
      </c>
      <c r="M7" s="908" t="s">
        <v>134</v>
      </c>
      <c r="N7" s="914"/>
      <c r="Q7" s="395"/>
      <c r="R7" s="395"/>
      <c r="S7" s="395"/>
      <c r="T7" s="395"/>
    </row>
    <row r="8" spans="1:20" s="92" customFormat="1" ht="15" customHeight="1">
      <c r="A8" s="893"/>
      <c r="B8" s="912"/>
      <c r="C8" s="896"/>
      <c r="D8" s="908"/>
      <c r="E8" s="908"/>
      <c r="F8" s="908"/>
      <c r="G8" s="910"/>
      <c r="H8" s="908"/>
      <c r="I8" s="908"/>
      <c r="J8" s="909"/>
      <c r="K8" s="909"/>
      <c r="L8" s="909"/>
      <c r="M8" s="909"/>
      <c r="N8" s="914"/>
      <c r="Q8" s="395"/>
      <c r="R8" s="395"/>
      <c r="S8" s="395"/>
      <c r="T8" s="395"/>
    </row>
    <row r="9" spans="1:20" ht="40.5" customHeight="1">
      <c r="A9" s="442" t="s">
        <v>19</v>
      </c>
      <c r="B9" s="443"/>
      <c r="C9" s="444" t="s">
        <v>245</v>
      </c>
      <c r="D9" s="445">
        <f>D10+D11</f>
        <v>51475</v>
      </c>
      <c r="E9" s="445">
        <f aca="true" t="shared" si="0" ref="E9:L9">E10+E11</f>
        <v>0</v>
      </c>
      <c r="F9" s="445">
        <f>F10+F11</f>
        <v>31190</v>
      </c>
      <c r="G9" s="445">
        <f t="shared" si="0"/>
        <v>31190</v>
      </c>
      <c r="H9" s="445">
        <f t="shared" si="0"/>
        <v>0</v>
      </c>
      <c r="I9" s="445">
        <f t="shared" si="0"/>
        <v>0</v>
      </c>
      <c r="J9" s="445">
        <v>0</v>
      </c>
      <c r="K9" s="445">
        <f>K10+K11</f>
        <v>107067</v>
      </c>
      <c r="L9" s="445">
        <f t="shared" si="0"/>
        <v>12105</v>
      </c>
      <c r="M9" s="445">
        <f>M10+M11</f>
        <v>0</v>
      </c>
      <c r="N9" s="451">
        <f>N10+N11</f>
        <v>201837</v>
      </c>
      <c r="T9" s="714"/>
    </row>
    <row r="10" spans="1:19" s="158" customFormat="1" ht="26.25" customHeight="1">
      <c r="A10" s="446"/>
      <c r="B10" s="447" t="s">
        <v>159</v>
      </c>
      <c r="C10" s="448" t="s">
        <v>204</v>
      </c>
      <c r="D10" s="449">
        <f>2800+1815+400+10</f>
        <v>5025</v>
      </c>
      <c r="E10" s="449"/>
      <c r="F10" s="449">
        <f>660+28500+1400+630</f>
        <v>31190</v>
      </c>
      <c r="G10" s="449">
        <f>29160+630+1400</f>
        <v>31190</v>
      </c>
      <c r="H10" s="449">
        <v>0</v>
      </c>
      <c r="I10" s="449"/>
      <c r="J10" s="449"/>
      <c r="K10" s="550">
        <f>'5.mell'!Q9-'4.mell '!D10-'4.mell '!E10-'4.mell '!F10-'4.mell '!H10-'4.mell '!I10-'4.mell '!L10-'4.mell '!M10</f>
        <v>46420</v>
      </c>
      <c r="L10" s="449">
        <v>12084</v>
      </c>
      <c r="M10" s="449">
        <v>0</v>
      </c>
      <c r="N10" s="450">
        <f>D10+E10+F10+H10+I10+K10+L10+M10</f>
        <v>94719</v>
      </c>
      <c r="Q10" s="712"/>
      <c r="S10" s="712"/>
    </row>
    <row r="11" spans="1:17" s="158" customFormat="1" ht="24" customHeight="1">
      <c r="A11" s="446"/>
      <c r="B11" s="447" t="s">
        <v>160</v>
      </c>
      <c r="C11" s="448" t="s">
        <v>203</v>
      </c>
      <c r="D11" s="449">
        <v>46450</v>
      </c>
      <c r="E11" s="449"/>
      <c r="F11" s="449"/>
      <c r="G11" s="449"/>
      <c r="H11" s="449"/>
      <c r="I11" s="449"/>
      <c r="J11" s="449"/>
      <c r="K11" s="550">
        <f>'5.mell'!Q10-'4.mell '!D11-'4.mell '!E11-'4.mell '!F11-'4.mell '!H11-'4.mell '!I11-'4.mell '!L11-'4.mell '!M11</f>
        <v>60647</v>
      </c>
      <c r="L11" s="449">
        <v>21</v>
      </c>
      <c r="M11" s="449">
        <v>0</v>
      </c>
      <c r="N11" s="450">
        <f>D11+E11+F11+H11+I11+K11+L11+M11</f>
        <v>107118</v>
      </c>
      <c r="Q11" s="712"/>
    </row>
    <row r="12" spans="1:18" ht="24" customHeight="1">
      <c r="A12" s="442" t="s">
        <v>20</v>
      </c>
      <c r="B12" s="443" t="s">
        <v>159</v>
      </c>
      <c r="C12" s="444" t="s">
        <v>200</v>
      </c>
      <c r="D12" s="445">
        <f>59+86</f>
        <v>145</v>
      </c>
      <c r="E12" s="445"/>
      <c r="F12" s="445">
        <v>0</v>
      </c>
      <c r="G12" s="445"/>
      <c r="H12" s="445"/>
      <c r="I12" s="445">
        <v>0</v>
      </c>
      <c r="J12" s="445">
        <v>0</v>
      </c>
      <c r="K12" s="518">
        <f>'5.mell'!Q11-'4.mell '!D12-'4.mell '!E12-'4.mell '!F12-'4.mell '!H12-'4.mell '!I12-'4.mell '!L12-'4.mell '!M12</f>
        <v>222885</v>
      </c>
      <c r="L12" s="445">
        <v>1534</v>
      </c>
      <c r="M12" s="445">
        <v>0</v>
      </c>
      <c r="N12" s="451">
        <f>SUM(D12:M12)</f>
        <v>224564</v>
      </c>
      <c r="Q12" s="714"/>
      <c r="R12" s="714"/>
    </row>
    <row r="13" spans="1:18" ht="27" customHeight="1">
      <c r="A13" s="442" t="s">
        <v>21</v>
      </c>
      <c r="B13" s="443"/>
      <c r="C13" s="444" t="s">
        <v>199</v>
      </c>
      <c r="D13" s="445">
        <f>D14+D15</f>
        <v>6046</v>
      </c>
      <c r="E13" s="445">
        <f aca="true" t="shared" si="1" ref="E13:M13">E14+E15</f>
        <v>0</v>
      </c>
      <c r="F13" s="445">
        <f t="shared" si="1"/>
        <v>0</v>
      </c>
      <c r="G13" s="445">
        <f t="shared" si="1"/>
        <v>0</v>
      </c>
      <c r="H13" s="445">
        <f t="shared" si="1"/>
        <v>0</v>
      </c>
      <c r="I13" s="445">
        <f t="shared" si="1"/>
        <v>0</v>
      </c>
      <c r="J13" s="445">
        <v>0</v>
      </c>
      <c r="K13" s="445">
        <f>K14+K15</f>
        <v>56254</v>
      </c>
      <c r="L13" s="445">
        <f t="shared" si="1"/>
        <v>16772</v>
      </c>
      <c r="M13" s="445">
        <f t="shared" si="1"/>
        <v>0</v>
      </c>
      <c r="N13" s="451">
        <f>N14+N15</f>
        <v>79072</v>
      </c>
      <c r="R13" s="714"/>
    </row>
    <row r="14" spans="1:14" s="158" customFormat="1" ht="24" customHeight="1">
      <c r="A14" s="446"/>
      <c r="B14" s="447" t="s">
        <v>159</v>
      </c>
      <c r="C14" s="448" t="s">
        <v>204</v>
      </c>
      <c r="D14" s="449">
        <f>3213+542+167+648+1476</f>
        <v>6046</v>
      </c>
      <c r="E14" s="449"/>
      <c r="F14" s="449">
        <v>0</v>
      </c>
      <c r="G14" s="449"/>
      <c r="H14" s="449"/>
      <c r="I14" s="449"/>
      <c r="J14" s="449"/>
      <c r="K14" s="550">
        <f>'5.mell'!Q13-'4.mell '!D14-'4.mell '!E14-'4.mell '!F14-'4.mell '!H14-'4.mell '!I14-'4.mell '!L14-'4.mell '!M14</f>
        <v>45545</v>
      </c>
      <c r="L14" s="449">
        <v>16564</v>
      </c>
      <c r="M14" s="449">
        <v>0</v>
      </c>
      <c r="N14" s="450">
        <f>D14+E14+F14+H14+I14+K14+L14+M14</f>
        <v>68155</v>
      </c>
    </row>
    <row r="15" spans="1:14" s="158" customFormat="1" ht="24" customHeight="1">
      <c r="A15" s="446"/>
      <c r="B15" s="447" t="s">
        <v>160</v>
      </c>
      <c r="C15" s="448" t="s">
        <v>203</v>
      </c>
      <c r="D15" s="449">
        <v>0</v>
      </c>
      <c r="E15" s="449"/>
      <c r="F15" s="449"/>
      <c r="G15" s="449"/>
      <c r="H15" s="449"/>
      <c r="I15" s="449"/>
      <c r="J15" s="449"/>
      <c r="K15" s="550">
        <f>'5.mell'!Q14-'4.mell '!D15-'4.mell '!E15-'4.mell '!F15-'4.mell '!H15-'4.mell '!I15-'4.mell '!L15-'4.mell '!M15</f>
        <v>10709</v>
      </c>
      <c r="L15" s="449">
        <v>208</v>
      </c>
      <c r="M15" s="449">
        <v>0</v>
      </c>
      <c r="N15" s="450">
        <f>D15+E15+F15+H15+I15+K15+L15+M15</f>
        <v>10917</v>
      </c>
    </row>
    <row r="16" spans="1:14" ht="24" customHeight="1">
      <c r="A16" s="442" t="s">
        <v>22</v>
      </c>
      <c r="B16" s="443" t="s">
        <v>159</v>
      </c>
      <c r="C16" s="444" t="s">
        <v>83</v>
      </c>
      <c r="D16" s="445">
        <v>1325</v>
      </c>
      <c r="E16" s="445"/>
      <c r="F16" s="445"/>
      <c r="G16" s="445"/>
      <c r="H16" s="445"/>
      <c r="I16" s="445">
        <v>0</v>
      </c>
      <c r="J16" s="445">
        <v>0</v>
      </c>
      <c r="K16" s="518">
        <f>'5.mell'!Q15-'4.mell '!D16-'4.mell '!E16-'4.mell '!F16-'4.mell '!H16-'4.mell '!I16-'4.mell '!L16-'4.mell '!M16</f>
        <v>30197</v>
      </c>
      <c r="L16" s="445">
        <v>2737</v>
      </c>
      <c r="M16" s="445">
        <v>0</v>
      </c>
      <c r="N16" s="451">
        <f>SUM(D16:M16)</f>
        <v>34259</v>
      </c>
    </row>
    <row r="17" spans="1:14" ht="30.75" customHeight="1" thickBot="1">
      <c r="A17" s="442" t="s">
        <v>23</v>
      </c>
      <c r="B17" s="443" t="s">
        <v>160</v>
      </c>
      <c r="C17" s="444" t="s">
        <v>84</v>
      </c>
      <c r="D17" s="445">
        <f>3000+17+29+248+19</f>
        <v>3313</v>
      </c>
      <c r="E17" s="445">
        <v>0</v>
      </c>
      <c r="F17" s="445">
        <f>599+387</f>
        <v>986</v>
      </c>
      <c r="G17" s="445"/>
      <c r="H17" s="445"/>
      <c r="I17" s="445">
        <v>0</v>
      </c>
      <c r="J17" s="445">
        <v>0</v>
      </c>
      <c r="K17" s="518">
        <f>'5.mell'!Q16-'4.mell '!D17-'4.mell '!E17-'4.mell '!F17-'4.mell '!H17-'4.mell '!I17-'4.mell '!L17-'4.mell '!M17</f>
        <v>18283</v>
      </c>
      <c r="L17" s="445">
        <v>3270</v>
      </c>
      <c r="M17" s="445">
        <v>0</v>
      </c>
      <c r="N17" s="451">
        <f>SUM(D17:M17)</f>
        <v>25852</v>
      </c>
    </row>
    <row r="18" spans="1:14" ht="24" customHeight="1" thickTop="1">
      <c r="A18" s="452"/>
      <c r="B18" s="453"/>
      <c r="C18" s="170" t="s">
        <v>195</v>
      </c>
      <c r="D18" s="454">
        <f>D9+D12+D13+D16+D17</f>
        <v>62304</v>
      </c>
      <c r="E18" s="454">
        <f aca="true" t="shared" si="2" ref="E18:N18">E9+E12+E13+E16+E17</f>
        <v>0</v>
      </c>
      <c r="F18" s="454">
        <f>F9+F12+F13+F16+F17</f>
        <v>32176</v>
      </c>
      <c r="G18" s="454">
        <f t="shared" si="2"/>
        <v>31190</v>
      </c>
      <c r="H18" s="454">
        <f t="shared" si="2"/>
        <v>0</v>
      </c>
      <c r="I18" s="454">
        <f t="shared" si="2"/>
        <v>0</v>
      </c>
      <c r="J18" s="454">
        <v>0</v>
      </c>
      <c r="K18" s="454">
        <f>K9+K12+K13+K16+K17</f>
        <v>434686</v>
      </c>
      <c r="L18" s="454">
        <f t="shared" si="2"/>
        <v>36418</v>
      </c>
      <c r="M18" s="454">
        <f t="shared" si="2"/>
        <v>0</v>
      </c>
      <c r="N18" s="455">
        <f t="shared" si="2"/>
        <v>565584</v>
      </c>
    </row>
    <row r="19" spans="1:15" ht="25.5" customHeight="1">
      <c r="A19" s="456"/>
      <c r="B19" s="443" t="s">
        <v>159</v>
      </c>
      <c r="C19" s="457" t="s">
        <v>204</v>
      </c>
      <c r="D19" s="458">
        <f>D10+D12+D14+D16</f>
        <v>12541</v>
      </c>
      <c r="E19" s="458">
        <f aca="true" t="shared" si="3" ref="E19:N19">E10+E12+E14+E16</f>
        <v>0</v>
      </c>
      <c r="F19" s="458">
        <f>F10+F12+F14+F16</f>
        <v>31190</v>
      </c>
      <c r="G19" s="458">
        <f t="shared" si="3"/>
        <v>31190</v>
      </c>
      <c r="H19" s="458">
        <f t="shared" si="3"/>
        <v>0</v>
      </c>
      <c r="I19" s="458">
        <f t="shared" si="3"/>
        <v>0</v>
      </c>
      <c r="J19" s="458">
        <v>0</v>
      </c>
      <c r="K19" s="458">
        <f>K10+K12+K14+K16</f>
        <v>345047</v>
      </c>
      <c r="L19" s="458">
        <f t="shared" si="3"/>
        <v>32919</v>
      </c>
      <c r="M19" s="458">
        <f t="shared" si="3"/>
        <v>0</v>
      </c>
      <c r="N19" s="459">
        <f t="shared" si="3"/>
        <v>421697</v>
      </c>
      <c r="O19" s="100"/>
    </row>
    <row r="20" spans="1:15" ht="26.25" customHeight="1" thickBot="1">
      <c r="A20" s="460"/>
      <c r="B20" s="461" t="s">
        <v>160</v>
      </c>
      <c r="C20" s="448" t="s">
        <v>203</v>
      </c>
      <c r="D20" s="462">
        <f>D11+D15+D17</f>
        <v>49763</v>
      </c>
      <c r="E20" s="462">
        <f aca="true" t="shared" si="4" ref="E20:N20">E11+E15+E17</f>
        <v>0</v>
      </c>
      <c r="F20" s="462">
        <f>F11+F15+F17</f>
        <v>986</v>
      </c>
      <c r="G20" s="462">
        <f t="shared" si="4"/>
        <v>0</v>
      </c>
      <c r="H20" s="462">
        <f t="shared" si="4"/>
        <v>0</v>
      </c>
      <c r="I20" s="462">
        <f t="shared" si="4"/>
        <v>0</v>
      </c>
      <c r="J20" s="462">
        <v>0</v>
      </c>
      <c r="K20" s="462">
        <f>K11+K15+K17</f>
        <v>89639</v>
      </c>
      <c r="L20" s="462">
        <f t="shared" si="4"/>
        <v>3499</v>
      </c>
      <c r="M20" s="462">
        <f t="shared" si="4"/>
        <v>0</v>
      </c>
      <c r="N20" s="463">
        <f t="shared" si="4"/>
        <v>143887</v>
      </c>
      <c r="O20" s="100"/>
    </row>
    <row r="21" spans="1:20" s="92" customFormat="1" ht="24" customHeight="1" thickBot="1">
      <c r="A21" s="464" t="s">
        <v>19</v>
      </c>
      <c r="B21" s="465"/>
      <c r="C21" s="466" t="s">
        <v>194</v>
      </c>
      <c r="D21" s="467">
        <f>'3.mell'!F119+'3.mell'!F148</f>
        <v>5528</v>
      </c>
      <c r="E21" s="467"/>
      <c r="F21" s="467">
        <f>'3.mell'!F46</f>
        <v>7636</v>
      </c>
      <c r="G21" s="467"/>
      <c r="H21" s="467"/>
      <c r="I21" s="468"/>
      <c r="J21" s="468">
        <v>0</v>
      </c>
      <c r="K21" s="469">
        <f>'5.mell'!Q40-D21-E21-F21-H21-I21-L21-M21</f>
        <v>235870</v>
      </c>
      <c r="L21" s="468">
        <v>16706</v>
      </c>
      <c r="M21" s="468">
        <v>0</v>
      </c>
      <c r="N21" s="470">
        <f>D21+E21+F21+H21+I21+K21+L21+M21</f>
        <v>265740</v>
      </c>
      <c r="Q21" s="395"/>
      <c r="R21" s="395"/>
      <c r="S21" s="395"/>
      <c r="T21" s="395"/>
    </row>
  </sheetData>
  <sheetProtection/>
  <mergeCells count="20">
    <mergeCell ref="G5:G8"/>
    <mergeCell ref="H5:H8"/>
    <mergeCell ref="B4:B8"/>
    <mergeCell ref="N4:N8"/>
    <mergeCell ref="K1:N1"/>
    <mergeCell ref="M7:M8"/>
    <mergeCell ref="L7:L8"/>
    <mergeCell ref="L6:M6"/>
    <mergeCell ref="M3:N3"/>
    <mergeCell ref="K7:K8"/>
    <mergeCell ref="A4:A8"/>
    <mergeCell ref="C4:C8"/>
    <mergeCell ref="D4:I4"/>
    <mergeCell ref="J4:M5"/>
    <mergeCell ref="J6:K6"/>
    <mergeCell ref="J7:J8"/>
    <mergeCell ref="I5:I8"/>
    <mergeCell ref="E5:E8"/>
    <mergeCell ref="D5:D8"/>
    <mergeCell ref="F5:F8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6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 customHeight="1"/>
  <cols>
    <col min="1" max="1" width="4.00390625" style="40" customWidth="1"/>
    <col min="2" max="2" width="3.75390625" style="41" customWidth="1"/>
    <col min="3" max="3" width="5.25390625" style="105" customWidth="1"/>
    <col min="4" max="4" width="37.00390625" style="42" customWidth="1"/>
    <col min="5" max="5" width="8.125" style="200" customWidth="1"/>
    <col min="6" max="6" width="8.875" style="200" customWidth="1"/>
    <col min="7" max="7" width="8.125" style="750" customWidth="1"/>
    <col min="8" max="8" width="7.25390625" style="200" customWidth="1"/>
    <col min="9" max="9" width="6.875" style="200" customWidth="1"/>
    <col min="10" max="10" width="7.625" style="201" customWidth="1"/>
    <col min="11" max="11" width="7.00390625" style="200" customWidth="1"/>
    <col min="12" max="12" width="9.375" style="224" bestFit="1" customWidth="1"/>
    <col min="13" max="13" width="8.625" style="200" bestFit="1" customWidth="1"/>
    <col min="14" max="14" width="7.25390625" style="42" customWidth="1"/>
    <col min="15" max="15" width="8.25390625" style="42" customWidth="1"/>
    <col min="16" max="16" width="6.75390625" style="42" customWidth="1"/>
    <col min="17" max="17" width="9.75390625" style="224" customWidth="1"/>
    <col min="18" max="18" width="6.875" style="223" bestFit="1" customWidth="1"/>
    <col min="19" max="19" width="10.375" style="41" bestFit="1" customWidth="1"/>
    <col min="20" max="20" width="12.875" style="41" bestFit="1" customWidth="1"/>
    <col min="21" max="16384" width="9.125" style="41" customWidth="1"/>
  </cols>
  <sheetData>
    <row r="1" spans="12:18" ht="12.75" customHeight="1">
      <c r="L1" s="202"/>
      <c r="M1" s="203"/>
      <c r="N1" s="965" t="s">
        <v>455</v>
      </c>
      <c r="O1" s="965"/>
      <c r="P1" s="965"/>
      <c r="Q1" s="965"/>
      <c r="R1" s="965"/>
    </row>
    <row r="2" spans="12:18" ht="12.75" customHeight="1">
      <c r="L2" s="202"/>
      <c r="M2" s="203"/>
      <c r="N2" s="637"/>
      <c r="O2" s="637"/>
      <c r="P2" s="637"/>
      <c r="Q2" s="202"/>
      <c r="R2" s="204"/>
    </row>
    <row r="3" spans="12:18" ht="12.75" customHeight="1">
      <c r="L3" s="202"/>
      <c r="M3" s="203"/>
      <c r="N3" s="637"/>
      <c r="O3" s="637"/>
      <c r="P3" s="637"/>
      <c r="Q3" s="202"/>
      <c r="R3" s="204"/>
    </row>
    <row r="4" spans="12:18" ht="12.75" customHeight="1" thickBot="1">
      <c r="L4" s="202"/>
      <c r="M4" s="203"/>
      <c r="N4" s="637"/>
      <c r="O4" s="637"/>
      <c r="P4" s="637"/>
      <c r="Q4" s="146" t="s">
        <v>4</v>
      </c>
      <c r="R4" s="205"/>
    </row>
    <row r="5" spans="1:18" s="44" customFormat="1" ht="36" customHeight="1">
      <c r="A5" s="941" t="s">
        <v>60</v>
      </c>
      <c r="B5" s="942"/>
      <c r="C5" s="974" t="s">
        <v>422</v>
      </c>
      <c r="D5" s="43" t="s">
        <v>61</v>
      </c>
      <c r="E5" s="43" t="s">
        <v>62</v>
      </c>
      <c r="F5" s="91" t="s">
        <v>167</v>
      </c>
      <c r="G5" s="43" t="s">
        <v>63</v>
      </c>
      <c r="H5" s="91" t="s">
        <v>311</v>
      </c>
      <c r="I5" s="936" t="s">
        <v>119</v>
      </c>
      <c r="J5" s="937"/>
      <c r="K5" s="938"/>
      <c r="L5" s="43" t="s">
        <v>34</v>
      </c>
      <c r="M5" s="43" t="s">
        <v>64</v>
      </c>
      <c r="N5" s="945" t="s">
        <v>59</v>
      </c>
      <c r="O5" s="946"/>
      <c r="P5" s="947"/>
      <c r="Q5" s="43" t="s">
        <v>41</v>
      </c>
      <c r="R5" s="163" t="s">
        <v>65</v>
      </c>
    </row>
    <row r="6" spans="1:18" s="44" customFormat="1" ht="37.5" customHeight="1">
      <c r="A6" s="972" t="s">
        <v>66</v>
      </c>
      <c r="B6" s="973"/>
      <c r="C6" s="975"/>
      <c r="D6" s="45" t="s">
        <v>67</v>
      </c>
      <c r="E6" s="45" t="s">
        <v>120</v>
      </c>
      <c r="F6" s="103" t="s">
        <v>168</v>
      </c>
      <c r="G6" s="45" t="s">
        <v>68</v>
      </c>
      <c r="H6" s="103" t="s">
        <v>312</v>
      </c>
      <c r="I6" s="939" t="s">
        <v>398</v>
      </c>
      <c r="J6" s="930" t="s">
        <v>399</v>
      </c>
      <c r="K6" s="930" t="s">
        <v>400</v>
      </c>
      <c r="L6" s="45" t="s">
        <v>69</v>
      </c>
      <c r="M6" s="45" t="s">
        <v>70</v>
      </c>
      <c r="N6" s="939" t="s">
        <v>398</v>
      </c>
      <c r="O6" s="930" t="s">
        <v>399</v>
      </c>
      <c r="P6" s="930" t="s">
        <v>400</v>
      </c>
      <c r="Q6" s="45" t="s">
        <v>18</v>
      </c>
      <c r="R6" s="164" t="s">
        <v>71</v>
      </c>
    </row>
    <row r="7" spans="1:18" s="44" customFormat="1" ht="36.75" customHeight="1" thickBot="1">
      <c r="A7" s="943" t="s">
        <v>72</v>
      </c>
      <c r="B7" s="944"/>
      <c r="C7" s="976"/>
      <c r="D7" s="46"/>
      <c r="E7" s="46"/>
      <c r="F7" s="104" t="s">
        <v>169</v>
      </c>
      <c r="G7" s="46" t="s">
        <v>77</v>
      </c>
      <c r="H7" s="104" t="s">
        <v>313</v>
      </c>
      <c r="I7" s="940"/>
      <c r="J7" s="932"/>
      <c r="K7" s="931"/>
      <c r="L7" s="46" t="s">
        <v>18</v>
      </c>
      <c r="M7" s="46" t="s">
        <v>73</v>
      </c>
      <c r="N7" s="940"/>
      <c r="O7" s="932"/>
      <c r="P7" s="931"/>
      <c r="Q7" s="46"/>
      <c r="R7" s="165"/>
    </row>
    <row r="8" spans="1:18" ht="11.25" customHeight="1">
      <c r="A8" s="50" t="s">
        <v>19</v>
      </c>
      <c r="B8" s="51"/>
      <c r="C8" s="122"/>
      <c r="D8" s="52" t="s">
        <v>245</v>
      </c>
      <c r="E8" s="515">
        <f aca="true" t="shared" si="0" ref="E8:K8">E9+E10</f>
        <v>107013</v>
      </c>
      <c r="F8" s="515">
        <f t="shared" si="0"/>
        <v>30667</v>
      </c>
      <c r="G8" s="515">
        <f t="shared" si="0"/>
        <v>52057</v>
      </c>
      <c r="H8" s="515">
        <f t="shared" si="0"/>
        <v>170</v>
      </c>
      <c r="I8" s="515">
        <f t="shared" si="0"/>
        <v>0</v>
      </c>
      <c r="J8" s="515">
        <f t="shared" si="0"/>
        <v>11930</v>
      </c>
      <c r="K8" s="515">
        <f t="shared" si="0"/>
        <v>0</v>
      </c>
      <c r="L8" s="516">
        <f aca="true" t="shared" si="1" ref="L8:L20">SUM(E8:K8)</f>
        <v>201837</v>
      </c>
      <c r="M8" s="514">
        <f>M9+M10</f>
        <v>0</v>
      </c>
      <c r="N8" s="514"/>
      <c r="O8" s="514">
        <v>0</v>
      </c>
      <c r="P8" s="514">
        <v>0</v>
      </c>
      <c r="Q8" s="53">
        <f aca="true" t="shared" si="2" ref="Q8:Q16">SUM(L8:P8)</f>
        <v>201837</v>
      </c>
      <c r="R8" s="517">
        <f>R9+R10</f>
        <v>50.25</v>
      </c>
    </row>
    <row r="9" spans="1:18" s="110" customFormat="1" ht="11.25" customHeight="1">
      <c r="A9" s="109"/>
      <c r="B9" s="138" t="s">
        <v>19</v>
      </c>
      <c r="C9" s="121" t="s">
        <v>159</v>
      </c>
      <c r="D9" s="111" t="s">
        <v>170</v>
      </c>
      <c r="E9" s="548">
        <f>49758+628+954+1592+1289</f>
        <v>54221</v>
      </c>
      <c r="F9" s="547">
        <f>12495+742+315+182+430+26+1043+347</f>
        <v>15580</v>
      </c>
      <c r="G9" s="548">
        <f>10419+129+1800+10+630</f>
        <v>12988</v>
      </c>
      <c r="H9" s="548"/>
      <c r="I9" s="547"/>
      <c r="J9" s="547">
        <f>1044+11929-1043</f>
        <v>11930</v>
      </c>
      <c r="K9" s="547"/>
      <c r="L9" s="528">
        <f t="shared" si="1"/>
        <v>94719</v>
      </c>
      <c r="M9" s="547">
        <v>0</v>
      </c>
      <c r="N9" s="547"/>
      <c r="O9" s="547"/>
      <c r="P9" s="547"/>
      <c r="Q9" s="549">
        <f t="shared" si="2"/>
        <v>94719</v>
      </c>
      <c r="R9" s="551">
        <v>26.5</v>
      </c>
    </row>
    <row r="10" spans="1:18" s="110" customFormat="1" ht="11.25" customHeight="1">
      <c r="A10" s="109"/>
      <c r="B10" s="138" t="s">
        <v>20</v>
      </c>
      <c r="C10" s="121" t="s">
        <v>160</v>
      </c>
      <c r="D10" s="111" t="s">
        <v>171</v>
      </c>
      <c r="E10" s="548">
        <f>48607+861+783+1376-632+421+1376</f>
        <v>52792</v>
      </c>
      <c r="F10" s="547">
        <f>12235+705+259+149+387+21-171+114+1015+373</f>
        <v>15087</v>
      </c>
      <c r="G10" s="548">
        <v>39069</v>
      </c>
      <c r="H10" s="548">
        <v>170</v>
      </c>
      <c r="I10" s="547"/>
      <c r="J10" s="547">
        <f>1015-1015</f>
        <v>0</v>
      </c>
      <c r="K10" s="547"/>
      <c r="L10" s="528">
        <f t="shared" si="1"/>
        <v>107118</v>
      </c>
      <c r="M10" s="547">
        <v>0</v>
      </c>
      <c r="N10" s="547"/>
      <c r="O10" s="547"/>
      <c r="P10" s="547"/>
      <c r="Q10" s="549">
        <f t="shared" si="2"/>
        <v>107118</v>
      </c>
      <c r="R10" s="551">
        <f>20.75-1+4</f>
        <v>23.75</v>
      </c>
    </row>
    <row r="11" spans="1:18" ht="11.25" customHeight="1">
      <c r="A11" s="50" t="s">
        <v>20</v>
      </c>
      <c r="B11" s="138"/>
      <c r="C11" s="122" t="s">
        <v>159</v>
      </c>
      <c r="D11" s="52" t="s">
        <v>200</v>
      </c>
      <c r="E11" s="514">
        <f>156992+393-366+1944+1929+632-421+208</f>
        <v>161311</v>
      </c>
      <c r="F11" s="514">
        <f>42284+106-5+642+370+534+58+171-114+2770+57</f>
        <v>46873</v>
      </c>
      <c r="G11" s="515">
        <f>14509+100+818+59+86+150</f>
        <v>15722</v>
      </c>
      <c r="H11" s="515"/>
      <c r="I11" s="514"/>
      <c r="J11" s="514">
        <f>2770+658-2770</f>
        <v>658</v>
      </c>
      <c r="K11" s="514"/>
      <c r="L11" s="516">
        <f t="shared" si="1"/>
        <v>224564</v>
      </c>
      <c r="M11" s="514">
        <v>0</v>
      </c>
      <c r="N11" s="514"/>
      <c r="O11" s="514"/>
      <c r="P11" s="514"/>
      <c r="Q11" s="53">
        <f t="shared" si="2"/>
        <v>224564</v>
      </c>
      <c r="R11" s="517">
        <v>55</v>
      </c>
    </row>
    <row r="12" spans="1:18" ht="11.25" customHeight="1">
      <c r="A12" s="50" t="s">
        <v>21</v>
      </c>
      <c r="B12" s="138"/>
      <c r="C12" s="122"/>
      <c r="D12" s="52" t="s">
        <v>201</v>
      </c>
      <c r="E12" s="514">
        <f>E13+E14</f>
        <v>27639</v>
      </c>
      <c r="F12" s="514">
        <f>F13+F14</f>
        <v>8190</v>
      </c>
      <c r="G12" s="514">
        <f>G13+G14</f>
        <v>31792</v>
      </c>
      <c r="H12" s="514"/>
      <c r="I12" s="514">
        <f>I13+I14</f>
        <v>0</v>
      </c>
      <c r="J12" s="514">
        <f>J13+J14</f>
        <v>11451</v>
      </c>
      <c r="K12" s="514">
        <f>K13+K14</f>
        <v>0</v>
      </c>
      <c r="L12" s="516">
        <f t="shared" si="1"/>
        <v>79072</v>
      </c>
      <c r="M12" s="514">
        <f>M13+M14</f>
        <v>0</v>
      </c>
      <c r="N12" s="514"/>
      <c r="O12" s="514">
        <f>O13+O14</f>
        <v>0</v>
      </c>
      <c r="P12" s="514">
        <f>P13+P14</f>
        <v>0</v>
      </c>
      <c r="Q12" s="53">
        <f t="shared" si="2"/>
        <v>79072</v>
      </c>
      <c r="R12" s="517">
        <f>R13+R14</f>
        <v>0</v>
      </c>
    </row>
    <row r="13" spans="1:18" s="110" customFormat="1" ht="11.25" customHeight="1">
      <c r="A13" s="120"/>
      <c r="B13" s="138" t="s">
        <v>19</v>
      </c>
      <c r="C13" s="121" t="s">
        <v>159</v>
      </c>
      <c r="D13" s="111" t="s">
        <v>170</v>
      </c>
      <c r="E13" s="547">
        <f>12647+11041+2969+1287+2293+774+1694-8384-2948</f>
        <v>21373</v>
      </c>
      <c r="F13" s="547">
        <f>3163+2182+865+380+537+256+148+459+22+1631-2472-813</f>
        <v>6358</v>
      </c>
      <c r="G13" s="548">
        <f>4627+19255+4025+13006+438+5091+470-18014+5+70</f>
        <v>28973</v>
      </c>
      <c r="H13" s="548"/>
      <c r="I13" s="547"/>
      <c r="J13" s="547">
        <f>450+1044+137+11451-1631</f>
        <v>11451</v>
      </c>
      <c r="K13" s="547">
        <v>0</v>
      </c>
      <c r="L13" s="528">
        <f t="shared" si="1"/>
        <v>68155</v>
      </c>
      <c r="M13" s="547">
        <v>0</v>
      </c>
      <c r="N13" s="547"/>
      <c r="O13" s="547"/>
      <c r="P13" s="547"/>
      <c r="Q13" s="549">
        <f t="shared" si="2"/>
        <v>68155</v>
      </c>
      <c r="R13" s="551">
        <v>0</v>
      </c>
    </row>
    <row r="14" spans="1:18" s="110" customFormat="1" ht="11.25" customHeight="1">
      <c r="A14" s="120"/>
      <c r="B14" s="138" t="s">
        <v>20</v>
      </c>
      <c r="C14" s="121" t="s">
        <v>160</v>
      </c>
      <c r="D14" s="111" t="s">
        <v>171</v>
      </c>
      <c r="E14" s="547">
        <f>9665+252+760-4411</f>
        <v>6266</v>
      </c>
      <c r="F14" s="547">
        <f>2038+84+48+199+8+769-1314</f>
        <v>1832</v>
      </c>
      <c r="G14" s="548">
        <f>5136+200-2517</f>
        <v>2819</v>
      </c>
      <c r="H14" s="548"/>
      <c r="I14" s="547"/>
      <c r="J14" s="547">
        <f>769-769</f>
        <v>0</v>
      </c>
      <c r="K14" s="547"/>
      <c r="L14" s="528">
        <f t="shared" si="1"/>
        <v>10917</v>
      </c>
      <c r="M14" s="547">
        <f>254-254</f>
        <v>0</v>
      </c>
      <c r="N14" s="547"/>
      <c r="O14" s="547"/>
      <c r="P14" s="547">
        <f>1820-1820</f>
        <v>0</v>
      </c>
      <c r="Q14" s="549">
        <f t="shared" si="2"/>
        <v>10917</v>
      </c>
      <c r="R14" s="529">
        <f>7-7</f>
        <v>0</v>
      </c>
    </row>
    <row r="15" spans="1:18" ht="11.25" customHeight="1">
      <c r="A15" s="50">
        <v>4</v>
      </c>
      <c r="B15" s="138"/>
      <c r="C15" s="122" t="s">
        <v>159</v>
      </c>
      <c r="D15" s="52" t="s">
        <v>83</v>
      </c>
      <c r="E15" s="514">
        <f>17565+252+613-581-100</f>
        <v>17749</v>
      </c>
      <c r="F15" s="514">
        <f>4710+84+48+156+8-158+100</f>
        <v>4948</v>
      </c>
      <c r="G15" s="515">
        <f>7685+220+1721-36+964</f>
        <v>10554</v>
      </c>
      <c r="H15" s="515"/>
      <c r="I15" s="514">
        <v>0</v>
      </c>
      <c r="J15" s="514">
        <v>1008</v>
      </c>
      <c r="K15" s="514"/>
      <c r="L15" s="516">
        <f t="shared" si="1"/>
        <v>34259</v>
      </c>
      <c r="M15" s="514">
        <v>0</v>
      </c>
      <c r="N15" s="514"/>
      <c r="O15" s="514">
        <v>0</v>
      </c>
      <c r="P15" s="514">
        <v>0</v>
      </c>
      <c r="Q15" s="53">
        <f t="shared" si="2"/>
        <v>34259</v>
      </c>
      <c r="R15" s="517">
        <f>8-1</f>
        <v>7</v>
      </c>
    </row>
    <row r="16" spans="1:18" ht="11.25" customHeight="1" thickBot="1">
      <c r="A16" s="50" t="s">
        <v>23</v>
      </c>
      <c r="B16" s="138"/>
      <c r="C16" s="122" t="s">
        <v>160</v>
      </c>
      <c r="D16" s="52" t="s">
        <v>84</v>
      </c>
      <c r="E16" s="514">
        <f>13604+216+406+44+100-565-93</f>
        <v>13712</v>
      </c>
      <c r="F16" s="514">
        <f>3124+72+42+107+52+50-154+521+93</f>
        <v>3907</v>
      </c>
      <c r="G16" s="515">
        <f>5005+714+17-100-50+167-42+19+42</f>
        <v>5772</v>
      </c>
      <c r="H16" s="515"/>
      <c r="I16" s="514"/>
      <c r="J16" s="514">
        <f>522+2460-521</f>
        <v>2461</v>
      </c>
      <c r="K16" s="514"/>
      <c r="L16" s="516">
        <f>SUM(E16:K16)</f>
        <v>25852</v>
      </c>
      <c r="M16" s="514">
        <v>0</v>
      </c>
      <c r="N16" s="514"/>
      <c r="O16" s="514"/>
      <c r="P16" s="514"/>
      <c r="Q16" s="53">
        <f t="shared" si="2"/>
        <v>25852</v>
      </c>
      <c r="R16" s="517">
        <f>6-1</f>
        <v>5</v>
      </c>
    </row>
    <row r="17" spans="1:18" ht="12.75" customHeight="1" thickBot="1">
      <c r="A17" s="977" t="s">
        <v>184</v>
      </c>
      <c r="B17" s="978"/>
      <c r="C17" s="978"/>
      <c r="D17" s="979"/>
      <c r="E17" s="542">
        <f>E8+E11+E12+E15+E16</f>
        <v>327424</v>
      </c>
      <c r="F17" s="542">
        <f aca="true" t="shared" si="3" ref="F17:K17">F8+F11+F12+F15+F16</f>
        <v>94585</v>
      </c>
      <c r="G17" s="542">
        <f t="shared" si="3"/>
        <v>115897</v>
      </c>
      <c r="H17" s="542">
        <f t="shared" si="3"/>
        <v>170</v>
      </c>
      <c r="I17" s="542">
        <f t="shared" si="3"/>
        <v>0</v>
      </c>
      <c r="J17" s="542">
        <f t="shared" si="3"/>
        <v>27508</v>
      </c>
      <c r="K17" s="542">
        <f t="shared" si="3"/>
        <v>0</v>
      </c>
      <c r="L17" s="552">
        <f>SUM(E17:K17)</f>
        <v>565584</v>
      </c>
      <c r="M17" s="542">
        <f>M8+M11+M12+M15+M16</f>
        <v>0</v>
      </c>
      <c r="N17" s="542"/>
      <c r="O17" s="542">
        <f>O8+O11+O12+O15+O16</f>
        <v>0</v>
      </c>
      <c r="P17" s="542">
        <f>P8+P11+P12+P15+P16</f>
        <v>0</v>
      </c>
      <c r="Q17" s="542">
        <f aca="true" t="shared" si="4" ref="Q17:Q27">SUM(L17:P17)</f>
        <v>565584</v>
      </c>
      <c r="R17" s="544">
        <f>R8+R11+R12+R15+R16</f>
        <v>117.25</v>
      </c>
    </row>
    <row r="18" spans="1:18" s="110" customFormat="1" ht="12.75" customHeight="1">
      <c r="A18" s="966" t="s">
        <v>170</v>
      </c>
      <c r="B18" s="967"/>
      <c r="C18" s="967"/>
      <c r="D18" s="968"/>
      <c r="E18" s="589">
        <f>E9+E11+E13+E15</f>
        <v>254654</v>
      </c>
      <c r="F18" s="589">
        <f aca="true" t="shared" si="5" ref="F18:K18">F9+F11+F13+F15</f>
        <v>73759</v>
      </c>
      <c r="G18" s="589">
        <f t="shared" si="5"/>
        <v>68237</v>
      </c>
      <c r="H18" s="589">
        <f t="shared" si="5"/>
        <v>0</v>
      </c>
      <c r="I18" s="589">
        <f t="shared" si="5"/>
        <v>0</v>
      </c>
      <c r="J18" s="589">
        <f t="shared" si="5"/>
        <v>25047</v>
      </c>
      <c r="K18" s="589">
        <f t="shared" si="5"/>
        <v>0</v>
      </c>
      <c r="L18" s="590">
        <f t="shared" si="1"/>
        <v>421697</v>
      </c>
      <c r="M18" s="589">
        <f>M9+M11+M13+M15</f>
        <v>0</v>
      </c>
      <c r="N18" s="589"/>
      <c r="O18" s="589">
        <f>O9+O13+O15</f>
        <v>0</v>
      </c>
      <c r="P18" s="589">
        <f>P9+P13+P15</f>
        <v>0</v>
      </c>
      <c r="Q18" s="590">
        <f t="shared" si="4"/>
        <v>421697</v>
      </c>
      <c r="R18" s="591">
        <f>R9+R13+R15+R11</f>
        <v>88.5</v>
      </c>
    </row>
    <row r="19" spans="1:18" s="110" customFormat="1" ht="12.75" customHeight="1">
      <c r="A19" s="933" t="s">
        <v>202</v>
      </c>
      <c r="B19" s="934"/>
      <c r="C19" s="934"/>
      <c r="D19" s="935"/>
      <c r="E19" s="526">
        <v>0</v>
      </c>
      <c r="F19" s="526">
        <v>0</v>
      </c>
      <c r="G19" s="526">
        <v>0</v>
      </c>
      <c r="H19" s="526">
        <v>0</v>
      </c>
      <c r="I19" s="526">
        <v>0</v>
      </c>
      <c r="J19" s="527">
        <v>0</v>
      </c>
      <c r="K19" s="526">
        <v>0</v>
      </c>
      <c r="L19" s="528">
        <v>0</v>
      </c>
      <c r="M19" s="526">
        <v>0</v>
      </c>
      <c r="N19" s="526"/>
      <c r="O19" s="526">
        <v>0</v>
      </c>
      <c r="P19" s="526">
        <v>0</v>
      </c>
      <c r="Q19" s="528">
        <v>0</v>
      </c>
      <c r="R19" s="592">
        <v>0</v>
      </c>
    </row>
    <row r="20" spans="1:18" s="110" customFormat="1" ht="12.75" customHeight="1" thickBot="1">
      <c r="A20" s="969" t="s">
        <v>193</v>
      </c>
      <c r="B20" s="970"/>
      <c r="C20" s="970"/>
      <c r="D20" s="971"/>
      <c r="E20" s="593">
        <f>E10+E14+E16</f>
        <v>72770</v>
      </c>
      <c r="F20" s="593">
        <f aca="true" t="shared" si="6" ref="F20:K20">F10+F14+F16</f>
        <v>20826</v>
      </c>
      <c r="G20" s="593">
        <f t="shared" si="6"/>
        <v>47660</v>
      </c>
      <c r="H20" s="593">
        <f t="shared" si="6"/>
        <v>170</v>
      </c>
      <c r="I20" s="593">
        <f t="shared" si="6"/>
        <v>0</v>
      </c>
      <c r="J20" s="593">
        <f t="shared" si="6"/>
        <v>2461</v>
      </c>
      <c r="K20" s="593">
        <f t="shared" si="6"/>
        <v>0</v>
      </c>
      <c r="L20" s="594">
        <f t="shared" si="1"/>
        <v>143887</v>
      </c>
      <c r="M20" s="593">
        <f>M10+M14+M16</f>
        <v>0</v>
      </c>
      <c r="N20" s="593"/>
      <c r="O20" s="593">
        <f>O10+O11+O14+O16</f>
        <v>0</v>
      </c>
      <c r="P20" s="593">
        <f>P10+P11+P14+P16</f>
        <v>0</v>
      </c>
      <c r="Q20" s="594">
        <f t="shared" si="4"/>
        <v>143887</v>
      </c>
      <c r="R20" s="595">
        <f>R10+R14+R16</f>
        <v>28.75</v>
      </c>
    </row>
    <row r="21" spans="1:18" ht="12.75" customHeight="1">
      <c r="A21" s="77" t="s">
        <v>24</v>
      </c>
      <c r="B21" s="153" t="s">
        <v>382</v>
      </c>
      <c r="C21" s="107"/>
      <c r="D21" s="87" t="s">
        <v>196</v>
      </c>
      <c r="E21" s="530">
        <f aca="true" t="shared" si="7" ref="E21:J21">E22+E25+E26+E27+E28+E29</f>
        <v>145812</v>
      </c>
      <c r="F21" s="530">
        <f t="shared" si="7"/>
        <v>41584</v>
      </c>
      <c r="G21" s="530">
        <f t="shared" si="7"/>
        <v>33561</v>
      </c>
      <c r="H21" s="530">
        <f t="shared" si="7"/>
        <v>0</v>
      </c>
      <c r="I21" s="530">
        <f t="shared" si="7"/>
        <v>0</v>
      </c>
      <c r="J21" s="530">
        <f t="shared" si="7"/>
        <v>15145</v>
      </c>
      <c r="K21" s="530">
        <f>K22+K25+K26+K27</f>
        <v>0</v>
      </c>
      <c r="L21" s="530">
        <f>SUM(E21:K21)</f>
        <v>236102</v>
      </c>
      <c r="M21" s="530">
        <f>M22+M25+M26+M31+M32+M33+M34+M35+M36</f>
        <v>0</v>
      </c>
      <c r="N21" s="530"/>
      <c r="O21" s="530">
        <f>O22+O25+O26+O31+O32+O33+O34+O35+O36</f>
        <v>0</v>
      </c>
      <c r="P21" s="530">
        <f>P22+P25+P26+P31+P32+P33+P34+P35+P36</f>
        <v>0</v>
      </c>
      <c r="Q21" s="530">
        <f>SUM(L21:P21)</f>
        <v>236102</v>
      </c>
      <c r="R21" s="531">
        <f>R22+R25+R26</f>
        <v>45</v>
      </c>
    </row>
    <row r="22" spans="1:18" ht="11.25" customHeight="1">
      <c r="A22" s="88"/>
      <c r="B22" s="184">
        <v>1.1</v>
      </c>
      <c r="C22" s="113"/>
      <c r="D22" s="89" t="s">
        <v>92</v>
      </c>
      <c r="E22" s="520">
        <f>E23+E24</f>
        <v>125704</v>
      </c>
      <c r="F22" s="520">
        <f aca="true" t="shared" si="8" ref="F22:K22">F23+F24</f>
        <v>35820</v>
      </c>
      <c r="G22" s="520">
        <f t="shared" si="8"/>
        <v>33561</v>
      </c>
      <c r="H22" s="520"/>
      <c r="I22" s="520">
        <f t="shared" si="8"/>
        <v>0</v>
      </c>
      <c r="J22" s="520">
        <f t="shared" si="8"/>
        <v>15145</v>
      </c>
      <c r="K22" s="520">
        <f t="shared" si="8"/>
        <v>0</v>
      </c>
      <c r="L22" s="516">
        <f aca="true" t="shared" si="9" ref="L22:L27">SUM(E22:K22)</f>
        <v>210230</v>
      </c>
      <c r="M22" s="520">
        <f>M23+M24</f>
        <v>0</v>
      </c>
      <c r="N22" s="520"/>
      <c r="O22" s="520">
        <f>O23+O24</f>
        <v>0</v>
      </c>
      <c r="P22" s="520">
        <f>P23+P24</f>
        <v>0</v>
      </c>
      <c r="Q22" s="516">
        <f t="shared" si="4"/>
        <v>210230</v>
      </c>
      <c r="R22" s="523">
        <f>R23+R24</f>
        <v>39.599999999999994</v>
      </c>
    </row>
    <row r="23" spans="1:18" s="110" customFormat="1" ht="11.25" customHeight="1">
      <c r="A23" s="159"/>
      <c r="B23" s="185"/>
      <c r="C23" s="117" t="s">
        <v>159</v>
      </c>
      <c r="D23" s="160" t="s">
        <v>170</v>
      </c>
      <c r="E23" s="526">
        <f>69299+2960+3166+265+49+6+123+900+700+1200+1000+1000+386+839+1640+160</f>
        <v>83693</v>
      </c>
      <c r="F23" s="526">
        <f>18711+800+1614+135+510+270+1000-386+221+800+443</f>
        <v>24118</v>
      </c>
      <c r="G23" s="526">
        <f>20000+1561+4318+2000</f>
        <v>27879</v>
      </c>
      <c r="H23" s="526"/>
      <c r="I23" s="526"/>
      <c r="J23" s="526">
        <v>15145</v>
      </c>
      <c r="K23" s="526"/>
      <c r="L23" s="528">
        <f t="shared" si="9"/>
        <v>150835</v>
      </c>
      <c r="M23" s="526">
        <f>3000-3000</f>
        <v>0</v>
      </c>
      <c r="N23" s="526"/>
      <c r="O23" s="526"/>
      <c r="P23" s="526"/>
      <c r="Q23" s="528">
        <f>SUM(L23:P23)</f>
        <v>150835</v>
      </c>
      <c r="R23" s="529">
        <f>25.4+1</f>
        <v>26.4</v>
      </c>
    </row>
    <row r="24" spans="1:18" s="110" customFormat="1" ht="11.25" customHeight="1">
      <c r="A24" s="159"/>
      <c r="B24" s="185"/>
      <c r="C24" s="117" t="s">
        <v>207</v>
      </c>
      <c r="D24" s="160" t="s">
        <v>202</v>
      </c>
      <c r="E24" s="526">
        <f>39887+1749+26+412+197+140-200-200</f>
        <v>42011</v>
      </c>
      <c r="F24" s="526">
        <f>10770+891-197+38+200</f>
        <v>11702</v>
      </c>
      <c r="G24" s="526">
        <f>10000-4318</f>
        <v>5682</v>
      </c>
      <c r="H24" s="526"/>
      <c r="I24" s="526"/>
      <c r="J24" s="527"/>
      <c r="K24" s="526"/>
      <c r="L24" s="528">
        <f t="shared" si="9"/>
        <v>59395</v>
      </c>
      <c r="M24" s="526"/>
      <c r="N24" s="526"/>
      <c r="O24" s="526"/>
      <c r="P24" s="526"/>
      <c r="Q24" s="528">
        <f>SUM(L24:P24)</f>
        <v>59395</v>
      </c>
      <c r="R24" s="529">
        <v>13.2</v>
      </c>
    </row>
    <row r="25" spans="1:18" ht="11.25" customHeight="1">
      <c r="A25" s="88"/>
      <c r="B25" s="184">
        <v>1.2</v>
      </c>
      <c r="C25" s="113" t="s">
        <v>159</v>
      </c>
      <c r="D25" s="89" t="s">
        <v>208</v>
      </c>
      <c r="E25" s="520">
        <f>1329+27+2</f>
        <v>1358</v>
      </c>
      <c r="F25" s="520">
        <f>359+13-2+2</f>
        <v>372</v>
      </c>
      <c r="G25" s="520">
        <v>0</v>
      </c>
      <c r="H25" s="520"/>
      <c r="I25" s="520"/>
      <c r="J25" s="521"/>
      <c r="K25" s="520"/>
      <c r="L25" s="516">
        <f t="shared" si="9"/>
        <v>1730</v>
      </c>
      <c r="M25" s="520"/>
      <c r="N25" s="520"/>
      <c r="O25" s="520"/>
      <c r="P25" s="520"/>
      <c r="Q25" s="516">
        <f>SUM(L25:P25)</f>
        <v>1730</v>
      </c>
      <c r="R25" s="523">
        <v>0.2</v>
      </c>
    </row>
    <row r="26" spans="1:18" ht="11.25" customHeight="1">
      <c r="A26" s="88"/>
      <c r="B26" s="184">
        <v>1.3</v>
      </c>
      <c r="C26" s="113" t="s">
        <v>160</v>
      </c>
      <c r="D26" s="89" t="s">
        <v>93</v>
      </c>
      <c r="E26" s="520">
        <f>12627+689+10+78+450+200-72</f>
        <v>13982</v>
      </c>
      <c r="F26" s="520">
        <f>3410+351-78+122+300</f>
        <v>4105</v>
      </c>
      <c r="G26" s="520">
        <v>0</v>
      </c>
      <c r="H26" s="520"/>
      <c r="I26" s="520"/>
      <c r="J26" s="521"/>
      <c r="K26" s="520"/>
      <c r="L26" s="516">
        <f t="shared" si="9"/>
        <v>18087</v>
      </c>
      <c r="M26" s="520"/>
      <c r="N26" s="520"/>
      <c r="O26" s="520"/>
      <c r="P26" s="520"/>
      <c r="Q26" s="516">
        <f t="shared" si="4"/>
        <v>18087</v>
      </c>
      <c r="R26" s="523">
        <v>5.2</v>
      </c>
    </row>
    <row r="27" spans="1:18" ht="11.25" customHeight="1">
      <c r="A27" s="180"/>
      <c r="B27" s="187">
        <v>1.4</v>
      </c>
      <c r="C27" s="122" t="s">
        <v>159</v>
      </c>
      <c r="D27" s="195" t="s">
        <v>249</v>
      </c>
      <c r="E27" s="514">
        <v>2040</v>
      </c>
      <c r="F27" s="514">
        <v>551</v>
      </c>
      <c r="G27" s="514"/>
      <c r="H27" s="514"/>
      <c r="I27" s="514"/>
      <c r="J27" s="525"/>
      <c r="K27" s="514"/>
      <c r="L27" s="516">
        <f t="shared" si="9"/>
        <v>2591</v>
      </c>
      <c r="M27" s="514"/>
      <c r="N27" s="514"/>
      <c r="O27" s="514"/>
      <c r="P27" s="514"/>
      <c r="Q27" s="516">
        <f t="shared" si="4"/>
        <v>2591</v>
      </c>
      <c r="R27" s="517"/>
    </row>
    <row r="28" spans="1:18" ht="21" customHeight="1">
      <c r="A28" s="180"/>
      <c r="B28" s="187">
        <v>1.5</v>
      </c>
      <c r="C28" s="122" t="s">
        <v>160</v>
      </c>
      <c r="D28" s="741" t="s">
        <v>468</v>
      </c>
      <c r="E28" s="514">
        <v>1590</v>
      </c>
      <c r="F28" s="514">
        <v>429</v>
      </c>
      <c r="G28" s="514"/>
      <c r="H28" s="514"/>
      <c r="I28" s="514"/>
      <c r="J28" s="525"/>
      <c r="K28" s="514"/>
      <c r="L28" s="560">
        <f>SUM(E28:K28)</f>
        <v>2019</v>
      </c>
      <c r="M28" s="514"/>
      <c r="N28" s="514"/>
      <c r="O28" s="514"/>
      <c r="P28" s="514"/>
      <c r="Q28" s="560">
        <f>SUM(L28:P28)</f>
        <v>2019</v>
      </c>
      <c r="R28" s="517"/>
    </row>
    <row r="29" spans="1:18" ht="21" customHeight="1">
      <c r="A29" s="180"/>
      <c r="B29" s="187">
        <v>1.6</v>
      </c>
      <c r="C29" s="122" t="s">
        <v>160</v>
      </c>
      <c r="D29" s="741" t="s">
        <v>228</v>
      </c>
      <c r="E29" s="514">
        <v>1138</v>
      </c>
      <c r="F29" s="514">
        <v>307</v>
      </c>
      <c r="G29" s="514"/>
      <c r="H29" s="514"/>
      <c r="I29" s="514"/>
      <c r="J29" s="525"/>
      <c r="K29" s="514"/>
      <c r="L29" s="560">
        <f>SUM(E29:K29)</f>
        <v>1445</v>
      </c>
      <c r="M29" s="514"/>
      <c r="N29" s="514"/>
      <c r="O29" s="514"/>
      <c r="P29" s="514"/>
      <c r="Q29" s="560">
        <f>SUM(L29:P29)</f>
        <v>1445</v>
      </c>
      <c r="R29" s="517"/>
    </row>
    <row r="30" spans="1:18" s="70" customFormat="1" ht="11.25" customHeight="1">
      <c r="A30" s="181"/>
      <c r="B30" s="186" t="s">
        <v>20</v>
      </c>
      <c r="C30" s="182"/>
      <c r="D30" s="183" t="s">
        <v>237</v>
      </c>
      <c r="E30" s="560">
        <f aca="true" t="shared" si="10" ref="E30:L30">SUM(E31:E36)</f>
        <v>0</v>
      </c>
      <c r="F30" s="560">
        <f t="shared" si="10"/>
        <v>0</v>
      </c>
      <c r="G30" s="560">
        <f t="shared" si="10"/>
        <v>0</v>
      </c>
      <c r="H30" s="560">
        <f t="shared" si="10"/>
        <v>21638</v>
      </c>
      <c r="I30" s="560">
        <f t="shared" si="10"/>
        <v>0</v>
      </c>
      <c r="J30" s="560">
        <f t="shared" si="10"/>
        <v>0</v>
      </c>
      <c r="K30" s="560">
        <f t="shared" si="10"/>
        <v>0</v>
      </c>
      <c r="L30" s="560">
        <f t="shared" si="10"/>
        <v>21638</v>
      </c>
      <c r="M30" s="560"/>
      <c r="N30" s="560"/>
      <c r="O30" s="560"/>
      <c r="P30" s="560"/>
      <c r="Q30" s="560">
        <f>SUM(Q31:Q36)</f>
        <v>21638</v>
      </c>
      <c r="R30" s="517"/>
    </row>
    <row r="31" spans="1:18" ht="11.25" customHeight="1">
      <c r="A31" s="180"/>
      <c r="B31" s="187">
        <v>2.1</v>
      </c>
      <c r="C31" s="122" t="s">
        <v>159</v>
      </c>
      <c r="D31" s="63" t="s">
        <v>174</v>
      </c>
      <c r="E31" s="210"/>
      <c r="F31" s="210"/>
      <c r="G31" s="64"/>
      <c r="H31" s="64">
        <f>3000+1281</f>
        <v>4281</v>
      </c>
      <c r="I31" s="520">
        <v>0</v>
      </c>
      <c r="J31" s="520">
        <v>0</v>
      </c>
      <c r="K31" s="514"/>
      <c r="L31" s="560">
        <f aca="true" t="shared" si="11" ref="L31:L36">SUM(E31:K31)</f>
        <v>4281</v>
      </c>
      <c r="M31" s="514"/>
      <c r="N31" s="514"/>
      <c r="O31" s="514"/>
      <c r="P31" s="514"/>
      <c r="Q31" s="560">
        <f>L31</f>
        <v>4281</v>
      </c>
      <c r="R31" s="207"/>
    </row>
    <row r="32" spans="1:18" ht="11.25" customHeight="1">
      <c r="A32" s="180"/>
      <c r="B32" s="187">
        <v>2.2</v>
      </c>
      <c r="C32" s="122" t="s">
        <v>159</v>
      </c>
      <c r="D32" s="63" t="s">
        <v>110</v>
      </c>
      <c r="E32" s="210"/>
      <c r="F32" s="210"/>
      <c r="G32" s="64"/>
      <c r="H32" s="64">
        <f>7000+303</f>
        <v>7303</v>
      </c>
      <c r="I32" s="520">
        <v>0</v>
      </c>
      <c r="J32" s="520">
        <v>0</v>
      </c>
      <c r="K32" s="514"/>
      <c r="L32" s="560">
        <f t="shared" si="11"/>
        <v>7303</v>
      </c>
      <c r="M32" s="514"/>
      <c r="N32" s="514"/>
      <c r="O32" s="514"/>
      <c r="P32" s="514"/>
      <c r="Q32" s="560">
        <f aca="true" t="shared" si="12" ref="Q32:Q38">L32</f>
        <v>7303</v>
      </c>
      <c r="R32" s="207"/>
    </row>
    <row r="33" spans="1:18" ht="11.25" customHeight="1">
      <c r="A33" s="180"/>
      <c r="B33" s="187">
        <v>2.3</v>
      </c>
      <c r="C33" s="122" t="s">
        <v>159</v>
      </c>
      <c r="D33" s="63" t="s">
        <v>251</v>
      </c>
      <c r="E33" s="210"/>
      <c r="F33" s="210"/>
      <c r="G33" s="64"/>
      <c r="H33" s="64">
        <v>600</v>
      </c>
      <c r="I33" s="520">
        <v>0</v>
      </c>
      <c r="J33" s="520">
        <v>0</v>
      </c>
      <c r="K33" s="514"/>
      <c r="L33" s="560">
        <f t="shared" si="11"/>
        <v>600</v>
      </c>
      <c r="M33" s="514"/>
      <c r="N33" s="514"/>
      <c r="O33" s="514"/>
      <c r="P33" s="514"/>
      <c r="Q33" s="560">
        <f t="shared" si="12"/>
        <v>600</v>
      </c>
      <c r="R33" s="207"/>
    </row>
    <row r="34" spans="1:18" ht="11.25" customHeight="1">
      <c r="A34" s="180"/>
      <c r="B34" s="187">
        <v>2.4</v>
      </c>
      <c r="C34" s="122" t="s">
        <v>159</v>
      </c>
      <c r="D34" s="63" t="s">
        <v>173</v>
      </c>
      <c r="E34" s="210"/>
      <c r="F34" s="210"/>
      <c r="G34" s="64"/>
      <c r="H34" s="64">
        <f>6600+2704</f>
        <v>9304</v>
      </c>
      <c r="I34" s="520">
        <v>0</v>
      </c>
      <c r="J34" s="520">
        <v>0</v>
      </c>
      <c r="K34" s="514"/>
      <c r="L34" s="560">
        <f t="shared" si="11"/>
        <v>9304</v>
      </c>
      <c r="M34" s="514"/>
      <c r="N34" s="514"/>
      <c r="O34" s="514"/>
      <c r="P34" s="514"/>
      <c r="Q34" s="560">
        <f t="shared" si="12"/>
        <v>9304</v>
      </c>
      <c r="R34" s="207"/>
    </row>
    <row r="35" spans="1:18" ht="11.25" customHeight="1">
      <c r="A35" s="180"/>
      <c r="B35" s="187">
        <v>2.5</v>
      </c>
      <c r="C35" s="122" t="s">
        <v>159</v>
      </c>
      <c r="D35" s="63" t="s">
        <v>90</v>
      </c>
      <c r="E35" s="210"/>
      <c r="F35" s="210"/>
      <c r="G35" s="64"/>
      <c r="H35" s="64">
        <v>50</v>
      </c>
      <c r="I35" s="520">
        <v>0</v>
      </c>
      <c r="J35" s="520">
        <v>0</v>
      </c>
      <c r="K35" s="514"/>
      <c r="L35" s="560">
        <f t="shared" si="11"/>
        <v>50</v>
      </c>
      <c r="M35" s="514"/>
      <c r="N35" s="514"/>
      <c r="O35" s="514"/>
      <c r="P35" s="514"/>
      <c r="Q35" s="560">
        <f t="shared" si="12"/>
        <v>50</v>
      </c>
      <c r="R35" s="207"/>
    </row>
    <row r="36" spans="1:18" ht="11.25" customHeight="1">
      <c r="A36" s="180"/>
      <c r="B36" s="187">
        <v>2.6</v>
      </c>
      <c r="C36" s="122" t="s">
        <v>159</v>
      </c>
      <c r="D36" s="76" t="s">
        <v>80</v>
      </c>
      <c r="E36" s="524"/>
      <c r="F36" s="524"/>
      <c r="G36" s="68">
        <v>0</v>
      </c>
      <c r="H36" s="68">
        <v>100</v>
      </c>
      <c r="I36" s="524">
        <v>0</v>
      </c>
      <c r="J36" s="524">
        <v>0</v>
      </c>
      <c r="K36" s="514"/>
      <c r="L36" s="560">
        <f t="shared" si="11"/>
        <v>100</v>
      </c>
      <c r="M36" s="514"/>
      <c r="N36" s="514"/>
      <c r="O36" s="514"/>
      <c r="P36" s="514"/>
      <c r="Q36" s="560">
        <f t="shared" si="12"/>
        <v>100</v>
      </c>
      <c r="R36" s="207"/>
    </row>
    <row r="37" spans="1:18" s="70" customFormat="1" ht="11.25" customHeight="1">
      <c r="A37" s="181"/>
      <c r="B37" s="186" t="s">
        <v>21</v>
      </c>
      <c r="C37" s="182"/>
      <c r="D37" s="188" t="s">
        <v>92</v>
      </c>
      <c r="E37" s="516">
        <f>E39+E38</f>
        <v>0</v>
      </c>
      <c r="F37" s="516">
        <f aca="true" t="shared" si="13" ref="F37:K37">F39+F38</f>
        <v>0</v>
      </c>
      <c r="G37" s="516">
        <f t="shared" si="13"/>
        <v>8000</v>
      </c>
      <c r="H37" s="516">
        <f t="shared" si="13"/>
        <v>0</v>
      </c>
      <c r="I37" s="516">
        <f t="shared" si="13"/>
        <v>0</v>
      </c>
      <c r="J37" s="516">
        <f t="shared" si="13"/>
        <v>0</v>
      </c>
      <c r="K37" s="516">
        <f t="shared" si="13"/>
        <v>0</v>
      </c>
      <c r="L37" s="560">
        <f>G37+F37+E37</f>
        <v>8000</v>
      </c>
      <c r="M37" s="560"/>
      <c r="N37" s="560"/>
      <c r="O37" s="560"/>
      <c r="P37" s="560"/>
      <c r="Q37" s="560">
        <f t="shared" si="12"/>
        <v>8000</v>
      </c>
      <c r="R37" s="517"/>
    </row>
    <row r="38" spans="1:18" ht="11.25" customHeight="1">
      <c r="A38" s="180"/>
      <c r="B38" s="187">
        <v>3.1</v>
      </c>
      <c r="C38" s="122" t="s">
        <v>159</v>
      </c>
      <c r="D38" s="68" t="s">
        <v>238</v>
      </c>
      <c r="E38" s="520"/>
      <c r="F38" s="520"/>
      <c r="G38" s="64">
        <f>9000-2000</f>
        <v>7000</v>
      </c>
      <c r="H38" s="64"/>
      <c r="I38" s="520"/>
      <c r="J38" s="520"/>
      <c r="K38" s="514"/>
      <c r="L38" s="560">
        <f>G38</f>
        <v>7000</v>
      </c>
      <c r="M38" s="514"/>
      <c r="N38" s="514"/>
      <c r="O38" s="514"/>
      <c r="P38" s="514"/>
      <c r="Q38" s="560">
        <f t="shared" si="12"/>
        <v>7000</v>
      </c>
      <c r="R38" s="517"/>
    </row>
    <row r="39" spans="1:18" ht="11.25" customHeight="1" thickBot="1">
      <c r="A39" s="180"/>
      <c r="B39" s="187">
        <v>3.2</v>
      </c>
      <c r="C39" s="122" t="s">
        <v>159</v>
      </c>
      <c r="D39" s="64" t="s">
        <v>89</v>
      </c>
      <c r="E39" s="520"/>
      <c r="F39" s="520"/>
      <c r="G39" s="64">
        <v>1000</v>
      </c>
      <c r="H39" s="64"/>
      <c r="I39" s="520"/>
      <c r="J39" s="520"/>
      <c r="K39" s="514"/>
      <c r="L39" s="560">
        <f>G39</f>
        <v>1000</v>
      </c>
      <c r="M39" s="514"/>
      <c r="N39" s="514"/>
      <c r="O39" s="514"/>
      <c r="P39" s="514"/>
      <c r="Q39" s="560">
        <f>L39</f>
        <v>1000</v>
      </c>
      <c r="R39" s="517"/>
    </row>
    <row r="40" spans="1:18" ht="14.25" customHeight="1">
      <c r="A40" s="921" t="s">
        <v>224</v>
      </c>
      <c r="B40" s="922"/>
      <c r="C40" s="922"/>
      <c r="D40" s="922"/>
      <c r="E40" s="552">
        <f>E21+E30+E37</f>
        <v>145812</v>
      </c>
      <c r="F40" s="552">
        <f aca="true" t="shared" si="14" ref="F40:K40">F21+F30+F37</f>
        <v>41584</v>
      </c>
      <c r="G40" s="552">
        <f t="shared" si="14"/>
        <v>41561</v>
      </c>
      <c r="H40" s="552">
        <f t="shared" si="14"/>
        <v>21638</v>
      </c>
      <c r="I40" s="552">
        <f t="shared" si="14"/>
        <v>0</v>
      </c>
      <c r="J40" s="552">
        <f t="shared" si="14"/>
        <v>15145</v>
      </c>
      <c r="K40" s="552">
        <f t="shared" si="14"/>
        <v>0</v>
      </c>
      <c r="L40" s="552">
        <f>SUM(E40:K40)</f>
        <v>265740</v>
      </c>
      <c r="M40" s="552">
        <f>M21</f>
        <v>0</v>
      </c>
      <c r="N40" s="552"/>
      <c r="O40" s="552">
        <f>O21</f>
        <v>0</v>
      </c>
      <c r="P40" s="552">
        <f>P21</f>
        <v>0</v>
      </c>
      <c r="Q40" s="49">
        <f>SUM(L40:P40)</f>
        <v>265740</v>
      </c>
      <c r="R40" s="578">
        <f>R21</f>
        <v>45</v>
      </c>
    </row>
    <row r="41" spans="1:18" s="110" customFormat="1" ht="10.5" customHeight="1">
      <c r="A41" s="933" t="s">
        <v>170</v>
      </c>
      <c r="B41" s="934"/>
      <c r="C41" s="934"/>
      <c r="D41" s="935"/>
      <c r="E41" s="526">
        <f>E23+E25+E36+E38+E39+E31+E32+E33+E34+E35+E27</f>
        <v>87091</v>
      </c>
      <c r="F41" s="526">
        <f aca="true" t="shared" si="15" ref="F41:K41">F23+F25+F36+F38+F39+F31+F32+F33+F34+F35+F27</f>
        <v>25041</v>
      </c>
      <c r="G41" s="526">
        <f t="shared" si="15"/>
        <v>35879</v>
      </c>
      <c r="H41" s="526">
        <f t="shared" si="15"/>
        <v>21638</v>
      </c>
      <c r="I41" s="526">
        <f t="shared" si="15"/>
        <v>0</v>
      </c>
      <c r="J41" s="526">
        <f t="shared" si="15"/>
        <v>15145</v>
      </c>
      <c r="K41" s="526">
        <f t="shared" si="15"/>
        <v>0</v>
      </c>
      <c r="L41" s="528">
        <f>SUM(E41:K41)</f>
        <v>184794</v>
      </c>
      <c r="M41" s="526">
        <f>M23+M25+M36</f>
        <v>0</v>
      </c>
      <c r="N41" s="526"/>
      <c r="O41" s="526">
        <f>O23+O25+O36</f>
        <v>0</v>
      </c>
      <c r="P41" s="526">
        <f>P23+P25+P36</f>
        <v>0</v>
      </c>
      <c r="Q41" s="604">
        <f>SUM(L41:P41)</f>
        <v>184794</v>
      </c>
      <c r="R41" s="592">
        <f>R23+R25+R36</f>
        <v>26.599999999999998</v>
      </c>
    </row>
    <row r="42" spans="1:18" s="110" customFormat="1" ht="10.5" customHeight="1">
      <c r="A42" s="933" t="s">
        <v>202</v>
      </c>
      <c r="B42" s="934"/>
      <c r="C42" s="934"/>
      <c r="D42" s="935"/>
      <c r="E42" s="526">
        <f>E24</f>
        <v>42011</v>
      </c>
      <c r="F42" s="526">
        <f>F24</f>
        <v>11702</v>
      </c>
      <c r="G42" s="526">
        <f>G24</f>
        <v>5682</v>
      </c>
      <c r="H42" s="526">
        <v>0</v>
      </c>
      <c r="I42" s="526">
        <f>I24</f>
        <v>0</v>
      </c>
      <c r="J42" s="526">
        <f>J24</f>
        <v>0</v>
      </c>
      <c r="K42" s="526">
        <f>K24+K26</f>
        <v>0</v>
      </c>
      <c r="L42" s="528">
        <f>SUM(E42:K42)</f>
        <v>59395</v>
      </c>
      <c r="M42" s="526">
        <f>M24+M31+M32+M33+M34+M35</f>
        <v>0</v>
      </c>
      <c r="N42" s="526"/>
      <c r="O42" s="526">
        <f>O24+O26</f>
        <v>0</v>
      </c>
      <c r="P42" s="526">
        <f>P24+P26</f>
        <v>0</v>
      </c>
      <c r="Q42" s="604">
        <f>SUM(L42:P42)</f>
        <v>59395</v>
      </c>
      <c r="R42" s="592">
        <f>R24+R31+R32+R33+R34+R35</f>
        <v>13.2</v>
      </c>
    </row>
    <row r="43" spans="1:18" s="110" customFormat="1" ht="10.5" customHeight="1" thickBot="1">
      <c r="A43" s="969" t="s">
        <v>171</v>
      </c>
      <c r="B43" s="970"/>
      <c r="C43" s="970"/>
      <c r="D43" s="971"/>
      <c r="E43" s="593">
        <f>E26+E28+E29</f>
        <v>16710</v>
      </c>
      <c r="F43" s="593">
        <f>F26+F28+F29</f>
        <v>4841</v>
      </c>
      <c r="G43" s="593">
        <f>G26+G28</f>
        <v>0</v>
      </c>
      <c r="H43" s="593">
        <f>H26</f>
        <v>0</v>
      </c>
      <c r="I43" s="593">
        <f>I26</f>
        <v>0</v>
      </c>
      <c r="J43" s="593">
        <f>J26</f>
        <v>0</v>
      </c>
      <c r="K43" s="593">
        <f>K26</f>
        <v>0</v>
      </c>
      <c r="L43" s="594">
        <f>SUM(E43:K43)</f>
        <v>21551</v>
      </c>
      <c r="M43" s="593">
        <f>M26</f>
        <v>0</v>
      </c>
      <c r="N43" s="593"/>
      <c r="O43" s="593">
        <f>O26</f>
        <v>0</v>
      </c>
      <c r="P43" s="593">
        <f>P26</f>
        <v>0</v>
      </c>
      <c r="Q43" s="627">
        <f>SUM(L43:P43)</f>
        <v>21551</v>
      </c>
      <c r="R43" s="628">
        <f>R26</f>
        <v>5.2</v>
      </c>
    </row>
    <row r="44" spans="1:18" s="70" customFormat="1" ht="12.75" customHeight="1" thickBot="1">
      <c r="A44" s="77" t="s">
        <v>25</v>
      </c>
      <c r="B44" s="153" t="s">
        <v>19</v>
      </c>
      <c r="C44" s="154" t="s">
        <v>159</v>
      </c>
      <c r="D44" s="79" t="s">
        <v>95</v>
      </c>
      <c r="E44" s="530">
        <v>0</v>
      </c>
      <c r="F44" s="530">
        <v>0</v>
      </c>
      <c r="G44" s="530">
        <v>7290</v>
      </c>
      <c r="H44" s="530"/>
      <c r="I44" s="530">
        <v>0</v>
      </c>
      <c r="J44" s="530">
        <f>957+31+138000+6612</f>
        <v>145600</v>
      </c>
      <c r="K44" s="530">
        <v>0</v>
      </c>
      <c r="L44" s="530">
        <f>SUM(E44:K44)</f>
        <v>152890</v>
      </c>
      <c r="M44" s="530">
        <v>322</v>
      </c>
      <c r="N44" s="530"/>
      <c r="O44" s="530">
        <f>'6.mell'!D80+'6.mell'!D83</f>
        <v>440445</v>
      </c>
      <c r="P44" s="530">
        <v>0</v>
      </c>
      <c r="Q44" s="79">
        <f>SUM(L44:P44)</f>
        <v>593657</v>
      </c>
      <c r="R44" s="209"/>
    </row>
    <row r="45" spans="1:18" s="70" customFormat="1" ht="11.25" customHeight="1" thickBot="1">
      <c r="A45" s="75" t="s">
        <v>26</v>
      </c>
      <c r="B45" s="150" t="s">
        <v>19</v>
      </c>
      <c r="C45" s="151" t="s">
        <v>159</v>
      </c>
      <c r="D45" s="152" t="s">
        <v>122</v>
      </c>
      <c r="E45" s="542"/>
      <c r="F45" s="542"/>
      <c r="G45" s="542">
        <f>200+250+400</f>
        <v>850</v>
      </c>
      <c r="H45" s="542"/>
      <c r="I45" s="542"/>
      <c r="J45" s="543">
        <v>0</v>
      </c>
      <c r="K45" s="542"/>
      <c r="L45" s="542">
        <f>G45</f>
        <v>850</v>
      </c>
      <c r="M45" s="542">
        <f>'6.mell'!D24</f>
        <v>5000</v>
      </c>
      <c r="N45" s="542"/>
      <c r="O45" s="542"/>
      <c r="P45" s="542"/>
      <c r="Q45" s="57">
        <f>L45+M45</f>
        <v>5850</v>
      </c>
      <c r="R45" s="208"/>
    </row>
    <row r="46" spans="1:18" s="70" customFormat="1" ht="10.5" customHeight="1" thickBot="1">
      <c r="A46" s="75" t="s">
        <v>27</v>
      </c>
      <c r="B46" s="150" t="s">
        <v>19</v>
      </c>
      <c r="C46" s="151" t="s">
        <v>159</v>
      </c>
      <c r="D46" s="152" t="s">
        <v>123</v>
      </c>
      <c r="E46" s="542"/>
      <c r="F46" s="542"/>
      <c r="G46" s="542">
        <f>400+23589-12001</f>
        <v>11988</v>
      </c>
      <c r="H46" s="542"/>
      <c r="I46" s="542"/>
      <c r="J46" s="543">
        <v>0</v>
      </c>
      <c r="K46" s="542"/>
      <c r="L46" s="542">
        <f>G46</f>
        <v>11988</v>
      </c>
      <c r="M46" s="542">
        <f>'6.mell'!D48+643</f>
        <v>430699</v>
      </c>
      <c r="N46" s="542"/>
      <c r="O46" s="542">
        <v>0</v>
      </c>
      <c r="P46" s="542"/>
      <c r="Q46" s="57">
        <f>M46+L46</f>
        <v>442687</v>
      </c>
      <c r="R46" s="208"/>
    </row>
    <row r="47" spans="1:18" ht="12.75" customHeight="1">
      <c r="A47" s="47" t="s">
        <v>28</v>
      </c>
      <c r="B47" s="48"/>
      <c r="C47" s="118"/>
      <c r="D47" s="49" t="s">
        <v>480</v>
      </c>
      <c r="E47" s="552">
        <f>E48+E49+E50+E51+E52+E55+E58+E59+E60+E61+E62</f>
        <v>1356</v>
      </c>
      <c r="F47" s="552">
        <f aca="true" t="shared" si="16" ref="F47:K47">F48+F49+F50+F51+F52+F55+F58+F59+F60+F61+F62</f>
        <v>340</v>
      </c>
      <c r="G47" s="552">
        <f t="shared" si="16"/>
        <v>381694</v>
      </c>
      <c r="H47" s="552">
        <f t="shared" si="16"/>
        <v>0</v>
      </c>
      <c r="I47" s="552">
        <f t="shared" si="16"/>
        <v>63117</v>
      </c>
      <c r="J47" s="552">
        <f>J48+J49+J50+J51+J52+J55+J58+J59+J60+J61+J62</f>
        <v>1745</v>
      </c>
      <c r="K47" s="552">
        <f t="shared" si="16"/>
        <v>0</v>
      </c>
      <c r="L47" s="552">
        <f>SUM(E47:K47)</f>
        <v>448252</v>
      </c>
      <c r="M47" s="552">
        <f>M48+M50+M51+M52+M55+M58+M59+M60+M61+M49</f>
        <v>1173362</v>
      </c>
      <c r="N47" s="552">
        <f>N48+N50+N51+N52+N55+N58+N59+N60+N61</f>
        <v>11628</v>
      </c>
      <c r="O47" s="552">
        <f>O48+O50+O51+O52+O55+O58+O59+O60+O61</f>
        <v>0</v>
      </c>
      <c r="P47" s="552">
        <f>P48+P50+P51+P52+P55+P58+P59+P60+P61</f>
        <v>0</v>
      </c>
      <c r="Q47" s="49">
        <f>SUM(L47:P47)</f>
        <v>1633242</v>
      </c>
      <c r="R47" s="217"/>
    </row>
    <row r="48" spans="1:18" ht="12.75" customHeight="1">
      <c r="A48" s="54"/>
      <c r="B48" s="925" t="s">
        <v>19</v>
      </c>
      <c r="C48" s="112" t="s">
        <v>159</v>
      </c>
      <c r="D48" s="986" t="s">
        <v>99</v>
      </c>
      <c r="E48" s="520">
        <v>0</v>
      </c>
      <c r="F48" s="520">
        <v>0</v>
      </c>
      <c r="G48" s="64">
        <f>(52000-330+516)-1000+371-1700+6658-240-159-1098+862-43-448+4133-6035-793+1826-242+22917-12783+899-6799</f>
        <v>58512</v>
      </c>
      <c r="H48" s="64"/>
      <c r="I48" s="520">
        <f>2000+1100+570-570</f>
        <v>3100</v>
      </c>
      <c r="J48" s="521">
        <v>0</v>
      </c>
      <c r="K48" s="535"/>
      <c r="L48" s="516">
        <f>SUM(E48:K48)</f>
        <v>61612</v>
      </c>
      <c r="M48" s="520">
        <f>3000+3000+150+457+318+240+1112+300+270+2500+140-470+1377+434+1500+6000-964</f>
        <v>19364</v>
      </c>
      <c r="N48" s="516"/>
      <c r="O48" s="516"/>
      <c r="P48" s="516"/>
      <c r="Q48" s="522">
        <f aca="true" t="shared" si="17" ref="Q48:Q63">SUM(L48:P48)</f>
        <v>80976</v>
      </c>
      <c r="R48" s="218"/>
    </row>
    <row r="49" spans="1:18" ht="12.75" customHeight="1">
      <c r="A49" s="61"/>
      <c r="B49" s="926"/>
      <c r="C49" s="112" t="s">
        <v>160</v>
      </c>
      <c r="D49" s="987"/>
      <c r="E49" s="520"/>
      <c r="F49" s="520"/>
      <c r="G49" s="64">
        <f>3000+43+6035+132</f>
        <v>9210</v>
      </c>
      <c r="H49" s="64"/>
      <c r="I49" s="520"/>
      <c r="J49" s="521"/>
      <c r="K49" s="516"/>
      <c r="L49" s="535">
        <f>SUM(E49:K49)</f>
        <v>9210</v>
      </c>
      <c r="M49" s="514">
        <f>3000+300+1635+200-1500</f>
        <v>3635</v>
      </c>
      <c r="N49" s="560"/>
      <c r="O49" s="560"/>
      <c r="P49" s="560"/>
      <c r="Q49" s="56">
        <f t="shared" si="17"/>
        <v>12845</v>
      </c>
      <c r="R49" s="211"/>
    </row>
    <row r="50" spans="1:18" ht="12.75" customHeight="1">
      <c r="A50" s="61"/>
      <c r="B50" s="73" t="s">
        <v>20</v>
      </c>
      <c r="C50" s="113" t="s">
        <v>160</v>
      </c>
      <c r="D50" s="64" t="s">
        <v>89</v>
      </c>
      <c r="E50" s="520"/>
      <c r="F50" s="520"/>
      <c r="G50" s="64">
        <f>10000+15000-8320</f>
        <v>16680</v>
      </c>
      <c r="H50" s="64"/>
      <c r="I50" s="520"/>
      <c r="J50" s="521">
        <v>0</v>
      </c>
      <c r="K50" s="516"/>
      <c r="L50" s="516">
        <f aca="true" t="shared" si="18" ref="L50:L64">SUM(E50:K50)</f>
        <v>16680</v>
      </c>
      <c r="M50" s="516"/>
      <c r="N50" s="516"/>
      <c r="O50" s="516"/>
      <c r="P50" s="516"/>
      <c r="Q50" s="522">
        <f t="shared" si="17"/>
        <v>16680</v>
      </c>
      <c r="R50" s="211"/>
    </row>
    <row r="51" spans="1:18" ht="32.25" customHeight="1">
      <c r="A51" s="61"/>
      <c r="B51" s="73" t="s">
        <v>21</v>
      </c>
      <c r="C51" s="113" t="s">
        <v>159</v>
      </c>
      <c r="D51" s="955" t="s">
        <v>429</v>
      </c>
      <c r="E51" s="956"/>
      <c r="F51" s="520"/>
      <c r="G51" s="64">
        <v>10000</v>
      </c>
      <c r="H51" s="64"/>
      <c r="I51" s="520"/>
      <c r="J51" s="521">
        <v>0</v>
      </c>
      <c r="K51" s="516"/>
      <c r="L51" s="516">
        <f t="shared" si="18"/>
        <v>10000</v>
      </c>
      <c r="M51" s="516"/>
      <c r="N51" s="516"/>
      <c r="O51" s="516"/>
      <c r="P51" s="516"/>
      <c r="Q51" s="522">
        <f t="shared" si="17"/>
        <v>10000</v>
      </c>
      <c r="R51" s="211"/>
    </row>
    <row r="52" spans="1:18" ht="12.75" customHeight="1">
      <c r="A52" s="61"/>
      <c r="B52" s="925" t="s">
        <v>22</v>
      </c>
      <c r="C52" s="113"/>
      <c r="D52" s="94" t="s">
        <v>1</v>
      </c>
      <c r="E52" s="520"/>
      <c r="F52" s="520"/>
      <c r="G52" s="64">
        <f>G53+G54</f>
        <v>17545</v>
      </c>
      <c r="H52" s="64"/>
      <c r="I52" s="520"/>
      <c r="J52" s="521">
        <v>0</v>
      </c>
      <c r="K52" s="516"/>
      <c r="L52" s="516">
        <f t="shared" si="18"/>
        <v>17545</v>
      </c>
      <c r="M52" s="516"/>
      <c r="N52" s="516"/>
      <c r="O52" s="516"/>
      <c r="P52" s="516"/>
      <c r="Q52" s="522">
        <f t="shared" si="17"/>
        <v>17545</v>
      </c>
      <c r="R52" s="211"/>
    </row>
    <row r="53" spans="1:18" ht="12.75" customHeight="1">
      <c r="A53" s="61"/>
      <c r="B53" s="929"/>
      <c r="C53" s="117" t="s">
        <v>159</v>
      </c>
      <c r="D53" s="114" t="s">
        <v>175</v>
      </c>
      <c r="E53" s="526"/>
      <c r="F53" s="526"/>
      <c r="G53" s="581">
        <f>15000+45</f>
        <v>15045</v>
      </c>
      <c r="H53" s="581"/>
      <c r="I53" s="526"/>
      <c r="J53" s="527">
        <v>0</v>
      </c>
      <c r="K53" s="516"/>
      <c r="L53" s="516">
        <f t="shared" si="18"/>
        <v>15045</v>
      </c>
      <c r="M53" s="516"/>
      <c r="N53" s="516"/>
      <c r="O53" s="516"/>
      <c r="P53" s="516"/>
      <c r="Q53" s="522">
        <f t="shared" si="17"/>
        <v>15045</v>
      </c>
      <c r="R53" s="211"/>
    </row>
    <row r="54" spans="1:18" ht="12.75" customHeight="1">
      <c r="A54" s="61"/>
      <c r="B54" s="926"/>
      <c r="C54" s="117" t="s">
        <v>160</v>
      </c>
      <c r="D54" s="114" t="s">
        <v>176</v>
      </c>
      <c r="E54" s="526"/>
      <c r="F54" s="526"/>
      <c r="G54" s="581">
        <v>2500</v>
      </c>
      <c r="H54" s="581"/>
      <c r="I54" s="526"/>
      <c r="J54" s="527">
        <v>0</v>
      </c>
      <c r="K54" s="516"/>
      <c r="L54" s="516">
        <f t="shared" si="18"/>
        <v>2500</v>
      </c>
      <c r="M54" s="516"/>
      <c r="N54" s="516"/>
      <c r="O54" s="516"/>
      <c r="P54" s="516"/>
      <c r="Q54" s="522">
        <f t="shared" si="17"/>
        <v>2500</v>
      </c>
      <c r="R54" s="211"/>
    </row>
    <row r="55" spans="1:18" ht="11.25" customHeight="1">
      <c r="A55" s="61"/>
      <c r="B55" s="919">
        <v>5</v>
      </c>
      <c r="C55" s="157"/>
      <c r="D55" s="94" t="s">
        <v>96</v>
      </c>
      <c r="E55" s="520">
        <f aca="true" t="shared" si="19" ref="E55:K55">E56+E57</f>
        <v>0</v>
      </c>
      <c r="F55" s="520">
        <f t="shared" si="19"/>
        <v>0</v>
      </c>
      <c r="G55" s="520">
        <f t="shared" si="19"/>
        <v>119755</v>
      </c>
      <c r="H55" s="520"/>
      <c r="I55" s="520">
        <f t="shared" si="19"/>
        <v>8741</v>
      </c>
      <c r="J55" s="520">
        <f t="shared" si="19"/>
        <v>1445</v>
      </c>
      <c r="K55" s="520">
        <f t="shared" si="19"/>
        <v>0</v>
      </c>
      <c r="L55" s="516">
        <f t="shared" si="18"/>
        <v>129941</v>
      </c>
      <c r="M55" s="520">
        <f>M56+M57</f>
        <v>1053625</v>
      </c>
      <c r="N55" s="520">
        <f>N56+N57</f>
        <v>11628</v>
      </c>
      <c r="O55" s="520">
        <f>O56+O57</f>
        <v>0</v>
      </c>
      <c r="P55" s="520">
        <f>P56+P57</f>
        <v>0</v>
      </c>
      <c r="Q55" s="522">
        <f>SUM(L55:P55)</f>
        <v>1195194</v>
      </c>
      <c r="R55" s="211"/>
    </row>
    <row r="56" spans="1:18" s="110" customFormat="1" ht="11.25" customHeight="1">
      <c r="A56" s="126"/>
      <c r="B56" s="990"/>
      <c r="C56" s="137" t="s">
        <v>159</v>
      </c>
      <c r="D56" s="114" t="s">
        <v>170</v>
      </c>
      <c r="E56" s="519"/>
      <c r="F56" s="519"/>
      <c r="G56" s="602">
        <f>4133+1179+2147+1880-4133-313-258-228+10033+254</f>
        <v>14694</v>
      </c>
      <c r="H56" s="602"/>
      <c r="I56" s="519"/>
      <c r="J56" s="603"/>
      <c r="K56" s="519"/>
      <c r="L56" s="644">
        <f t="shared" si="18"/>
        <v>14694</v>
      </c>
      <c r="M56" s="519">
        <f>'6.mell'!D11+'6.mell'!D15+'6.mell'!D25+'6.mell'!D50+'6.mell'!D51+'6.mell'!D52+'6.mell'!D53+'6.mell'!D56+'6.mell'!D71+'6.mell'!D33+'6.mell'!D64+'6.mell'!D58+'6.mell'!D65</f>
        <v>520623</v>
      </c>
      <c r="N56" s="519"/>
      <c r="O56" s="519"/>
      <c r="P56" s="519"/>
      <c r="Q56" s="645">
        <f>SUM(L56:P56)</f>
        <v>535317</v>
      </c>
      <c r="R56" s="219"/>
    </row>
    <row r="57" spans="1:18" s="110" customFormat="1" ht="11.25" customHeight="1">
      <c r="A57" s="126"/>
      <c r="B57" s="920"/>
      <c r="C57" s="137" t="s">
        <v>160</v>
      </c>
      <c r="D57" s="189" t="s">
        <v>171</v>
      </c>
      <c r="E57" s="519"/>
      <c r="F57" s="519"/>
      <c r="G57" s="602">
        <f>24466+90218+21309-32000+1068</f>
        <v>105061</v>
      </c>
      <c r="H57" s="602"/>
      <c r="I57" s="519">
        <f>5216+2000+1525</f>
        <v>8741</v>
      </c>
      <c r="J57" s="519">
        <v>1445</v>
      </c>
      <c r="K57" s="519"/>
      <c r="L57" s="644">
        <f t="shared" si="18"/>
        <v>115247</v>
      </c>
      <c r="M57" s="519">
        <f>'6.mell'!D70+'6.mell'!D47+'6.mell'!D13</f>
        <v>533002</v>
      </c>
      <c r="N57" s="519">
        <f>'6.mell'!D81+'6.mell'!D84</f>
        <v>11628</v>
      </c>
      <c r="O57" s="519"/>
      <c r="P57" s="519"/>
      <c r="Q57" s="645">
        <f>SUM(L57:P57)</f>
        <v>659877</v>
      </c>
      <c r="R57" s="219"/>
    </row>
    <row r="58" spans="1:18" ht="11.25" customHeight="1">
      <c r="A58" s="191"/>
      <c r="B58" s="66">
        <v>6</v>
      </c>
      <c r="C58" s="192" t="s">
        <v>160</v>
      </c>
      <c r="D58" s="76" t="s">
        <v>239</v>
      </c>
      <c r="E58" s="524">
        <f>400-100</f>
        <v>300</v>
      </c>
      <c r="F58" s="524">
        <f>110-27</f>
        <v>83</v>
      </c>
      <c r="G58" s="68">
        <f>700+350+200</f>
        <v>1250</v>
      </c>
      <c r="H58" s="68"/>
      <c r="I58" s="524"/>
      <c r="J58" s="532"/>
      <c r="K58" s="524"/>
      <c r="L58" s="533">
        <f>G58+F58+E58</f>
        <v>1633</v>
      </c>
      <c r="M58" s="524"/>
      <c r="N58" s="524"/>
      <c r="O58" s="524"/>
      <c r="P58" s="524"/>
      <c r="Q58" s="534">
        <f>L58</f>
        <v>1633</v>
      </c>
      <c r="R58" s="220"/>
    </row>
    <row r="59" spans="1:18" ht="11.25" customHeight="1">
      <c r="A59" s="191"/>
      <c r="B59" s="919">
        <v>7</v>
      </c>
      <c r="C59" s="192" t="s">
        <v>159</v>
      </c>
      <c r="D59" s="988" t="s">
        <v>240</v>
      </c>
      <c r="E59" s="524"/>
      <c r="F59" s="524"/>
      <c r="G59" s="68">
        <v>108994</v>
      </c>
      <c r="H59" s="68"/>
      <c r="I59" s="524"/>
      <c r="J59" s="532">
        <v>300</v>
      </c>
      <c r="K59" s="524"/>
      <c r="L59" s="533">
        <f>G59+J59</f>
        <v>109294</v>
      </c>
      <c r="M59" s="524">
        <f>'6.mell'!D17+'6.mell'!D35</f>
        <v>17343</v>
      </c>
      <c r="N59" s="524"/>
      <c r="O59" s="524"/>
      <c r="P59" s="524"/>
      <c r="Q59" s="534">
        <f>L59+M59</f>
        <v>126637</v>
      </c>
      <c r="R59" s="220"/>
    </row>
    <row r="60" spans="1:18" ht="11.25" customHeight="1">
      <c r="A60" s="191"/>
      <c r="B60" s="920"/>
      <c r="C60" s="192" t="s">
        <v>160</v>
      </c>
      <c r="D60" s="989"/>
      <c r="E60" s="524"/>
      <c r="F60" s="524"/>
      <c r="G60" s="68">
        <f>13000+1892</f>
        <v>14892</v>
      </c>
      <c r="H60" s="68"/>
      <c r="I60" s="524"/>
      <c r="J60" s="532"/>
      <c r="K60" s="524"/>
      <c r="L60" s="533">
        <f>SUM(E60:K60)</f>
        <v>14892</v>
      </c>
      <c r="M60" s="524"/>
      <c r="N60" s="524"/>
      <c r="O60" s="524"/>
      <c r="P60" s="524"/>
      <c r="Q60" s="534">
        <f>SUM(L60:P60)</f>
        <v>14892</v>
      </c>
      <c r="R60" s="220"/>
    </row>
    <row r="61" spans="1:18" ht="19.5" customHeight="1">
      <c r="A61" s="191"/>
      <c r="B61" s="66">
        <v>8</v>
      </c>
      <c r="C61" s="192" t="s">
        <v>160</v>
      </c>
      <c r="D61" s="67" t="s">
        <v>247</v>
      </c>
      <c r="E61" s="524">
        <f>1936+924-453-1351</f>
        <v>1056</v>
      </c>
      <c r="F61" s="524">
        <f>1658-923-110-368</f>
        <v>257</v>
      </c>
      <c r="G61" s="68">
        <f>56208-34060+642+2066</f>
        <v>24856</v>
      </c>
      <c r="H61" s="68"/>
      <c r="I61" s="524"/>
      <c r="J61" s="532"/>
      <c r="K61" s="524"/>
      <c r="L61" s="533">
        <f>SUM(E61:K61)</f>
        <v>26169</v>
      </c>
      <c r="M61" s="524">
        <f>'6.mell'!D72+'6.mell'!D54</f>
        <v>79395</v>
      </c>
      <c r="N61" s="524"/>
      <c r="O61" s="524"/>
      <c r="P61" s="524"/>
      <c r="Q61" s="534">
        <f>SUM(L61:P61)</f>
        <v>105564</v>
      </c>
      <c r="R61" s="739"/>
    </row>
    <row r="62" spans="1:18" ht="12.75" customHeight="1" thickBot="1">
      <c r="A62" s="72"/>
      <c r="B62" s="59">
        <v>9</v>
      </c>
      <c r="C62" s="190" t="s">
        <v>159</v>
      </c>
      <c r="D62" s="134" t="s">
        <v>464</v>
      </c>
      <c r="E62" s="555"/>
      <c r="F62" s="555"/>
      <c r="G62" s="753"/>
      <c r="H62" s="554"/>
      <c r="I62" s="555">
        <f>50706+570</f>
        <v>51276</v>
      </c>
      <c r="J62" s="556"/>
      <c r="K62" s="555"/>
      <c r="L62" s="557">
        <f>SUM(E62:K62)</f>
        <v>51276</v>
      </c>
      <c r="M62" s="555"/>
      <c r="N62" s="555"/>
      <c r="O62" s="555"/>
      <c r="P62" s="555"/>
      <c r="Q62" s="558">
        <f>SUM(L62:P62)</f>
        <v>51276</v>
      </c>
      <c r="R62" s="643"/>
    </row>
    <row r="63" spans="1:18" s="70" customFormat="1" ht="11.25" customHeight="1" thickBot="1">
      <c r="A63" s="75" t="s">
        <v>29</v>
      </c>
      <c r="B63" s="142" t="s">
        <v>19</v>
      </c>
      <c r="C63" s="123" t="s">
        <v>160</v>
      </c>
      <c r="D63" s="102" t="s">
        <v>97</v>
      </c>
      <c r="E63" s="542">
        <v>0</v>
      </c>
      <c r="F63" s="542">
        <v>0</v>
      </c>
      <c r="G63" s="542">
        <v>0</v>
      </c>
      <c r="H63" s="542"/>
      <c r="I63" s="542">
        <v>0</v>
      </c>
      <c r="J63" s="543">
        <v>0</v>
      </c>
      <c r="K63" s="542">
        <v>0</v>
      </c>
      <c r="L63" s="542">
        <f t="shared" si="18"/>
        <v>0</v>
      </c>
      <c r="M63" s="542"/>
      <c r="N63" s="542"/>
      <c r="O63" s="542">
        <v>0</v>
      </c>
      <c r="P63" s="542">
        <v>0</v>
      </c>
      <c r="Q63" s="57">
        <f t="shared" si="17"/>
        <v>0</v>
      </c>
      <c r="R63" s="208"/>
    </row>
    <row r="64" spans="1:18" s="70" customFormat="1" ht="11.25" customHeight="1">
      <c r="A64" s="77" t="s">
        <v>50</v>
      </c>
      <c r="B64" s="78" t="s">
        <v>77</v>
      </c>
      <c r="C64" s="129"/>
      <c r="D64" s="93" t="s">
        <v>192</v>
      </c>
      <c r="E64" s="530">
        <f>E65+E66</f>
        <v>0</v>
      </c>
      <c r="F64" s="530">
        <f aca="true" t="shared" si="20" ref="F64:K64">F65+F66</f>
        <v>0</v>
      </c>
      <c r="G64" s="530">
        <f t="shared" si="20"/>
        <v>27620</v>
      </c>
      <c r="H64" s="530">
        <f t="shared" si="20"/>
        <v>0</v>
      </c>
      <c r="I64" s="530">
        <f t="shared" si="20"/>
        <v>0</v>
      </c>
      <c r="J64" s="530">
        <f t="shared" si="20"/>
        <v>94086</v>
      </c>
      <c r="K64" s="530">
        <f t="shared" si="20"/>
        <v>0</v>
      </c>
      <c r="L64" s="530">
        <f t="shared" si="18"/>
        <v>121706</v>
      </c>
      <c r="M64" s="530">
        <f>M65+M66</f>
        <v>35215</v>
      </c>
      <c r="N64" s="530">
        <f>N65+N66</f>
        <v>0</v>
      </c>
      <c r="O64" s="530">
        <f>O65+O66</f>
        <v>20113</v>
      </c>
      <c r="P64" s="530">
        <f>P65+P66</f>
        <v>0</v>
      </c>
      <c r="Q64" s="79">
        <f>SUM(L64:P64)</f>
        <v>177034</v>
      </c>
      <c r="R64" s="217"/>
    </row>
    <row r="65" spans="1:18" ht="11.25" customHeight="1">
      <c r="A65" s="71"/>
      <c r="B65" s="62" t="s">
        <v>19</v>
      </c>
      <c r="C65" s="113" t="s">
        <v>159</v>
      </c>
      <c r="D65" s="63" t="s">
        <v>98</v>
      </c>
      <c r="E65" s="520"/>
      <c r="F65" s="520"/>
      <c r="G65" s="520">
        <f>20000+7620</f>
        <v>27620</v>
      </c>
      <c r="H65" s="520"/>
      <c r="I65" s="520"/>
      <c r="J65" s="521">
        <v>0</v>
      </c>
      <c r="K65" s="520"/>
      <c r="L65" s="516">
        <f>G65</f>
        <v>27620</v>
      </c>
      <c r="M65" s="520">
        <v>0</v>
      </c>
      <c r="N65" s="520"/>
      <c r="O65" s="520"/>
      <c r="P65" s="520"/>
      <c r="Q65" s="522">
        <f>L65+M65</f>
        <v>27620</v>
      </c>
      <c r="R65" s="211"/>
    </row>
    <row r="66" spans="1:18" ht="11.25" customHeight="1" thickBot="1">
      <c r="A66" s="72"/>
      <c r="B66" s="59" t="s">
        <v>20</v>
      </c>
      <c r="C66" s="116" t="s">
        <v>159</v>
      </c>
      <c r="D66" s="60" t="s">
        <v>3</v>
      </c>
      <c r="E66" s="555"/>
      <c r="F66" s="555"/>
      <c r="G66" s="555">
        <v>0</v>
      </c>
      <c r="H66" s="555"/>
      <c r="I66" s="555"/>
      <c r="J66" s="556">
        <v>94086</v>
      </c>
      <c r="K66" s="555"/>
      <c r="L66" s="557">
        <f>G66</f>
        <v>0</v>
      </c>
      <c r="M66" s="555">
        <f>'6.mell'!D10+'6.mell'!D21+'6.mell'!D22+'6.mell'!D41+'6.mell'!D42+'6.mell'!D43+'6.mell'!D44</f>
        <v>35215</v>
      </c>
      <c r="N66" s="555"/>
      <c r="O66" s="555">
        <v>20113</v>
      </c>
      <c r="P66" s="555"/>
      <c r="Q66" s="558">
        <f>M66+L66+O66</f>
        <v>55328</v>
      </c>
      <c r="R66" s="221"/>
    </row>
    <row r="67" spans="1:18" ht="11.25" customHeight="1" thickBot="1">
      <c r="A67" s="83" t="s">
        <v>51</v>
      </c>
      <c r="B67" s="139" t="s">
        <v>19</v>
      </c>
      <c r="C67" s="133" t="s">
        <v>159</v>
      </c>
      <c r="D67" s="95" t="s">
        <v>100</v>
      </c>
      <c r="E67" s="539"/>
      <c r="F67" s="539"/>
      <c r="G67" s="95">
        <f>22000+1051-3150-3150</f>
        <v>16751</v>
      </c>
      <c r="H67" s="95"/>
      <c r="I67" s="539"/>
      <c r="J67" s="540">
        <v>0</v>
      </c>
      <c r="K67" s="539"/>
      <c r="L67" s="541">
        <f aca="true" t="shared" si="21" ref="L67:L75">SUM(E67:K67)</f>
        <v>16751</v>
      </c>
      <c r="M67" s="539"/>
      <c r="N67" s="539"/>
      <c r="O67" s="539"/>
      <c r="P67" s="539"/>
      <c r="Q67" s="95">
        <f aca="true" t="shared" si="22" ref="Q67:Q75">SUM(L67:P67)</f>
        <v>16751</v>
      </c>
      <c r="R67" s="206"/>
    </row>
    <row r="68" spans="1:18" s="70" customFormat="1" ht="11.25" customHeight="1">
      <c r="A68" s="77" t="s">
        <v>52</v>
      </c>
      <c r="B68" s="78"/>
      <c r="C68" s="107"/>
      <c r="D68" s="130" t="s">
        <v>91</v>
      </c>
      <c r="E68" s="530">
        <f>E69+E72+E73+E74+E75+E76+E77+E78+E79+E80+E81</f>
        <v>33111</v>
      </c>
      <c r="F68" s="530">
        <f aca="true" t="shared" si="23" ref="F68:K68">F69+F72+F73+F74+F75+F76+F77+F78+F79+F80+F81</f>
        <v>9642</v>
      </c>
      <c r="G68" s="530">
        <f t="shared" si="23"/>
        <v>51544</v>
      </c>
      <c r="H68" s="530">
        <f t="shared" si="23"/>
        <v>0</v>
      </c>
      <c r="I68" s="530">
        <f t="shared" si="23"/>
        <v>0</v>
      </c>
      <c r="J68" s="530">
        <f t="shared" si="23"/>
        <v>1400</v>
      </c>
      <c r="K68" s="530">
        <f t="shared" si="23"/>
        <v>82090</v>
      </c>
      <c r="L68" s="530">
        <f>SUM(E68:K68)</f>
        <v>177787</v>
      </c>
      <c r="M68" s="530">
        <f>M69+M72+M73+M75+M76+M77+M78+M79+M80+M81</f>
        <v>113250</v>
      </c>
      <c r="N68" s="530">
        <f>N69+N72+N73+N75+N76+N77+N78+N79+N80+N81</f>
        <v>0</v>
      </c>
      <c r="O68" s="530">
        <f>O69+O72+O73+O75+O76+O77+O78+O79+O80+O81</f>
        <v>0</v>
      </c>
      <c r="P68" s="530">
        <f>P69+P72+P73+P75+P76+P77+P78+P79+P80+P81</f>
        <v>0</v>
      </c>
      <c r="Q68" s="79">
        <f t="shared" si="22"/>
        <v>291037</v>
      </c>
      <c r="R68" s="605">
        <f>R70</f>
        <v>1</v>
      </c>
    </row>
    <row r="69" spans="1:18" ht="10.5" customHeight="1">
      <c r="A69" s="61"/>
      <c r="B69" s="919" t="s">
        <v>19</v>
      </c>
      <c r="C69" s="113"/>
      <c r="D69" s="63" t="s">
        <v>101</v>
      </c>
      <c r="E69" s="524">
        <f>E70+E71</f>
        <v>29721</v>
      </c>
      <c r="F69" s="524">
        <f>F70+F71</f>
        <v>8727</v>
      </c>
      <c r="G69" s="524">
        <f>G70+G71</f>
        <v>4846</v>
      </c>
      <c r="H69" s="524"/>
      <c r="I69" s="520"/>
      <c r="J69" s="521">
        <v>0</v>
      </c>
      <c r="K69" s="520">
        <v>0</v>
      </c>
      <c r="L69" s="516">
        <f t="shared" si="21"/>
        <v>43294</v>
      </c>
      <c r="M69" s="520"/>
      <c r="N69" s="520"/>
      <c r="O69" s="520"/>
      <c r="P69" s="520">
        <v>0</v>
      </c>
      <c r="Q69" s="522">
        <f t="shared" si="22"/>
        <v>43294</v>
      </c>
      <c r="R69" s="523"/>
    </row>
    <row r="70" spans="1:18" ht="12.75" customHeight="1">
      <c r="A70" s="61"/>
      <c r="B70" s="990"/>
      <c r="C70" s="117" t="s">
        <v>159</v>
      </c>
      <c r="D70" s="114" t="s">
        <v>170</v>
      </c>
      <c r="E70" s="519">
        <f>10379-45</f>
        <v>10334</v>
      </c>
      <c r="F70" s="519">
        <f>2803+45</f>
        <v>2848</v>
      </c>
      <c r="G70" s="519">
        <f>1000+164</f>
        <v>1164</v>
      </c>
      <c r="H70" s="519"/>
      <c r="I70" s="520"/>
      <c r="J70" s="521"/>
      <c r="K70" s="520"/>
      <c r="L70" s="516">
        <f t="shared" si="21"/>
        <v>14346</v>
      </c>
      <c r="M70" s="520"/>
      <c r="N70" s="520"/>
      <c r="O70" s="520"/>
      <c r="P70" s="520"/>
      <c r="Q70" s="522">
        <f t="shared" si="22"/>
        <v>14346</v>
      </c>
      <c r="R70" s="523">
        <v>1</v>
      </c>
    </row>
    <row r="71" spans="1:18" ht="12.75" customHeight="1">
      <c r="A71" s="61"/>
      <c r="B71" s="920"/>
      <c r="C71" s="117" t="s">
        <v>160</v>
      </c>
      <c r="D71" s="114" t="s">
        <v>171</v>
      </c>
      <c r="E71" s="519">
        <f>16332+1623+1000+500-68</f>
        <v>19387</v>
      </c>
      <c r="F71" s="519">
        <f>4410+439+510+170+350</f>
        <v>5879</v>
      </c>
      <c r="G71" s="519">
        <f>2000+1300+382</f>
        <v>3682</v>
      </c>
      <c r="H71" s="519"/>
      <c r="I71" s="520"/>
      <c r="J71" s="521"/>
      <c r="K71" s="520"/>
      <c r="L71" s="516">
        <f t="shared" si="21"/>
        <v>28948</v>
      </c>
      <c r="M71" s="520"/>
      <c r="N71" s="520"/>
      <c r="O71" s="520"/>
      <c r="P71" s="520"/>
      <c r="Q71" s="522">
        <f t="shared" si="22"/>
        <v>28948</v>
      </c>
      <c r="R71" s="523"/>
    </row>
    <row r="72" spans="1:18" ht="12.75" customHeight="1">
      <c r="A72" s="61"/>
      <c r="B72" s="62" t="s">
        <v>20</v>
      </c>
      <c r="C72" s="113" t="s">
        <v>159</v>
      </c>
      <c r="D72" s="63" t="s">
        <v>124</v>
      </c>
      <c r="E72" s="210"/>
      <c r="F72" s="210"/>
      <c r="G72" s="520">
        <v>1400</v>
      </c>
      <c r="H72" s="520"/>
      <c r="I72" s="520"/>
      <c r="J72" s="521"/>
      <c r="K72" s="520"/>
      <c r="L72" s="516">
        <f t="shared" si="21"/>
        <v>1400</v>
      </c>
      <c r="M72" s="520"/>
      <c r="N72" s="520"/>
      <c r="O72" s="520"/>
      <c r="P72" s="520"/>
      <c r="Q72" s="522">
        <f t="shared" si="22"/>
        <v>1400</v>
      </c>
      <c r="R72" s="211"/>
    </row>
    <row r="73" spans="1:18" ht="11.25" customHeight="1">
      <c r="A73" s="61"/>
      <c r="B73" s="925" t="s">
        <v>21</v>
      </c>
      <c r="C73" s="113" t="s">
        <v>159</v>
      </c>
      <c r="D73" s="923" t="s">
        <v>102</v>
      </c>
      <c r="E73" s="520"/>
      <c r="F73" s="520"/>
      <c r="G73" s="64"/>
      <c r="H73" s="64"/>
      <c r="I73" s="520"/>
      <c r="J73" s="521">
        <v>0</v>
      </c>
      <c r="K73" s="520">
        <f>5000+120000+50000-49170+49170-6612-94086</f>
        <v>74302</v>
      </c>
      <c r="L73" s="516">
        <f t="shared" si="21"/>
        <v>74302</v>
      </c>
      <c r="M73" s="520"/>
      <c r="N73" s="520"/>
      <c r="O73" s="520"/>
      <c r="P73" s="520"/>
      <c r="Q73" s="522">
        <f t="shared" si="22"/>
        <v>74302</v>
      </c>
      <c r="R73" s="523"/>
    </row>
    <row r="74" spans="1:18" ht="11.25" customHeight="1">
      <c r="A74" s="61"/>
      <c r="B74" s="926"/>
      <c r="C74" s="113" t="s">
        <v>160</v>
      </c>
      <c r="D74" s="924"/>
      <c r="E74" s="520"/>
      <c r="F74" s="520"/>
      <c r="G74" s="64"/>
      <c r="H74" s="64"/>
      <c r="I74" s="520"/>
      <c r="J74" s="521"/>
      <c r="K74" s="520">
        <f>8020-200-32</f>
        <v>7788</v>
      </c>
      <c r="L74" s="516">
        <f t="shared" si="21"/>
        <v>7788</v>
      </c>
      <c r="M74" s="520"/>
      <c r="N74" s="520"/>
      <c r="O74" s="520"/>
      <c r="P74" s="520"/>
      <c r="Q74" s="522">
        <f t="shared" si="22"/>
        <v>7788</v>
      </c>
      <c r="R74" s="523"/>
    </row>
    <row r="75" spans="1:18" ht="11.25" customHeight="1">
      <c r="A75" s="61"/>
      <c r="B75" s="73" t="s">
        <v>22</v>
      </c>
      <c r="C75" s="113" t="s">
        <v>160</v>
      </c>
      <c r="D75" s="128" t="s">
        <v>125</v>
      </c>
      <c r="E75" s="520"/>
      <c r="F75" s="520"/>
      <c r="G75" s="64">
        <v>0</v>
      </c>
      <c r="H75" s="64"/>
      <c r="I75" s="520"/>
      <c r="J75" s="521">
        <v>0</v>
      </c>
      <c r="K75" s="520"/>
      <c r="L75" s="516">
        <f t="shared" si="21"/>
        <v>0</v>
      </c>
      <c r="M75" s="520">
        <f>'6.mell'!D12</f>
        <v>94656</v>
      </c>
      <c r="N75" s="520"/>
      <c r="O75" s="520"/>
      <c r="P75" s="520">
        <v>0</v>
      </c>
      <c r="Q75" s="522">
        <f t="shared" si="22"/>
        <v>94656</v>
      </c>
      <c r="R75" s="211"/>
    </row>
    <row r="76" spans="1:18" ht="11.25" customHeight="1">
      <c r="A76" s="65"/>
      <c r="B76" s="74" t="s">
        <v>23</v>
      </c>
      <c r="C76" s="112" t="s">
        <v>160</v>
      </c>
      <c r="D76" s="67" t="s">
        <v>182</v>
      </c>
      <c r="E76" s="524"/>
      <c r="F76" s="524"/>
      <c r="G76" s="68"/>
      <c r="H76" s="68"/>
      <c r="I76" s="524"/>
      <c r="J76" s="532">
        <v>1400</v>
      </c>
      <c r="K76" s="524">
        <v>0</v>
      </c>
      <c r="L76" s="533">
        <f>K76+J76</f>
        <v>1400</v>
      </c>
      <c r="M76" s="524"/>
      <c r="N76" s="524"/>
      <c r="O76" s="524"/>
      <c r="P76" s="524"/>
      <c r="Q76" s="534">
        <f>L76+O76</f>
        <v>1400</v>
      </c>
      <c r="R76" s="545"/>
    </row>
    <row r="77" spans="1:18" ht="11.25" customHeight="1">
      <c r="A77" s="65"/>
      <c r="B77" s="925" t="s">
        <v>24</v>
      </c>
      <c r="C77" s="112" t="s">
        <v>159</v>
      </c>
      <c r="D77" s="927" t="s">
        <v>92</v>
      </c>
      <c r="E77" s="524">
        <v>0</v>
      </c>
      <c r="F77" s="524">
        <v>0</v>
      </c>
      <c r="G77" s="68">
        <f>14000+1398-1787</f>
        <v>13611</v>
      </c>
      <c r="H77" s="68"/>
      <c r="I77" s="524"/>
      <c r="J77" s="532">
        <v>0</v>
      </c>
      <c r="K77" s="524">
        <v>0</v>
      </c>
      <c r="L77" s="533">
        <f>SUM(E77:K77)</f>
        <v>13611</v>
      </c>
      <c r="M77" s="524">
        <f>'6.mell'!D16+'6.mell'!D38</f>
        <v>7477</v>
      </c>
      <c r="N77" s="524"/>
      <c r="O77" s="524"/>
      <c r="P77" s="524"/>
      <c r="Q77" s="534">
        <f>SUM(L77:P77)</f>
        <v>21088</v>
      </c>
      <c r="R77" s="222"/>
    </row>
    <row r="78" spans="1:18" ht="11.25" customHeight="1">
      <c r="A78" s="65"/>
      <c r="B78" s="926"/>
      <c r="C78" s="112" t="s">
        <v>160</v>
      </c>
      <c r="D78" s="928"/>
      <c r="E78" s="524"/>
      <c r="F78" s="524"/>
      <c r="G78" s="68">
        <v>5000</v>
      </c>
      <c r="H78" s="68"/>
      <c r="I78" s="524"/>
      <c r="J78" s="532"/>
      <c r="K78" s="524"/>
      <c r="L78" s="533">
        <f>SUM(E78:K78)</f>
        <v>5000</v>
      </c>
      <c r="M78" s="524"/>
      <c r="N78" s="524"/>
      <c r="O78" s="524"/>
      <c r="P78" s="524"/>
      <c r="Q78" s="534">
        <f>SUM(L78:P78)</f>
        <v>5000</v>
      </c>
      <c r="R78" s="222"/>
    </row>
    <row r="79" spans="1:18" ht="11.25" customHeight="1">
      <c r="A79" s="65"/>
      <c r="B79" s="74" t="s">
        <v>25</v>
      </c>
      <c r="C79" s="112" t="s">
        <v>159</v>
      </c>
      <c r="D79" s="161" t="s">
        <v>336</v>
      </c>
      <c r="E79" s="213"/>
      <c r="F79" s="213"/>
      <c r="G79" s="68">
        <f>12000-5500</f>
        <v>6500</v>
      </c>
      <c r="H79" s="68"/>
      <c r="I79" s="524"/>
      <c r="J79" s="532"/>
      <c r="K79" s="524"/>
      <c r="L79" s="533">
        <f>G79</f>
        <v>6500</v>
      </c>
      <c r="M79" s="524"/>
      <c r="N79" s="524"/>
      <c r="O79" s="524"/>
      <c r="P79" s="524"/>
      <c r="Q79" s="534">
        <f>L79</f>
        <v>6500</v>
      </c>
      <c r="R79" s="222"/>
    </row>
    <row r="80" spans="1:18" ht="11.25" customHeight="1">
      <c r="A80" s="65"/>
      <c r="B80" s="74" t="s">
        <v>26</v>
      </c>
      <c r="C80" s="112" t="s">
        <v>159</v>
      </c>
      <c r="D80" s="161" t="s">
        <v>253</v>
      </c>
      <c r="E80" s="524"/>
      <c r="F80" s="524"/>
      <c r="G80" s="68">
        <v>3000</v>
      </c>
      <c r="H80" s="68"/>
      <c r="I80" s="524"/>
      <c r="J80" s="532"/>
      <c r="K80" s="524"/>
      <c r="L80" s="533">
        <f>SUM(E80:K80)</f>
        <v>3000</v>
      </c>
      <c r="M80" s="524">
        <v>10200</v>
      </c>
      <c r="N80" s="524"/>
      <c r="O80" s="524"/>
      <c r="P80" s="524"/>
      <c r="Q80" s="534">
        <f>SUM(L80:P80)</f>
        <v>13200</v>
      </c>
      <c r="R80" s="545"/>
    </row>
    <row r="81" spans="1:18" ht="21" customHeight="1" thickBot="1">
      <c r="A81" s="58"/>
      <c r="B81" s="723" t="s">
        <v>27</v>
      </c>
      <c r="C81" s="116" t="s">
        <v>160</v>
      </c>
      <c r="D81" s="134" t="s">
        <v>446</v>
      </c>
      <c r="E81" s="555">
        <v>3390</v>
      </c>
      <c r="F81" s="555">
        <v>915</v>
      </c>
      <c r="G81" s="554">
        <f>16778+409</f>
        <v>17187</v>
      </c>
      <c r="H81" s="554"/>
      <c r="I81" s="555"/>
      <c r="J81" s="556"/>
      <c r="K81" s="555"/>
      <c r="L81" s="557">
        <f>SUM(E81:K81)</f>
        <v>21492</v>
      </c>
      <c r="M81" s="555">
        <v>917</v>
      </c>
      <c r="N81" s="555"/>
      <c r="O81" s="555"/>
      <c r="P81" s="555"/>
      <c r="Q81" s="558">
        <f>SUM(L81:P81)</f>
        <v>22409</v>
      </c>
      <c r="R81" s="579"/>
    </row>
    <row r="82" spans="1:18" s="70" customFormat="1" ht="11.25" customHeight="1" thickBot="1">
      <c r="A82" s="47" t="s">
        <v>53</v>
      </c>
      <c r="B82" s="141" t="s">
        <v>19</v>
      </c>
      <c r="C82" s="118" t="s">
        <v>160</v>
      </c>
      <c r="D82" s="97" t="s">
        <v>177</v>
      </c>
      <c r="E82" s="552">
        <f>600+100</f>
        <v>700</v>
      </c>
      <c r="F82" s="552">
        <f>306+51</f>
        <v>357</v>
      </c>
      <c r="G82" s="552">
        <f>4094+500+300+100</f>
        <v>4994</v>
      </c>
      <c r="H82" s="552"/>
      <c r="I82" s="552">
        <v>0</v>
      </c>
      <c r="J82" s="553">
        <v>0</v>
      </c>
      <c r="K82" s="552">
        <v>0</v>
      </c>
      <c r="L82" s="552">
        <f>SUM(E82:K82)</f>
        <v>6051</v>
      </c>
      <c r="M82" s="552">
        <v>0</v>
      </c>
      <c r="N82" s="552"/>
      <c r="O82" s="552">
        <v>0</v>
      </c>
      <c r="P82" s="552">
        <v>0</v>
      </c>
      <c r="Q82" s="49">
        <f>SUM(L82:P82)</f>
        <v>6051</v>
      </c>
      <c r="R82" s="217"/>
    </row>
    <row r="83" spans="1:18" s="70" customFormat="1" ht="11.25" customHeight="1">
      <c r="A83" s="47" t="s">
        <v>54</v>
      </c>
      <c r="B83" s="140"/>
      <c r="C83" s="108"/>
      <c r="D83" s="49" t="s">
        <v>126</v>
      </c>
      <c r="E83" s="552">
        <f>E84+E85+E87+E86</f>
        <v>2094</v>
      </c>
      <c r="F83" s="552">
        <f aca="true" t="shared" si="24" ref="F83:K83">F84+F85+F87+F86</f>
        <v>604</v>
      </c>
      <c r="G83" s="552">
        <f t="shared" si="24"/>
        <v>6530</v>
      </c>
      <c r="H83" s="552"/>
      <c r="I83" s="552">
        <f t="shared" si="24"/>
        <v>100</v>
      </c>
      <c r="J83" s="552">
        <f t="shared" si="24"/>
        <v>2200</v>
      </c>
      <c r="K83" s="552">
        <f t="shared" si="24"/>
        <v>0</v>
      </c>
      <c r="L83" s="552">
        <f>L84+L85+L87+L86</f>
        <v>11528</v>
      </c>
      <c r="M83" s="552">
        <f>M84+M85+M87</f>
        <v>0</v>
      </c>
      <c r="N83" s="552"/>
      <c r="O83" s="552">
        <f>O84+O85+O87</f>
        <v>0</v>
      </c>
      <c r="P83" s="552">
        <f>P84+P85+P87</f>
        <v>0</v>
      </c>
      <c r="Q83" s="49">
        <f>SUM(L83:P83)</f>
        <v>11528</v>
      </c>
      <c r="R83" s="578">
        <f>SUM(R84:R85)</f>
        <v>1</v>
      </c>
    </row>
    <row r="84" spans="1:18" ht="11.25" customHeight="1">
      <c r="A84" s="61"/>
      <c r="B84" s="82" t="s">
        <v>19</v>
      </c>
      <c r="C84" s="113" t="s">
        <v>160</v>
      </c>
      <c r="D84" s="64" t="s">
        <v>103</v>
      </c>
      <c r="E84" s="520">
        <f>1656+150+2+20+15+8+63+180</f>
        <v>2094</v>
      </c>
      <c r="F84" s="520">
        <f>550-8+12+50</f>
        <v>604</v>
      </c>
      <c r="G84" s="64">
        <f>2950+240</f>
        <v>3190</v>
      </c>
      <c r="H84" s="64"/>
      <c r="I84" s="520"/>
      <c r="J84" s="521">
        <v>0</v>
      </c>
      <c r="K84" s="520"/>
      <c r="L84" s="516">
        <f>SUM(E84:K84)</f>
        <v>5888</v>
      </c>
      <c r="M84" s="520">
        <v>0</v>
      </c>
      <c r="N84" s="520"/>
      <c r="O84" s="520"/>
      <c r="P84" s="520"/>
      <c r="Q84" s="522">
        <f>SUM(L84:P84)</f>
        <v>5888</v>
      </c>
      <c r="R84" s="523">
        <v>1</v>
      </c>
    </row>
    <row r="85" spans="1:18" ht="11.25" customHeight="1">
      <c r="A85" s="65"/>
      <c r="B85" s="136" t="s">
        <v>20</v>
      </c>
      <c r="C85" s="112" t="s">
        <v>159</v>
      </c>
      <c r="D85" s="68" t="s">
        <v>94</v>
      </c>
      <c r="E85" s="524">
        <v>0</v>
      </c>
      <c r="F85" s="524">
        <v>0</v>
      </c>
      <c r="G85" s="68">
        <v>600</v>
      </c>
      <c r="H85" s="68"/>
      <c r="I85" s="524"/>
      <c r="J85" s="524">
        <v>2200</v>
      </c>
      <c r="K85" s="524">
        <v>0</v>
      </c>
      <c r="L85" s="533">
        <f>SUM(E85:K85)</f>
        <v>2800</v>
      </c>
      <c r="M85" s="524"/>
      <c r="N85" s="524"/>
      <c r="O85" s="524">
        <v>0</v>
      </c>
      <c r="P85" s="524"/>
      <c r="Q85" s="534">
        <f aca="true" t="shared" si="25" ref="Q85:Q103">SUM(L85:P85)</f>
        <v>2800</v>
      </c>
      <c r="R85" s="545"/>
    </row>
    <row r="86" spans="1:18" ht="11.25" customHeight="1">
      <c r="A86" s="61"/>
      <c r="B86" s="82" t="s">
        <v>21</v>
      </c>
      <c r="C86" s="113" t="s">
        <v>160</v>
      </c>
      <c r="D86" s="63" t="s">
        <v>216</v>
      </c>
      <c r="E86" s="520"/>
      <c r="F86" s="520"/>
      <c r="G86" s="64"/>
      <c r="H86" s="64"/>
      <c r="I86" s="520">
        <v>100</v>
      </c>
      <c r="J86" s="521">
        <v>0</v>
      </c>
      <c r="K86" s="520"/>
      <c r="L86" s="516">
        <f aca="true" t="shared" si="26" ref="L86:L109">SUM(E86:K86)</f>
        <v>100</v>
      </c>
      <c r="M86" s="520"/>
      <c r="N86" s="520"/>
      <c r="O86" s="520"/>
      <c r="P86" s="520"/>
      <c r="Q86" s="522">
        <f>SUM(L86:P86)</f>
        <v>100</v>
      </c>
      <c r="R86" s="523"/>
    </row>
    <row r="87" spans="1:18" ht="11.25" customHeight="1" thickBot="1">
      <c r="A87" s="58"/>
      <c r="B87" s="80" t="s">
        <v>22</v>
      </c>
      <c r="C87" s="116" t="s">
        <v>160</v>
      </c>
      <c r="D87" s="60" t="s">
        <v>219</v>
      </c>
      <c r="E87" s="555"/>
      <c r="F87" s="555"/>
      <c r="G87" s="554">
        <f>2500+240</f>
        <v>2740</v>
      </c>
      <c r="H87" s="554"/>
      <c r="I87" s="555"/>
      <c r="J87" s="556"/>
      <c r="K87" s="555"/>
      <c r="L87" s="557">
        <f>SUM(E87:K87)</f>
        <v>2740</v>
      </c>
      <c r="M87" s="555"/>
      <c r="N87" s="555"/>
      <c r="O87" s="555"/>
      <c r="P87" s="555"/>
      <c r="Q87" s="558">
        <f>SUM(L87:P87)</f>
        <v>2740</v>
      </c>
      <c r="R87" s="579"/>
    </row>
    <row r="88" spans="1:18" s="70" customFormat="1" ht="11.25" customHeight="1">
      <c r="A88" s="54" t="s">
        <v>55</v>
      </c>
      <c r="B88" s="69" t="s">
        <v>77</v>
      </c>
      <c r="C88" s="115"/>
      <c r="D88" s="56" t="s">
        <v>127</v>
      </c>
      <c r="E88" s="535">
        <f aca="true" t="shared" si="27" ref="E88:K88">E89+E90</f>
        <v>0</v>
      </c>
      <c r="F88" s="535">
        <f t="shared" si="27"/>
        <v>0</v>
      </c>
      <c r="G88" s="535">
        <f t="shared" si="27"/>
        <v>42030</v>
      </c>
      <c r="H88" s="535"/>
      <c r="I88" s="535">
        <f t="shared" si="27"/>
        <v>0</v>
      </c>
      <c r="J88" s="559">
        <f t="shared" si="27"/>
        <v>0</v>
      </c>
      <c r="K88" s="535">
        <f t="shared" si="27"/>
        <v>0</v>
      </c>
      <c r="L88" s="535">
        <f t="shared" si="26"/>
        <v>42030</v>
      </c>
      <c r="M88" s="535"/>
      <c r="N88" s="535"/>
      <c r="O88" s="535"/>
      <c r="P88" s="535"/>
      <c r="Q88" s="56">
        <f t="shared" si="25"/>
        <v>42030</v>
      </c>
      <c r="R88" s="218"/>
    </row>
    <row r="89" spans="1:18" ht="11.25" customHeight="1">
      <c r="A89" s="71"/>
      <c r="B89" s="62" t="s">
        <v>19</v>
      </c>
      <c r="C89" s="113" t="s">
        <v>159</v>
      </c>
      <c r="D89" s="63" t="s">
        <v>75</v>
      </c>
      <c r="E89" s="520"/>
      <c r="F89" s="520"/>
      <c r="G89" s="64">
        <f>35430+3000</f>
        <v>38430</v>
      </c>
      <c r="H89" s="64"/>
      <c r="I89" s="520"/>
      <c r="J89" s="521">
        <v>0</v>
      </c>
      <c r="K89" s="520"/>
      <c r="L89" s="516">
        <f t="shared" si="26"/>
        <v>38430</v>
      </c>
      <c r="M89" s="520"/>
      <c r="N89" s="520"/>
      <c r="O89" s="520"/>
      <c r="P89" s="520"/>
      <c r="Q89" s="522">
        <f t="shared" si="25"/>
        <v>38430</v>
      </c>
      <c r="R89" s="211"/>
    </row>
    <row r="90" spans="1:18" ht="11.25" customHeight="1" thickBot="1">
      <c r="A90" s="72"/>
      <c r="B90" s="59" t="s">
        <v>20</v>
      </c>
      <c r="C90" s="116" t="s">
        <v>160</v>
      </c>
      <c r="D90" s="60" t="s">
        <v>138</v>
      </c>
      <c r="E90" s="555"/>
      <c r="F90" s="555"/>
      <c r="G90" s="554">
        <f>2600+1000</f>
        <v>3600</v>
      </c>
      <c r="H90" s="554"/>
      <c r="I90" s="555"/>
      <c r="J90" s="556">
        <v>0</v>
      </c>
      <c r="K90" s="555"/>
      <c r="L90" s="557">
        <f t="shared" si="26"/>
        <v>3600</v>
      </c>
      <c r="M90" s="555"/>
      <c r="N90" s="555"/>
      <c r="O90" s="555"/>
      <c r="P90" s="555"/>
      <c r="Q90" s="558">
        <f t="shared" si="25"/>
        <v>3600</v>
      </c>
      <c r="R90" s="221"/>
    </row>
    <row r="91" spans="1:18" s="70" customFormat="1" ht="11.25" customHeight="1">
      <c r="A91" s="47" t="s">
        <v>56</v>
      </c>
      <c r="B91" s="140" t="s">
        <v>77</v>
      </c>
      <c r="C91" s="167"/>
      <c r="D91" s="49" t="s">
        <v>74</v>
      </c>
      <c r="E91" s="552">
        <f>E92+E93+E94+E95</f>
        <v>0</v>
      </c>
      <c r="F91" s="552">
        <f aca="true" t="shared" si="28" ref="F91:K91">F92+F93+F94+F95</f>
        <v>0</v>
      </c>
      <c r="G91" s="552">
        <f t="shared" si="28"/>
        <v>28783</v>
      </c>
      <c r="H91" s="552">
        <f t="shared" si="28"/>
        <v>0</v>
      </c>
      <c r="I91" s="552">
        <f t="shared" si="28"/>
        <v>18060</v>
      </c>
      <c r="J91" s="552">
        <f t="shared" si="28"/>
        <v>1198</v>
      </c>
      <c r="K91" s="552">
        <f t="shared" si="28"/>
        <v>0</v>
      </c>
      <c r="L91" s="552">
        <f t="shared" si="26"/>
        <v>48041</v>
      </c>
      <c r="M91" s="552">
        <f>M92+M93+M94</f>
        <v>0</v>
      </c>
      <c r="N91" s="552"/>
      <c r="O91" s="552">
        <f>O92+O93+O94</f>
        <v>0</v>
      </c>
      <c r="P91" s="552">
        <f>P92+P93+P94</f>
        <v>0</v>
      </c>
      <c r="Q91" s="49">
        <f>SUM(L91:P91)</f>
        <v>48041</v>
      </c>
      <c r="R91" s="217"/>
    </row>
    <row r="92" spans="1:18" ht="11.25" customHeight="1">
      <c r="A92" s="61"/>
      <c r="B92" s="62">
        <v>1</v>
      </c>
      <c r="C92" s="113" t="s">
        <v>159</v>
      </c>
      <c r="D92" s="63" t="s">
        <v>136</v>
      </c>
      <c r="E92" s="520"/>
      <c r="F92" s="520"/>
      <c r="G92" s="520">
        <f>7000+2059</f>
        <v>9059</v>
      </c>
      <c r="H92" s="520"/>
      <c r="I92" s="520"/>
      <c r="J92" s="520">
        <v>1198</v>
      </c>
      <c r="K92" s="520"/>
      <c r="L92" s="516">
        <f t="shared" si="26"/>
        <v>10257</v>
      </c>
      <c r="M92" s="520"/>
      <c r="N92" s="520"/>
      <c r="O92" s="520"/>
      <c r="P92" s="520"/>
      <c r="Q92" s="522">
        <f>SUM(L92:P92)</f>
        <v>10257</v>
      </c>
      <c r="R92" s="211"/>
    </row>
    <row r="93" spans="1:18" ht="11.25" customHeight="1">
      <c r="A93" s="61"/>
      <c r="B93" s="62">
        <v>2</v>
      </c>
      <c r="C93" s="113" t="s">
        <v>159</v>
      </c>
      <c r="D93" s="55" t="s">
        <v>137</v>
      </c>
      <c r="E93" s="520"/>
      <c r="F93" s="520"/>
      <c r="G93" s="520">
        <f>25000+2560-5880-5880</f>
        <v>15800</v>
      </c>
      <c r="H93" s="520"/>
      <c r="I93" s="520"/>
      <c r="J93" s="521">
        <v>0</v>
      </c>
      <c r="K93" s="520"/>
      <c r="L93" s="516">
        <f t="shared" si="26"/>
        <v>15800</v>
      </c>
      <c r="M93" s="520">
        <v>0</v>
      </c>
      <c r="N93" s="520"/>
      <c r="O93" s="520">
        <f>1500-1500</f>
        <v>0</v>
      </c>
      <c r="P93" s="520"/>
      <c r="Q93" s="522">
        <f>SUM(L93:P93)</f>
        <v>15800</v>
      </c>
      <c r="R93" s="211"/>
    </row>
    <row r="94" spans="1:18" ht="11.25" customHeight="1">
      <c r="A94" s="54"/>
      <c r="B94" s="69">
        <v>3</v>
      </c>
      <c r="C94" s="115" t="s">
        <v>159</v>
      </c>
      <c r="D94" s="76" t="s">
        <v>139</v>
      </c>
      <c r="E94" s="536"/>
      <c r="F94" s="536"/>
      <c r="G94" s="536">
        <v>3924</v>
      </c>
      <c r="H94" s="536"/>
      <c r="I94" s="536"/>
      <c r="J94" s="538">
        <v>0</v>
      </c>
      <c r="K94" s="536"/>
      <c r="L94" s="533">
        <f t="shared" si="26"/>
        <v>3924</v>
      </c>
      <c r="M94" s="536"/>
      <c r="N94" s="536"/>
      <c r="O94" s="536"/>
      <c r="P94" s="536"/>
      <c r="Q94" s="534">
        <f>SUM(L94:P94)</f>
        <v>3924</v>
      </c>
      <c r="R94" s="218"/>
    </row>
    <row r="95" spans="1:18" ht="11.25" customHeight="1" thickBot="1">
      <c r="A95" s="58"/>
      <c r="B95" s="59">
        <v>4</v>
      </c>
      <c r="C95" s="116" t="s">
        <v>159</v>
      </c>
      <c r="D95" s="60" t="s">
        <v>465</v>
      </c>
      <c r="E95" s="555"/>
      <c r="F95" s="555"/>
      <c r="G95" s="555"/>
      <c r="H95" s="555"/>
      <c r="I95" s="555">
        <f>5880+3150+5880+3150</f>
        <v>18060</v>
      </c>
      <c r="J95" s="556"/>
      <c r="K95" s="555"/>
      <c r="L95" s="557">
        <f>SUM(E95:K95)</f>
        <v>18060</v>
      </c>
      <c r="M95" s="555"/>
      <c r="N95" s="555"/>
      <c r="O95" s="555"/>
      <c r="P95" s="555"/>
      <c r="Q95" s="558">
        <f>SUM(L95:P95)</f>
        <v>18060</v>
      </c>
      <c r="R95" s="221"/>
    </row>
    <row r="96" spans="1:18" s="70" customFormat="1" ht="11.25" customHeight="1" thickBot="1">
      <c r="A96" s="75" t="s">
        <v>57</v>
      </c>
      <c r="B96" s="142" t="s">
        <v>19</v>
      </c>
      <c r="C96" s="131" t="s">
        <v>159</v>
      </c>
      <c r="D96" s="57" t="s">
        <v>104</v>
      </c>
      <c r="E96" s="542"/>
      <c r="F96" s="542"/>
      <c r="G96" s="57">
        <v>3000</v>
      </c>
      <c r="H96" s="57"/>
      <c r="I96" s="542"/>
      <c r="J96" s="543">
        <f>1000+4566</f>
        <v>5566</v>
      </c>
      <c r="K96" s="542">
        <v>0</v>
      </c>
      <c r="L96" s="542">
        <f t="shared" si="26"/>
        <v>8566</v>
      </c>
      <c r="M96" s="542"/>
      <c r="N96" s="542"/>
      <c r="O96" s="542"/>
      <c r="P96" s="542"/>
      <c r="Q96" s="57">
        <f t="shared" si="25"/>
        <v>8566</v>
      </c>
      <c r="R96" s="208"/>
    </row>
    <row r="97" spans="1:18" s="70" customFormat="1" ht="12.75" customHeight="1" thickBot="1">
      <c r="A97" s="54" t="s">
        <v>145</v>
      </c>
      <c r="B97" s="69" t="s">
        <v>19</v>
      </c>
      <c r="C97" s="115" t="s">
        <v>160</v>
      </c>
      <c r="D97" s="56" t="s">
        <v>105</v>
      </c>
      <c r="E97" s="535">
        <f>1080-500</f>
        <v>580</v>
      </c>
      <c r="F97" s="535">
        <f>520-150</f>
        <v>370</v>
      </c>
      <c r="G97" s="56">
        <v>624</v>
      </c>
      <c r="H97" s="56"/>
      <c r="I97" s="535"/>
      <c r="J97" s="559">
        <v>0</v>
      </c>
      <c r="K97" s="535"/>
      <c r="L97" s="542">
        <f aca="true" t="shared" si="29" ref="L97:L102">SUM(E97:K97)</f>
        <v>1574</v>
      </c>
      <c r="M97" s="535"/>
      <c r="N97" s="535"/>
      <c r="O97" s="535"/>
      <c r="P97" s="535"/>
      <c r="Q97" s="57">
        <f t="shared" si="25"/>
        <v>1574</v>
      </c>
      <c r="R97" s="208"/>
    </row>
    <row r="98" spans="1:18" s="70" customFormat="1" ht="12.75" customHeight="1" thickBot="1">
      <c r="A98" s="75" t="s">
        <v>58</v>
      </c>
      <c r="B98" s="142" t="s">
        <v>19</v>
      </c>
      <c r="C98" s="123" t="s">
        <v>160</v>
      </c>
      <c r="D98" s="57" t="s">
        <v>106</v>
      </c>
      <c r="E98" s="542">
        <f>2000+400+140+2+8+63+200</f>
        <v>2813</v>
      </c>
      <c r="F98" s="542">
        <f>650+72-8+12+55</f>
        <v>781</v>
      </c>
      <c r="G98" s="57">
        <v>480</v>
      </c>
      <c r="H98" s="57"/>
      <c r="I98" s="542"/>
      <c r="J98" s="543">
        <v>0</v>
      </c>
      <c r="K98" s="542"/>
      <c r="L98" s="542">
        <f t="shared" si="29"/>
        <v>4074</v>
      </c>
      <c r="M98" s="542"/>
      <c r="N98" s="542"/>
      <c r="O98" s="542"/>
      <c r="P98" s="542"/>
      <c r="Q98" s="57">
        <f>SUM(L98:P98)</f>
        <v>4074</v>
      </c>
      <c r="R98" s="544">
        <v>1</v>
      </c>
    </row>
    <row r="99" spans="1:18" s="70" customFormat="1" ht="12.75" customHeight="1">
      <c r="A99" s="50" t="s">
        <v>146</v>
      </c>
      <c r="B99" s="81"/>
      <c r="C99" s="122"/>
      <c r="D99" s="53" t="s">
        <v>107</v>
      </c>
      <c r="E99" s="560">
        <f>SUM(E100:E103)</f>
        <v>70</v>
      </c>
      <c r="F99" s="560">
        <f>SUM(F100:F103)</f>
        <v>50</v>
      </c>
      <c r="G99" s="560">
        <f>SUM(G100:G103)</f>
        <v>2840</v>
      </c>
      <c r="H99" s="560"/>
      <c r="I99" s="560">
        <f>SUM(I100:I103)</f>
        <v>500</v>
      </c>
      <c r="J99" s="580">
        <f>SUM(J100:J103)</f>
        <v>500</v>
      </c>
      <c r="K99" s="560">
        <f>SUM(K100:K103)</f>
        <v>0</v>
      </c>
      <c r="L99" s="560">
        <f t="shared" si="29"/>
        <v>3960</v>
      </c>
      <c r="M99" s="560">
        <f>SUM(M100:M103)</f>
        <v>0</v>
      </c>
      <c r="N99" s="560"/>
      <c r="O99" s="560">
        <f>SUM(O100:O103)</f>
        <v>0</v>
      </c>
      <c r="P99" s="560">
        <f>SUM(P100:P103)</f>
        <v>0</v>
      </c>
      <c r="Q99" s="53">
        <f t="shared" si="25"/>
        <v>3960</v>
      </c>
      <c r="R99" s="517"/>
    </row>
    <row r="100" spans="1:18" ht="11.25" customHeight="1">
      <c r="A100" s="61"/>
      <c r="B100" s="82" t="s">
        <v>19</v>
      </c>
      <c r="C100" s="113" t="s">
        <v>160</v>
      </c>
      <c r="D100" s="64" t="s">
        <v>128</v>
      </c>
      <c r="E100" s="520"/>
      <c r="F100" s="520"/>
      <c r="G100" s="64">
        <f>1000+100+500+600</f>
        <v>2200</v>
      </c>
      <c r="H100" s="64"/>
      <c r="I100" s="520"/>
      <c r="J100" s="521">
        <v>0</v>
      </c>
      <c r="K100" s="520">
        <v>0</v>
      </c>
      <c r="L100" s="516">
        <f t="shared" si="29"/>
        <v>2200</v>
      </c>
      <c r="M100" s="520">
        <v>0</v>
      </c>
      <c r="N100" s="520"/>
      <c r="O100" s="520"/>
      <c r="P100" s="520"/>
      <c r="Q100" s="522">
        <f t="shared" si="25"/>
        <v>2200</v>
      </c>
      <c r="R100" s="523"/>
    </row>
    <row r="101" spans="1:18" ht="11.25" customHeight="1">
      <c r="A101" s="61"/>
      <c r="B101" s="62" t="s">
        <v>20</v>
      </c>
      <c r="C101" s="122" t="s">
        <v>160</v>
      </c>
      <c r="D101" s="52" t="s">
        <v>108</v>
      </c>
      <c r="E101" s="520"/>
      <c r="F101" s="520"/>
      <c r="G101" s="64">
        <f>150+10</f>
        <v>160</v>
      </c>
      <c r="H101" s="64"/>
      <c r="I101" s="520">
        <f>400+100</f>
        <v>500</v>
      </c>
      <c r="J101" s="521">
        <v>0</v>
      </c>
      <c r="K101" s="520"/>
      <c r="L101" s="516">
        <f t="shared" si="29"/>
        <v>660</v>
      </c>
      <c r="M101" s="520"/>
      <c r="N101" s="520"/>
      <c r="O101" s="520"/>
      <c r="P101" s="520"/>
      <c r="Q101" s="522">
        <f t="shared" si="25"/>
        <v>660</v>
      </c>
      <c r="R101" s="523"/>
    </row>
    <row r="102" spans="1:18" ht="11.25" customHeight="1">
      <c r="A102" s="65"/>
      <c r="B102" s="66" t="s">
        <v>21</v>
      </c>
      <c r="C102" s="115" t="s">
        <v>160</v>
      </c>
      <c r="D102" s="52" t="s">
        <v>348</v>
      </c>
      <c r="E102" s="524">
        <v>0</v>
      </c>
      <c r="F102" s="524">
        <v>0</v>
      </c>
      <c r="G102" s="68">
        <f>21-21</f>
        <v>0</v>
      </c>
      <c r="H102" s="68"/>
      <c r="I102" s="524"/>
      <c r="J102" s="532">
        <v>500</v>
      </c>
      <c r="K102" s="524"/>
      <c r="L102" s="516">
        <f t="shared" si="29"/>
        <v>500</v>
      </c>
      <c r="M102" s="524"/>
      <c r="N102" s="524"/>
      <c r="O102" s="524"/>
      <c r="P102" s="524"/>
      <c r="Q102" s="522">
        <f t="shared" si="25"/>
        <v>500</v>
      </c>
      <c r="R102" s="222"/>
    </row>
    <row r="103" spans="1:18" ht="11.25" customHeight="1" thickBot="1">
      <c r="A103" s="65"/>
      <c r="B103" s="66" t="s">
        <v>22</v>
      </c>
      <c r="C103" s="112" t="s">
        <v>159</v>
      </c>
      <c r="D103" s="63" t="s">
        <v>431</v>
      </c>
      <c r="E103" s="524">
        <v>70</v>
      </c>
      <c r="F103" s="524">
        <v>50</v>
      </c>
      <c r="G103" s="68">
        <f>600-70-50</f>
        <v>480</v>
      </c>
      <c r="H103" s="68"/>
      <c r="I103" s="524"/>
      <c r="J103" s="532">
        <v>0</v>
      </c>
      <c r="K103" s="524"/>
      <c r="L103" s="516">
        <f t="shared" si="26"/>
        <v>600</v>
      </c>
      <c r="M103" s="524"/>
      <c r="N103" s="524"/>
      <c r="O103" s="524"/>
      <c r="P103" s="524"/>
      <c r="Q103" s="522">
        <f t="shared" si="25"/>
        <v>600</v>
      </c>
      <c r="R103" s="222"/>
    </row>
    <row r="104" spans="1:18" s="70" customFormat="1" ht="12.75" customHeight="1" thickBot="1">
      <c r="A104" s="75" t="s">
        <v>142</v>
      </c>
      <c r="B104" s="142" t="s">
        <v>19</v>
      </c>
      <c r="C104" s="123" t="s">
        <v>159</v>
      </c>
      <c r="D104" s="57" t="s">
        <v>109</v>
      </c>
      <c r="E104" s="542"/>
      <c r="F104" s="542"/>
      <c r="G104" s="57">
        <f>9000+5031-1000</f>
        <v>13031</v>
      </c>
      <c r="H104" s="57"/>
      <c r="I104" s="542"/>
      <c r="J104" s="543">
        <v>0</v>
      </c>
      <c r="K104" s="542"/>
      <c r="L104" s="542">
        <f t="shared" si="26"/>
        <v>13031</v>
      </c>
      <c r="M104" s="542"/>
      <c r="N104" s="542"/>
      <c r="O104" s="542">
        <v>0</v>
      </c>
      <c r="P104" s="542"/>
      <c r="Q104" s="57">
        <f aca="true" t="shared" si="30" ref="Q104:Q117">SUM(L104:P104)</f>
        <v>13031</v>
      </c>
      <c r="R104" s="208"/>
    </row>
    <row r="105" spans="1:18" ht="12.75" customHeight="1">
      <c r="A105" s="54" t="s">
        <v>147</v>
      </c>
      <c r="B105" s="69"/>
      <c r="C105" s="115"/>
      <c r="D105" s="56" t="s">
        <v>129</v>
      </c>
      <c r="E105" s="535">
        <f>E106+E108+E109+E110+E111+E112+E113+E114</f>
        <v>0</v>
      </c>
      <c r="F105" s="535">
        <f aca="true" t="shared" si="31" ref="F105:K105">F106+F108+F109+F110+F111+F112+F113+F114</f>
        <v>0</v>
      </c>
      <c r="G105" s="535">
        <f t="shared" si="31"/>
        <v>112772</v>
      </c>
      <c r="H105" s="535">
        <f t="shared" si="31"/>
        <v>0</v>
      </c>
      <c r="I105" s="535">
        <f>I106+I108+I109+I110+I111+I112+I113+I114</f>
        <v>650</v>
      </c>
      <c r="J105" s="535">
        <f t="shared" si="31"/>
        <v>700</v>
      </c>
      <c r="K105" s="535">
        <f t="shared" si="31"/>
        <v>0</v>
      </c>
      <c r="L105" s="535">
        <f>SUM(E105:K105)</f>
        <v>114122</v>
      </c>
      <c r="M105" s="535">
        <f>M106+M108+M109+M110+M111+M112</f>
        <v>0</v>
      </c>
      <c r="N105" s="535">
        <f>N106+N108+N109+N110+N111+N112</f>
        <v>12754</v>
      </c>
      <c r="O105" s="535">
        <f>O106+O108+O109+O110+O111+O112</f>
        <v>1640</v>
      </c>
      <c r="P105" s="535">
        <f>P106+P108+P109+P110+P111+P112</f>
        <v>0</v>
      </c>
      <c r="Q105" s="56">
        <f>SUM(L105:P105)</f>
        <v>128516</v>
      </c>
      <c r="R105" s="218"/>
    </row>
    <row r="106" spans="1:18" ht="12.75" customHeight="1">
      <c r="A106" s="65"/>
      <c r="B106" s="919">
        <v>1</v>
      </c>
      <c r="C106" s="112"/>
      <c r="D106" s="67" t="s">
        <v>230</v>
      </c>
      <c r="E106" s="524">
        <f>E107</f>
        <v>0</v>
      </c>
      <c r="F106" s="524">
        <f aca="true" t="shared" si="32" ref="F106:K106">F107</f>
        <v>0</v>
      </c>
      <c r="G106" s="524">
        <f t="shared" si="32"/>
        <v>0</v>
      </c>
      <c r="H106" s="524">
        <f t="shared" si="32"/>
        <v>0</v>
      </c>
      <c r="I106" s="524">
        <f t="shared" si="32"/>
        <v>0</v>
      </c>
      <c r="J106" s="524">
        <f t="shared" si="32"/>
        <v>0</v>
      </c>
      <c r="K106" s="524">
        <f t="shared" si="32"/>
        <v>0</v>
      </c>
      <c r="L106" s="516">
        <f t="shared" si="26"/>
        <v>0</v>
      </c>
      <c r="M106" s="524">
        <f>M107</f>
        <v>0</v>
      </c>
      <c r="N106" s="524">
        <f>N107</f>
        <v>0</v>
      </c>
      <c r="O106" s="524">
        <f>O107</f>
        <v>1640</v>
      </c>
      <c r="P106" s="524">
        <f>P107</f>
        <v>0</v>
      </c>
      <c r="Q106" s="522">
        <f t="shared" si="30"/>
        <v>1640</v>
      </c>
      <c r="R106" s="222"/>
    </row>
    <row r="107" spans="1:18" s="110" customFormat="1" ht="11.25" customHeight="1">
      <c r="A107" s="126"/>
      <c r="B107" s="920"/>
      <c r="C107" s="127" t="s">
        <v>159</v>
      </c>
      <c r="D107" s="114" t="s">
        <v>170</v>
      </c>
      <c r="E107" s="519"/>
      <c r="F107" s="519"/>
      <c r="G107" s="602"/>
      <c r="H107" s="602"/>
      <c r="I107" s="519"/>
      <c r="J107" s="603"/>
      <c r="K107" s="519">
        <v>0</v>
      </c>
      <c r="L107" s="528">
        <f t="shared" si="26"/>
        <v>0</v>
      </c>
      <c r="M107" s="519"/>
      <c r="N107" s="519"/>
      <c r="O107" s="519">
        <v>1640</v>
      </c>
      <c r="P107" s="519"/>
      <c r="Q107" s="604">
        <f t="shared" si="30"/>
        <v>1640</v>
      </c>
      <c r="R107" s="219"/>
    </row>
    <row r="108" spans="1:18" ht="11.25" customHeight="1">
      <c r="A108" s="61"/>
      <c r="B108" s="62">
        <v>2</v>
      </c>
      <c r="C108" s="113" t="s">
        <v>160</v>
      </c>
      <c r="D108" s="63" t="s">
        <v>130</v>
      </c>
      <c r="E108" s="520"/>
      <c r="F108" s="520"/>
      <c r="G108" s="64"/>
      <c r="H108" s="64"/>
      <c r="I108" s="520"/>
      <c r="J108" s="521">
        <v>700</v>
      </c>
      <c r="K108" s="520">
        <v>0</v>
      </c>
      <c r="L108" s="516">
        <f t="shared" si="26"/>
        <v>700</v>
      </c>
      <c r="M108" s="520"/>
      <c r="N108" s="520"/>
      <c r="O108" s="520"/>
      <c r="P108" s="520"/>
      <c r="Q108" s="522">
        <f t="shared" si="30"/>
        <v>700</v>
      </c>
      <c r="R108" s="211"/>
    </row>
    <row r="109" spans="1:18" ht="11.25" customHeight="1">
      <c r="A109" s="61"/>
      <c r="B109" s="62">
        <v>3</v>
      </c>
      <c r="C109" s="113" t="s">
        <v>160</v>
      </c>
      <c r="D109" s="64" t="s">
        <v>131</v>
      </c>
      <c r="E109" s="520"/>
      <c r="F109" s="520"/>
      <c r="G109" s="64">
        <f>30400+2788</f>
        <v>33188</v>
      </c>
      <c r="H109" s="64"/>
      <c r="I109" s="520"/>
      <c r="J109" s="521">
        <v>0</v>
      </c>
      <c r="K109" s="520"/>
      <c r="L109" s="516">
        <f t="shared" si="26"/>
        <v>33188</v>
      </c>
      <c r="M109" s="520">
        <v>0</v>
      </c>
      <c r="N109" s="520"/>
      <c r="O109" s="520"/>
      <c r="P109" s="520"/>
      <c r="Q109" s="522">
        <f t="shared" si="30"/>
        <v>33188</v>
      </c>
      <c r="R109" s="523"/>
    </row>
    <row r="110" spans="1:18" ht="11.25" customHeight="1">
      <c r="A110" s="65"/>
      <c r="B110" s="66">
        <v>4</v>
      </c>
      <c r="C110" s="112" t="s">
        <v>160</v>
      </c>
      <c r="D110" s="68" t="s">
        <v>475</v>
      </c>
      <c r="E110" s="524"/>
      <c r="F110" s="524"/>
      <c r="G110" s="68">
        <f>72200+6948</f>
        <v>79148</v>
      </c>
      <c r="H110" s="68"/>
      <c r="I110" s="524"/>
      <c r="J110" s="532">
        <v>0</v>
      </c>
      <c r="K110" s="524"/>
      <c r="L110" s="533">
        <f>SUM(E110:K110)</f>
        <v>79148</v>
      </c>
      <c r="M110" s="524">
        <v>0</v>
      </c>
      <c r="N110" s="524"/>
      <c r="O110" s="524"/>
      <c r="P110" s="524"/>
      <c r="Q110" s="534">
        <f>SUM(L110:P110)</f>
        <v>79148</v>
      </c>
      <c r="R110" s="545"/>
    </row>
    <row r="111" spans="1:18" ht="12.75" customHeight="1">
      <c r="A111" s="61"/>
      <c r="B111" s="62">
        <v>5</v>
      </c>
      <c r="C111" s="113" t="s">
        <v>159</v>
      </c>
      <c r="D111" s="917" t="s">
        <v>477</v>
      </c>
      <c r="E111" s="918"/>
      <c r="F111" s="520"/>
      <c r="G111" s="64">
        <f>750-314</f>
        <v>436</v>
      </c>
      <c r="H111" s="64"/>
      <c r="I111" s="520"/>
      <c r="J111" s="521"/>
      <c r="K111" s="520"/>
      <c r="L111" s="533">
        <f>SUM(E111:K111)</f>
        <v>436</v>
      </c>
      <c r="M111" s="520">
        <f>10500-750-9750</f>
        <v>0</v>
      </c>
      <c r="N111" s="520">
        <v>9754</v>
      </c>
      <c r="O111" s="520"/>
      <c r="P111" s="520"/>
      <c r="Q111" s="534">
        <f>SUM(L111:P111)</f>
        <v>10190</v>
      </c>
      <c r="R111" s="211"/>
    </row>
    <row r="112" spans="1:18" ht="11.25" customHeight="1">
      <c r="A112" s="54"/>
      <c r="B112" s="69">
        <v>6</v>
      </c>
      <c r="C112" s="115" t="s">
        <v>159</v>
      </c>
      <c r="D112" s="55" t="s">
        <v>359</v>
      </c>
      <c r="E112" s="215"/>
      <c r="F112" s="215"/>
      <c r="G112" s="755"/>
      <c r="H112" s="216"/>
      <c r="I112" s="215"/>
      <c r="J112" s="513"/>
      <c r="K112" s="215"/>
      <c r="L112" s="533">
        <f>SUM(E112:K112)</f>
        <v>0</v>
      </c>
      <c r="M112" s="536"/>
      <c r="N112" s="536">
        <v>3000</v>
      </c>
      <c r="O112" s="536">
        <f>3000-3000</f>
        <v>0</v>
      </c>
      <c r="P112" s="536"/>
      <c r="Q112" s="534">
        <f>SUM(L112:P112)</f>
        <v>3000</v>
      </c>
      <c r="R112" s="218"/>
    </row>
    <row r="113" spans="1:18" ht="11.25" customHeight="1">
      <c r="A113" s="65"/>
      <c r="B113" s="66">
        <v>7</v>
      </c>
      <c r="C113" s="112" t="s">
        <v>160</v>
      </c>
      <c r="D113" s="76" t="s">
        <v>449</v>
      </c>
      <c r="E113" s="213"/>
      <c r="F113" s="213"/>
      <c r="G113" s="752"/>
      <c r="H113" s="214"/>
      <c r="I113" s="524">
        <f>100+150</f>
        <v>250</v>
      </c>
      <c r="J113" s="512"/>
      <c r="K113" s="213"/>
      <c r="L113" s="533">
        <f>SUM(E113:K113)</f>
        <v>250</v>
      </c>
      <c r="M113" s="524"/>
      <c r="N113" s="524"/>
      <c r="O113" s="524"/>
      <c r="P113" s="524"/>
      <c r="Q113" s="534">
        <f>SUM(L113:O113)</f>
        <v>250</v>
      </c>
      <c r="R113" s="222"/>
    </row>
    <row r="114" spans="1:18" ht="11.25" customHeight="1" thickBot="1">
      <c r="A114" s="58"/>
      <c r="B114" s="59">
        <v>8</v>
      </c>
      <c r="C114" s="116" t="s">
        <v>160</v>
      </c>
      <c r="D114" s="60" t="s">
        <v>462</v>
      </c>
      <c r="E114" s="724"/>
      <c r="F114" s="724"/>
      <c r="G114" s="753"/>
      <c r="H114" s="725"/>
      <c r="I114" s="555">
        <v>400</v>
      </c>
      <c r="J114" s="726"/>
      <c r="K114" s="724"/>
      <c r="L114" s="557">
        <f>SUM(E114:K114)</f>
        <v>400</v>
      </c>
      <c r="M114" s="555"/>
      <c r="N114" s="555"/>
      <c r="O114" s="555"/>
      <c r="P114" s="555"/>
      <c r="Q114" s="558">
        <f>SUM(L114:O114)</f>
        <v>400</v>
      </c>
      <c r="R114" s="221"/>
    </row>
    <row r="115" spans="1:18" s="70" customFormat="1" ht="10.5" customHeight="1" thickBot="1">
      <c r="A115" s="75" t="s">
        <v>148</v>
      </c>
      <c r="B115" s="142" t="s">
        <v>19</v>
      </c>
      <c r="C115" s="119" t="s">
        <v>159</v>
      </c>
      <c r="D115" s="102" t="s">
        <v>209</v>
      </c>
      <c r="E115" s="542"/>
      <c r="F115" s="542"/>
      <c r="G115" s="754"/>
      <c r="H115" s="57"/>
      <c r="I115" s="542"/>
      <c r="J115" s="543">
        <v>7483</v>
      </c>
      <c r="K115" s="542">
        <v>0</v>
      </c>
      <c r="L115" s="542">
        <f aca="true" t="shared" si="33" ref="L115:L124">SUM(E115:K115)</f>
        <v>7483</v>
      </c>
      <c r="M115" s="542"/>
      <c r="N115" s="542"/>
      <c r="O115" s="542"/>
      <c r="P115" s="542"/>
      <c r="Q115" s="57">
        <f t="shared" si="30"/>
        <v>7483</v>
      </c>
      <c r="R115" s="544"/>
    </row>
    <row r="116" spans="1:18" ht="12.75" customHeight="1">
      <c r="A116" s="47" t="s">
        <v>149</v>
      </c>
      <c r="B116" s="48"/>
      <c r="C116" s="108"/>
      <c r="D116" s="49" t="s">
        <v>394</v>
      </c>
      <c r="E116" s="552">
        <f aca="true" t="shared" si="34" ref="E116:K116">SUM(E117:E120)</f>
        <v>0</v>
      </c>
      <c r="F116" s="552">
        <f t="shared" si="34"/>
        <v>0</v>
      </c>
      <c r="G116" s="552">
        <f t="shared" si="34"/>
        <v>130</v>
      </c>
      <c r="H116" s="552">
        <f>SUM(H117:H121)</f>
        <v>16200</v>
      </c>
      <c r="I116" s="552">
        <f t="shared" si="34"/>
        <v>0</v>
      </c>
      <c r="J116" s="552">
        <f t="shared" si="34"/>
        <v>0</v>
      </c>
      <c r="K116" s="552">
        <f t="shared" si="34"/>
        <v>0</v>
      </c>
      <c r="L116" s="552">
        <f t="shared" si="33"/>
        <v>16330</v>
      </c>
      <c r="M116" s="552">
        <f>SUM(M117:M117)</f>
        <v>0</v>
      </c>
      <c r="N116" s="552"/>
      <c r="O116" s="552">
        <f>SUM(O117:O117)</f>
        <v>0</v>
      </c>
      <c r="P116" s="552">
        <f>SUM(P117:P117)</f>
        <v>0</v>
      </c>
      <c r="Q116" s="49">
        <f t="shared" si="30"/>
        <v>16330</v>
      </c>
      <c r="R116" s="217"/>
    </row>
    <row r="117" spans="1:18" ht="11.25" customHeight="1">
      <c r="A117" s="61"/>
      <c r="B117" s="62" t="s">
        <v>19</v>
      </c>
      <c r="C117" s="113" t="s">
        <v>159</v>
      </c>
      <c r="D117" s="63" t="s">
        <v>334</v>
      </c>
      <c r="E117" s="520"/>
      <c r="F117" s="520"/>
      <c r="G117" s="64"/>
      <c r="H117" s="64">
        <v>500</v>
      </c>
      <c r="I117" s="520">
        <v>0</v>
      </c>
      <c r="J117" s="520">
        <v>0</v>
      </c>
      <c r="K117" s="520"/>
      <c r="L117" s="516">
        <f t="shared" si="33"/>
        <v>500</v>
      </c>
      <c r="M117" s="520"/>
      <c r="N117" s="520"/>
      <c r="O117" s="520"/>
      <c r="P117" s="520"/>
      <c r="Q117" s="522">
        <f t="shared" si="30"/>
        <v>500</v>
      </c>
      <c r="R117" s="211"/>
    </row>
    <row r="118" spans="1:18" ht="11.25" customHeight="1">
      <c r="A118" s="61"/>
      <c r="B118" s="62" t="s">
        <v>20</v>
      </c>
      <c r="C118" s="113" t="s">
        <v>159</v>
      </c>
      <c r="D118" s="63" t="s">
        <v>81</v>
      </c>
      <c r="E118" s="520"/>
      <c r="F118" s="520"/>
      <c r="G118" s="64"/>
      <c r="H118" s="64">
        <v>100</v>
      </c>
      <c r="I118" s="520">
        <v>0</v>
      </c>
      <c r="J118" s="520"/>
      <c r="K118" s="520"/>
      <c r="L118" s="516">
        <f t="shared" si="33"/>
        <v>100</v>
      </c>
      <c r="M118" s="520"/>
      <c r="N118" s="520"/>
      <c r="O118" s="520"/>
      <c r="P118" s="520"/>
      <c r="Q118" s="522">
        <f>L118</f>
        <v>100</v>
      </c>
      <c r="R118" s="211"/>
    </row>
    <row r="119" spans="1:18" ht="11.25" customHeight="1">
      <c r="A119" s="65"/>
      <c r="B119" s="66" t="s">
        <v>21</v>
      </c>
      <c r="C119" s="112" t="s">
        <v>160</v>
      </c>
      <c r="D119" s="76" t="s">
        <v>335</v>
      </c>
      <c r="E119" s="524"/>
      <c r="F119" s="524"/>
      <c r="G119" s="68">
        <v>130</v>
      </c>
      <c r="H119" s="68"/>
      <c r="I119" s="524"/>
      <c r="J119" s="524"/>
      <c r="K119" s="524"/>
      <c r="L119" s="516">
        <f t="shared" si="33"/>
        <v>130</v>
      </c>
      <c r="M119" s="524"/>
      <c r="N119" s="524"/>
      <c r="O119" s="524"/>
      <c r="P119" s="524"/>
      <c r="Q119" s="522">
        <f>L119</f>
        <v>130</v>
      </c>
      <c r="R119" s="222"/>
    </row>
    <row r="120" spans="1:18" ht="11.25" customHeight="1">
      <c r="A120" s="65"/>
      <c r="B120" s="66" t="s">
        <v>22</v>
      </c>
      <c r="C120" s="112" t="s">
        <v>159</v>
      </c>
      <c r="D120" s="76" t="s">
        <v>82</v>
      </c>
      <c r="E120" s="524"/>
      <c r="F120" s="524"/>
      <c r="G120" s="68">
        <v>0</v>
      </c>
      <c r="H120" s="68">
        <v>600</v>
      </c>
      <c r="I120" s="524">
        <v>0</v>
      </c>
      <c r="J120" s="524">
        <v>0</v>
      </c>
      <c r="K120" s="524"/>
      <c r="L120" s="533">
        <f t="shared" si="33"/>
        <v>600</v>
      </c>
      <c r="M120" s="524"/>
      <c r="N120" s="524"/>
      <c r="O120" s="524"/>
      <c r="P120" s="524"/>
      <c r="Q120" s="534">
        <f aca="true" t="shared" si="35" ref="Q120:Q125">SUM(L120:P120)</f>
        <v>600</v>
      </c>
      <c r="R120" s="545"/>
    </row>
    <row r="121" spans="1:18" ht="11.25" customHeight="1" thickBot="1">
      <c r="A121" s="58"/>
      <c r="B121" s="59" t="s">
        <v>23</v>
      </c>
      <c r="C121" s="116" t="s">
        <v>159</v>
      </c>
      <c r="D121" s="60" t="s">
        <v>401</v>
      </c>
      <c r="E121" s="555"/>
      <c r="F121" s="555"/>
      <c r="G121" s="554"/>
      <c r="H121" s="554">
        <v>15000</v>
      </c>
      <c r="I121" s="555"/>
      <c r="J121" s="555"/>
      <c r="K121" s="555"/>
      <c r="L121" s="557">
        <f>SUM(E121:K121)</f>
        <v>15000</v>
      </c>
      <c r="M121" s="555"/>
      <c r="N121" s="555"/>
      <c r="O121" s="555"/>
      <c r="P121" s="555"/>
      <c r="Q121" s="558">
        <f t="shared" si="35"/>
        <v>15000</v>
      </c>
      <c r="R121" s="221"/>
    </row>
    <row r="122" spans="1:18" ht="12.75" customHeight="1">
      <c r="A122" s="50" t="s">
        <v>187</v>
      </c>
      <c r="B122" s="81"/>
      <c r="C122" s="106"/>
      <c r="D122" s="53" t="s">
        <v>111</v>
      </c>
      <c r="E122" s="560">
        <f aca="true" t="shared" si="36" ref="E122:K122">SUM(E123:E125)</f>
        <v>5820</v>
      </c>
      <c r="F122" s="560">
        <f t="shared" si="36"/>
        <v>1577</v>
      </c>
      <c r="G122" s="560">
        <f t="shared" si="36"/>
        <v>58015</v>
      </c>
      <c r="H122" s="560">
        <f t="shared" si="36"/>
        <v>0</v>
      </c>
      <c r="I122" s="560">
        <f>SUM(I123:I126)</f>
        <v>8086</v>
      </c>
      <c r="J122" s="560">
        <f t="shared" si="36"/>
        <v>0</v>
      </c>
      <c r="K122" s="560">
        <f t="shared" si="36"/>
        <v>0</v>
      </c>
      <c r="L122" s="560">
        <f>SUM(E122:K122)</f>
        <v>73498</v>
      </c>
      <c r="M122" s="560">
        <f>SUM(M123:M125)</f>
        <v>5536</v>
      </c>
      <c r="N122" s="560">
        <f>SUM(N123:N125)</f>
        <v>0</v>
      </c>
      <c r="O122" s="560">
        <f>SUM(O123:O125)</f>
        <v>0</v>
      </c>
      <c r="P122" s="560">
        <f>SUM(P123:P125)</f>
        <v>0</v>
      </c>
      <c r="Q122" s="53">
        <f t="shared" si="35"/>
        <v>79034</v>
      </c>
      <c r="R122" s="517">
        <f>R123</f>
        <v>2</v>
      </c>
    </row>
    <row r="123" spans="1:18" ht="21" customHeight="1">
      <c r="A123" s="61"/>
      <c r="B123" s="62" t="s">
        <v>19</v>
      </c>
      <c r="C123" s="113" t="s">
        <v>160</v>
      </c>
      <c r="D123" s="94" t="s">
        <v>325</v>
      </c>
      <c r="E123" s="520">
        <f>12112-4506-3136+1350</f>
        <v>5820</v>
      </c>
      <c r="F123" s="520">
        <f>3270-1212-846+365</f>
        <v>1577</v>
      </c>
      <c r="G123" s="64">
        <f>2117+60525+34894+238+16332+787-16332-51124+1433+4460+100+4585</f>
        <v>58015</v>
      </c>
      <c r="H123" s="64"/>
      <c r="I123" s="520">
        <v>0</v>
      </c>
      <c r="J123" s="520">
        <v>0</v>
      </c>
      <c r="K123" s="520"/>
      <c r="L123" s="560">
        <f>SUM(E123:K123)</f>
        <v>65412</v>
      </c>
      <c r="M123" s="520">
        <f>'6.mell'!D49</f>
        <v>5536</v>
      </c>
      <c r="N123" s="520"/>
      <c r="O123" s="520"/>
      <c r="P123" s="520"/>
      <c r="Q123" s="53">
        <f t="shared" si="35"/>
        <v>70948</v>
      </c>
      <c r="R123" s="523">
        <v>2</v>
      </c>
    </row>
    <row r="124" spans="1:18" ht="21.75" customHeight="1">
      <c r="A124" s="61"/>
      <c r="B124" s="62" t="s">
        <v>20</v>
      </c>
      <c r="C124" s="113" t="s">
        <v>159</v>
      </c>
      <c r="D124" s="94" t="s">
        <v>132</v>
      </c>
      <c r="E124" s="520"/>
      <c r="F124" s="520"/>
      <c r="G124" s="64"/>
      <c r="H124" s="64"/>
      <c r="I124" s="520">
        <v>500</v>
      </c>
      <c r="J124" s="520">
        <v>0</v>
      </c>
      <c r="K124" s="520"/>
      <c r="L124" s="560">
        <f t="shared" si="33"/>
        <v>500</v>
      </c>
      <c r="M124" s="520"/>
      <c r="N124" s="520"/>
      <c r="O124" s="64"/>
      <c r="P124" s="64"/>
      <c r="Q124" s="53">
        <f t="shared" si="35"/>
        <v>500</v>
      </c>
      <c r="R124" s="211"/>
    </row>
    <row r="125" spans="1:18" ht="22.5" customHeight="1">
      <c r="A125" s="61"/>
      <c r="B125" s="62" t="s">
        <v>21</v>
      </c>
      <c r="C125" s="113" t="s">
        <v>159</v>
      </c>
      <c r="D125" s="94" t="s">
        <v>183</v>
      </c>
      <c r="E125" s="210"/>
      <c r="F125" s="210"/>
      <c r="G125" s="64"/>
      <c r="H125" s="212"/>
      <c r="I125" s="520">
        <f>5728+476+4</f>
        <v>6208</v>
      </c>
      <c r="J125" s="520"/>
      <c r="K125" s="520"/>
      <c r="L125" s="516">
        <f>I125</f>
        <v>6208</v>
      </c>
      <c r="M125" s="520"/>
      <c r="N125" s="520"/>
      <c r="O125" s="64"/>
      <c r="P125" s="64"/>
      <c r="Q125" s="522">
        <f t="shared" si="35"/>
        <v>6208</v>
      </c>
      <c r="R125" s="211"/>
    </row>
    <row r="126" spans="1:18" ht="11.25" customHeight="1" thickBot="1">
      <c r="A126" s="54" t="s">
        <v>150</v>
      </c>
      <c r="B126" s="69" t="s">
        <v>19</v>
      </c>
      <c r="C126" s="115" t="s">
        <v>160</v>
      </c>
      <c r="D126" s="156" t="s">
        <v>198</v>
      </c>
      <c r="E126" s="536"/>
      <c r="F126" s="536"/>
      <c r="G126" s="537"/>
      <c r="H126" s="537"/>
      <c r="I126" s="536">
        <f>650+78+650</f>
        <v>1378</v>
      </c>
      <c r="J126" s="536">
        <v>0</v>
      </c>
      <c r="K126" s="536"/>
      <c r="L126" s="535">
        <f aca="true" t="shared" si="37" ref="L126:L134">SUM(E126:K126)</f>
        <v>1378</v>
      </c>
      <c r="M126" s="536"/>
      <c r="N126" s="536"/>
      <c r="O126" s="537"/>
      <c r="P126" s="537"/>
      <c r="Q126" s="56">
        <f aca="true" t="shared" si="38" ref="Q126:Q132">SUM(L126:P126)</f>
        <v>1378</v>
      </c>
      <c r="R126" s="605"/>
    </row>
    <row r="127" spans="1:18" s="70" customFormat="1" ht="12.75" customHeight="1" thickBot="1">
      <c r="A127" s="75" t="s">
        <v>151</v>
      </c>
      <c r="B127" s="142" t="s">
        <v>19</v>
      </c>
      <c r="C127" s="123" t="s">
        <v>159</v>
      </c>
      <c r="D127" s="57" t="s">
        <v>2</v>
      </c>
      <c r="E127" s="542">
        <f>90056-380</f>
        <v>89676</v>
      </c>
      <c r="F127" s="542">
        <f>12158-105</f>
        <v>12053</v>
      </c>
      <c r="G127" s="542">
        <f>20443+5000+82</f>
        <v>25525</v>
      </c>
      <c r="H127" s="542"/>
      <c r="I127" s="542"/>
      <c r="J127" s="543"/>
      <c r="K127" s="542"/>
      <c r="L127" s="542">
        <f t="shared" si="37"/>
        <v>127254</v>
      </c>
      <c r="M127" s="542">
        <v>5000</v>
      </c>
      <c r="N127" s="542"/>
      <c r="O127" s="542"/>
      <c r="P127" s="542"/>
      <c r="Q127" s="57">
        <f t="shared" si="38"/>
        <v>132254</v>
      </c>
      <c r="R127" s="544">
        <f>15+15+10+60</f>
        <v>100</v>
      </c>
    </row>
    <row r="128" spans="1:18" s="70" customFormat="1" ht="12.75" customHeight="1">
      <c r="A128" s="47" t="s">
        <v>152</v>
      </c>
      <c r="B128" s="140"/>
      <c r="C128" s="167"/>
      <c r="D128" s="49" t="s">
        <v>112</v>
      </c>
      <c r="E128" s="552">
        <f>E129+E133+E130+E131+E132+E134+E135+E136+E137+E138+E139</f>
        <v>2846</v>
      </c>
      <c r="F128" s="552">
        <f aca="true" t="shared" si="39" ref="F128:K128">F129+F133+F130+F131+F132+F134+F135+F136+F137+F138+F139</f>
        <v>997</v>
      </c>
      <c r="G128" s="552">
        <f t="shared" si="39"/>
        <v>160819</v>
      </c>
      <c r="H128" s="552">
        <f t="shared" si="39"/>
        <v>0</v>
      </c>
      <c r="I128" s="552">
        <f t="shared" si="39"/>
        <v>1250</v>
      </c>
      <c r="J128" s="552">
        <f t="shared" si="39"/>
        <v>2019</v>
      </c>
      <c r="K128" s="552">
        <f t="shared" si="39"/>
        <v>0</v>
      </c>
      <c r="L128" s="552">
        <f t="shared" si="37"/>
        <v>167931</v>
      </c>
      <c r="M128" s="552">
        <f>M129+M133+M130+M131+M132+M134+M135+M136+M137+M138</f>
        <v>442067</v>
      </c>
      <c r="N128" s="552">
        <f>N129+N133+N130+N131+N132+N134+N135+N136+N137+N138</f>
        <v>0</v>
      </c>
      <c r="O128" s="552">
        <f>O129+O133+O130+O131+O132+O134+O135+O136+O137+O138</f>
        <v>0</v>
      </c>
      <c r="P128" s="552">
        <f>P129+P133+P130+P131+P132+P134+P135+P136+P137+P138</f>
        <v>0</v>
      </c>
      <c r="Q128" s="49">
        <f t="shared" si="38"/>
        <v>609998</v>
      </c>
      <c r="R128" s="217"/>
    </row>
    <row r="129" spans="1:18" ht="10.5" customHeight="1">
      <c r="A129" s="50"/>
      <c r="B129" s="84" t="s">
        <v>19</v>
      </c>
      <c r="C129" s="122" t="s">
        <v>160</v>
      </c>
      <c r="D129" s="64" t="s">
        <v>113</v>
      </c>
      <c r="E129" s="514">
        <f>663-663</f>
        <v>0</v>
      </c>
      <c r="F129" s="514">
        <f>337-337</f>
        <v>0</v>
      </c>
      <c r="G129" s="515">
        <f>10000+4500</f>
        <v>14500</v>
      </c>
      <c r="H129" s="515"/>
      <c r="I129" s="515"/>
      <c r="J129" s="525">
        <v>0</v>
      </c>
      <c r="K129" s="514"/>
      <c r="L129" s="516">
        <f t="shared" si="37"/>
        <v>14500</v>
      </c>
      <c r="M129" s="515"/>
      <c r="N129" s="515"/>
      <c r="O129" s="515"/>
      <c r="P129" s="515"/>
      <c r="Q129" s="522">
        <f t="shared" si="38"/>
        <v>14500</v>
      </c>
      <c r="R129" s="207"/>
    </row>
    <row r="130" spans="1:18" ht="10.5" customHeight="1">
      <c r="A130" s="61"/>
      <c r="B130" s="82" t="s">
        <v>20</v>
      </c>
      <c r="C130" s="113" t="s">
        <v>160</v>
      </c>
      <c r="D130" s="63" t="s">
        <v>210</v>
      </c>
      <c r="E130" s="520">
        <f>700+266+230</f>
        <v>1196</v>
      </c>
      <c r="F130" s="520">
        <f>357+74+120</f>
        <v>551</v>
      </c>
      <c r="G130" s="64">
        <f>4943+2000+1288</f>
        <v>8231</v>
      </c>
      <c r="H130" s="64"/>
      <c r="I130" s="64"/>
      <c r="J130" s="521">
        <v>0</v>
      </c>
      <c r="K130" s="520">
        <f>100-100</f>
        <v>0</v>
      </c>
      <c r="L130" s="516">
        <f t="shared" si="37"/>
        <v>9978</v>
      </c>
      <c r="M130" s="64"/>
      <c r="N130" s="64"/>
      <c r="O130" s="64"/>
      <c r="P130" s="64"/>
      <c r="Q130" s="522">
        <f t="shared" si="38"/>
        <v>9978</v>
      </c>
      <c r="R130" s="211"/>
    </row>
    <row r="131" spans="1:18" ht="10.5" customHeight="1">
      <c r="A131" s="50"/>
      <c r="B131" s="84" t="s">
        <v>21</v>
      </c>
      <c r="C131" s="122" t="s">
        <v>160</v>
      </c>
      <c r="D131" s="52" t="s">
        <v>211</v>
      </c>
      <c r="E131" s="514"/>
      <c r="F131" s="514"/>
      <c r="G131" s="515">
        <f>800+252+1200</f>
        <v>2252</v>
      </c>
      <c r="H131" s="515"/>
      <c r="I131" s="515"/>
      <c r="J131" s="525"/>
      <c r="K131" s="514"/>
      <c r="L131" s="516">
        <f t="shared" si="37"/>
        <v>2252</v>
      </c>
      <c r="M131" s="515"/>
      <c r="N131" s="515"/>
      <c r="O131" s="515"/>
      <c r="P131" s="515"/>
      <c r="Q131" s="522">
        <f t="shared" si="38"/>
        <v>2252</v>
      </c>
      <c r="R131" s="207"/>
    </row>
    <row r="132" spans="1:18" ht="10.5" customHeight="1">
      <c r="A132" s="50"/>
      <c r="B132" s="84" t="s">
        <v>22</v>
      </c>
      <c r="C132" s="122" t="s">
        <v>160</v>
      </c>
      <c r="D132" s="52" t="s">
        <v>217</v>
      </c>
      <c r="E132" s="514"/>
      <c r="F132" s="514"/>
      <c r="G132" s="515">
        <v>0</v>
      </c>
      <c r="H132" s="515"/>
      <c r="I132" s="515">
        <v>800</v>
      </c>
      <c r="J132" s="525">
        <v>0</v>
      </c>
      <c r="K132" s="514"/>
      <c r="L132" s="516">
        <f t="shared" si="37"/>
        <v>800</v>
      </c>
      <c r="M132" s="515"/>
      <c r="N132" s="515"/>
      <c r="O132" s="515"/>
      <c r="P132" s="515"/>
      <c r="Q132" s="522">
        <f t="shared" si="38"/>
        <v>800</v>
      </c>
      <c r="R132" s="207"/>
    </row>
    <row r="133" spans="1:18" ht="10.5" customHeight="1">
      <c r="A133" s="65"/>
      <c r="B133" s="136" t="s">
        <v>23</v>
      </c>
      <c r="C133" s="112" t="s">
        <v>160</v>
      </c>
      <c r="D133" s="76" t="s">
        <v>197</v>
      </c>
      <c r="E133" s="213"/>
      <c r="F133" s="213"/>
      <c r="G133" s="68"/>
      <c r="H133" s="214"/>
      <c r="I133" s="68">
        <v>450</v>
      </c>
      <c r="J133" s="532">
        <v>0</v>
      </c>
      <c r="K133" s="524"/>
      <c r="L133" s="533">
        <f t="shared" si="37"/>
        <v>450</v>
      </c>
      <c r="M133" s="68"/>
      <c r="N133" s="68"/>
      <c r="O133" s="68"/>
      <c r="P133" s="68"/>
      <c r="Q133" s="534">
        <f aca="true" t="shared" si="40" ref="Q133:Q141">SUM(L133:P133)</f>
        <v>450</v>
      </c>
      <c r="R133" s="222"/>
    </row>
    <row r="134" spans="1:18" ht="10.5" customHeight="1">
      <c r="A134" s="65"/>
      <c r="B134" s="136" t="s">
        <v>24</v>
      </c>
      <c r="C134" s="112" t="s">
        <v>160</v>
      </c>
      <c r="D134" s="76" t="s">
        <v>374</v>
      </c>
      <c r="E134" s="213"/>
      <c r="F134" s="213"/>
      <c r="G134" s="68"/>
      <c r="H134" s="214"/>
      <c r="I134" s="214"/>
      <c r="J134" s="512"/>
      <c r="K134" s="213"/>
      <c r="L134" s="533">
        <f t="shared" si="37"/>
        <v>0</v>
      </c>
      <c r="M134" s="68">
        <f>'6.mell'!D19</f>
        <v>3966</v>
      </c>
      <c r="N134" s="68"/>
      <c r="O134" s="68"/>
      <c r="P134" s="68"/>
      <c r="Q134" s="534">
        <f t="shared" si="40"/>
        <v>3966</v>
      </c>
      <c r="R134" s="222"/>
    </row>
    <row r="135" spans="1:18" ht="21" customHeight="1">
      <c r="A135" s="65"/>
      <c r="B135" s="136" t="s">
        <v>25</v>
      </c>
      <c r="C135" s="112" t="s">
        <v>160</v>
      </c>
      <c r="D135" s="67" t="s">
        <v>385</v>
      </c>
      <c r="E135" s="524">
        <f>3240+5833-1590-5833</f>
        <v>1650</v>
      </c>
      <c r="F135" s="524">
        <f>875+1575-429-1575</f>
        <v>446</v>
      </c>
      <c r="G135" s="68">
        <f>57712-245+5000+72565</f>
        <v>135032</v>
      </c>
      <c r="H135" s="68"/>
      <c r="I135" s="68"/>
      <c r="J135" s="524">
        <v>2019</v>
      </c>
      <c r="K135" s="524"/>
      <c r="L135" s="533">
        <f>SUM(E135:K135)</f>
        <v>139147</v>
      </c>
      <c r="M135" s="68">
        <f>'6.mell'!D55+'6.mell'!D73</f>
        <v>413476</v>
      </c>
      <c r="N135" s="68"/>
      <c r="O135" s="68"/>
      <c r="P135" s="68"/>
      <c r="Q135" s="534">
        <f t="shared" si="40"/>
        <v>552623</v>
      </c>
      <c r="R135" s="222"/>
    </row>
    <row r="136" spans="1:18" ht="30.75" customHeight="1">
      <c r="A136" s="65"/>
      <c r="B136" s="136" t="s">
        <v>26</v>
      </c>
      <c r="C136" s="112" t="s">
        <v>160</v>
      </c>
      <c r="D136" s="67" t="s">
        <v>489</v>
      </c>
      <c r="E136" s="524"/>
      <c r="F136" s="524"/>
      <c r="G136" s="752"/>
      <c r="H136" s="68"/>
      <c r="I136" s="68"/>
      <c r="J136" s="532"/>
      <c r="K136" s="524"/>
      <c r="L136" s="533">
        <f>SUM(E136:K136)</f>
        <v>0</v>
      </c>
      <c r="M136" s="68">
        <f>1637-599+8000</f>
        <v>9038</v>
      </c>
      <c r="N136" s="68"/>
      <c r="O136" s="68"/>
      <c r="P136" s="68"/>
      <c r="Q136" s="534">
        <f t="shared" si="40"/>
        <v>9038</v>
      </c>
      <c r="R136" s="222"/>
    </row>
    <row r="137" spans="1:18" ht="11.25" customHeight="1">
      <c r="A137" s="65"/>
      <c r="B137" s="136" t="s">
        <v>27</v>
      </c>
      <c r="C137" s="112" t="s">
        <v>160</v>
      </c>
      <c r="D137" s="67" t="s">
        <v>487</v>
      </c>
      <c r="E137" s="524"/>
      <c r="F137" s="524"/>
      <c r="G137" s="752"/>
      <c r="H137" s="68"/>
      <c r="I137" s="68"/>
      <c r="J137" s="532"/>
      <c r="K137" s="524"/>
      <c r="L137" s="533">
        <f>SUM(E137:K137)</f>
        <v>0</v>
      </c>
      <c r="M137" s="68">
        <f>2537+5885</f>
        <v>8422</v>
      </c>
      <c r="N137" s="68"/>
      <c r="O137" s="68"/>
      <c r="P137" s="68"/>
      <c r="Q137" s="534">
        <f>SUM(L137:P137)</f>
        <v>8422</v>
      </c>
      <c r="R137" s="545"/>
    </row>
    <row r="138" spans="1:18" ht="13.5" customHeight="1">
      <c r="A138" s="65"/>
      <c r="B138" s="136" t="s">
        <v>28</v>
      </c>
      <c r="C138" s="112" t="s">
        <v>160</v>
      </c>
      <c r="D138" s="67" t="s">
        <v>476</v>
      </c>
      <c r="E138" s="524"/>
      <c r="F138" s="524"/>
      <c r="G138" s="752"/>
      <c r="H138" s="68"/>
      <c r="I138" s="68"/>
      <c r="J138" s="532"/>
      <c r="K138" s="524"/>
      <c r="L138" s="533">
        <f>SUM(E138:K138)</f>
        <v>0</v>
      </c>
      <c r="M138" s="68">
        <v>7165</v>
      </c>
      <c r="N138" s="68"/>
      <c r="O138" s="68"/>
      <c r="P138" s="68"/>
      <c r="Q138" s="534">
        <f>SUM(M138:P138)</f>
        <v>7165</v>
      </c>
      <c r="R138" s="545"/>
    </row>
    <row r="139" spans="1:18" ht="13.5" customHeight="1" thickBot="1">
      <c r="A139" s="58"/>
      <c r="B139" s="80" t="s">
        <v>29</v>
      </c>
      <c r="C139" s="116" t="s">
        <v>160</v>
      </c>
      <c r="D139" s="134" t="s">
        <v>482</v>
      </c>
      <c r="E139" s="555"/>
      <c r="F139" s="555"/>
      <c r="G139" s="554">
        <f>800+4</f>
        <v>804</v>
      </c>
      <c r="H139" s="554"/>
      <c r="I139" s="554"/>
      <c r="J139" s="556"/>
      <c r="K139" s="555"/>
      <c r="L139" s="557">
        <f>SUM(E139:K139)</f>
        <v>804</v>
      </c>
      <c r="M139" s="554"/>
      <c r="N139" s="554"/>
      <c r="O139" s="554"/>
      <c r="P139" s="554"/>
      <c r="Q139" s="558">
        <f>SUM(L139:P139)</f>
        <v>804</v>
      </c>
      <c r="R139" s="579"/>
    </row>
    <row r="140" spans="1:18" s="70" customFormat="1" ht="12.75" customHeight="1">
      <c r="A140" s="47" t="s">
        <v>153</v>
      </c>
      <c r="B140" s="140"/>
      <c r="C140" s="108"/>
      <c r="D140" s="49" t="s">
        <v>114</v>
      </c>
      <c r="E140" s="552">
        <f>E141</f>
        <v>0</v>
      </c>
      <c r="F140" s="552">
        <f aca="true" t="shared" si="41" ref="F140:K140">F141</f>
        <v>0</v>
      </c>
      <c r="G140" s="552">
        <f t="shared" si="41"/>
        <v>43372</v>
      </c>
      <c r="H140" s="552">
        <f t="shared" si="41"/>
        <v>0</v>
      </c>
      <c r="I140" s="552">
        <f t="shared" si="41"/>
        <v>0</v>
      </c>
      <c r="J140" s="552">
        <f t="shared" si="41"/>
        <v>0</v>
      </c>
      <c r="K140" s="552">
        <f t="shared" si="41"/>
        <v>0</v>
      </c>
      <c r="L140" s="552">
        <f aca="true" t="shared" si="42" ref="L140:L155">SUM(E140:K140)</f>
        <v>43372</v>
      </c>
      <c r="M140" s="552">
        <f>M141</f>
        <v>0</v>
      </c>
      <c r="N140" s="552">
        <f>N141</f>
        <v>0</v>
      </c>
      <c r="O140" s="552">
        <f>O141</f>
        <v>0</v>
      </c>
      <c r="P140" s="552">
        <f>P141</f>
        <v>0</v>
      </c>
      <c r="Q140" s="49">
        <f t="shared" si="40"/>
        <v>43372</v>
      </c>
      <c r="R140" s="578"/>
    </row>
    <row r="141" spans="1:18" ht="21.75" customHeight="1" thickBot="1">
      <c r="A141" s="58"/>
      <c r="B141" s="59" t="s">
        <v>19</v>
      </c>
      <c r="C141" s="116" t="s">
        <v>160</v>
      </c>
      <c r="D141" s="134" t="s">
        <v>133</v>
      </c>
      <c r="E141" s="555"/>
      <c r="F141" s="555"/>
      <c r="G141" s="554">
        <f>34680+4000+240+159+4250+43</f>
        <v>43372</v>
      </c>
      <c r="H141" s="554"/>
      <c r="I141" s="555"/>
      <c r="J141" s="556">
        <v>0</v>
      </c>
      <c r="K141" s="555"/>
      <c r="L141" s="557">
        <f t="shared" si="42"/>
        <v>43372</v>
      </c>
      <c r="M141" s="555"/>
      <c r="N141" s="555"/>
      <c r="O141" s="555"/>
      <c r="P141" s="555"/>
      <c r="Q141" s="558">
        <f t="shared" si="40"/>
        <v>43372</v>
      </c>
      <c r="R141" s="579"/>
    </row>
    <row r="142" spans="1:18" ht="12" customHeight="1">
      <c r="A142" s="54" t="s">
        <v>154</v>
      </c>
      <c r="B142" s="69"/>
      <c r="C142" s="115"/>
      <c r="D142" s="86" t="s">
        <v>212</v>
      </c>
      <c r="E142" s="535">
        <f>E143+E144+E145+E146+E147+E148</f>
        <v>0</v>
      </c>
      <c r="F142" s="535">
        <f aca="true" t="shared" si="43" ref="F142:K142">F143+F144+F145+F146+F147+F148</f>
        <v>0</v>
      </c>
      <c r="G142" s="535">
        <f t="shared" si="43"/>
        <v>0</v>
      </c>
      <c r="H142" s="535">
        <f t="shared" si="43"/>
        <v>0</v>
      </c>
      <c r="I142" s="535">
        <f t="shared" si="43"/>
        <v>7410</v>
      </c>
      <c r="J142" s="535">
        <f t="shared" si="43"/>
        <v>0</v>
      </c>
      <c r="K142" s="535">
        <f t="shared" si="43"/>
        <v>0</v>
      </c>
      <c r="L142" s="535">
        <f t="shared" si="42"/>
        <v>7410</v>
      </c>
      <c r="M142" s="535">
        <f>SUM(M143:M148)</f>
        <v>0</v>
      </c>
      <c r="N142" s="535">
        <f>SUM(N143:N148)</f>
        <v>4000</v>
      </c>
      <c r="O142" s="535">
        <f>SUM(O143:O148)</f>
        <v>0</v>
      </c>
      <c r="P142" s="535">
        <f>SUM(P143:P148)</f>
        <v>0</v>
      </c>
      <c r="Q142" s="56">
        <f aca="true" t="shared" si="44" ref="Q142:Q147">SUM(L142:P142)</f>
        <v>11410</v>
      </c>
      <c r="R142" s="218"/>
    </row>
    <row r="143" spans="1:18" ht="12" customHeight="1">
      <c r="A143" s="61"/>
      <c r="B143" s="62" t="s">
        <v>19</v>
      </c>
      <c r="C143" s="113" t="s">
        <v>160</v>
      </c>
      <c r="D143" s="63" t="s">
        <v>213</v>
      </c>
      <c r="E143" s="520"/>
      <c r="F143" s="520"/>
      <c r="G143" s="751"/>
      <c r="H143" s="64"/>
      <c r="I143" s="520">
        <v>530</v>
      </c>
      <c r="J143" s="521"/>
      <c r="K143" s="520"/>
      <c r="L143" s="516">
        <f t="shared" si="42"/>
        <v>530</v>
      </c>
      <c r="M143" s="520"/>
      <c r="N143" s="520"/>
      <c r="O143" s="520"/>
      <c r="P143" s="520"/>
      <c r="Q143" s="522">
        <f t="shared" si="44"/>
        <v>530</v>
      </c>
      <c r="R143" s="211"/>
    </row>
    <row r="144" spans="1:18" ht="12" customHeight="1">
      <c r="A144" s="61"/>
      <c r="B144" s="62" t="s">
        <v>20</v>
      </c>
      <c r="C144" s="113" t="s">
        <v>160</v>
      </c>
      <c r="D144" s="63" t="s">
        <v>214</v>
      </c>
      <c r="E144" s="520"/>
      <c r="F144" s="520"/>
      <c r="G144" s="751"/>
      <c r="H144" s="64"/>
      <c r="I144" s="520">
        <f>530+1700+2000</f>
        <v>4230</v>
      </c>
      <c r="J144" s="521"/>
      <c r="K144" s="520"/>
      <c r="L144" s="516">
        <f t="shared" si="42"/>
        <v>4230</v>
      </c>
      <c r="M144" s="520"/>
      <c r="N144" s="520"/>
      <c r="O144" s="520"/>
      <c r="P144" s="520"/>
      <c r="Q144" s="522">
        <f t="shared" si="44"/>
        <v>4230</v>
      </c>
      <c r="R144" s="211"/>
    </row>
    <row r="145" spans="1:18" ht="12" customHeight="1">
      <c r="A145" s="54"/>
      <c r="B145" s="69" t="s">
        <v>21</v>
      </c>
      <c r="C145" s="115" t="s">
        <v>160</v>
      </c>
      <c r="D145" s="55" t="s">
        <v>215</v>
      </c>
      <c r="E145" s="536"/>
      <c r="F145" s="536"/>
      <c r="G145" s="755"/>
      <c r="H145" s="537"/>
      <c r="I145" s="536">
        <f>400+100</f>
        <v>500</v>
      </c>
      <c r="J145" s="538"/>
      <c r="K145" s="536"/>
      <c r="L145" s="535">
        <f t="shared" si="42"/>
        <v>500</v>
      </c>
      <c r="M145" s="536"/>
      <c r="N145" s="536">
        <v>4000</v>
      </c>
      <c r="O145" s="536"/>
      <c r="P145" s="536"/>
      <c r="Q145" s="56">
        <f t="shared" si="44"/>
        <v>4500</v>
      </c>
      <c r="R145" s="218"/>
    </row>
    <row r="146" spans="1:18" ht="12" customHeight="1">
      <c r="A146" s="61"/>
      <c r="B146" s="62" t="s">
        <v>22</v>
      </c>
      <c r="C146" s="113" t="s">
        <v>160</v>
      </c>
      <c r="D146" s="63" t="s">
        <v>243</v>
      </c>
      <c r="E146" s="520"/>
      <c r="F146" s="520"/>
      <c r="G146" s="751"/>
      <c r="H146" s="64"/>
      <c r="I146" s="520">
        <v>690</v>
      </c>
      <c r="J146" s="521"/>
      <c r="K146" s="520"/>
      <c r="L146" s="516">
        <f>I146</f>
        <v>690</v>
      </c>
      <c r="M146" s="520"/>
      <c r="N146" s="520"/>
      <c r="O146" s="520"/>
      <c r="P146" s="520"/>
      <c r="Q146" s="522">
        <f t="shared" si="44"/>
        <v>690</v>
      </c>
      <c r="R146" s="211"/>
    </row>
    <row r="147" spans="1:19" ht="12" customHeight="1">
      <c r="A147" s="54"/>
      <c r="B147" s="69" t="s">
        <v>23</v>
      </c>
      <c r="C147" s="115" t="s">
        <v>160</v>
      </c>
      <c r="D147" s="55" t="s">
        <v>244</v>
      </c>
      <c r="E147" s="536"/>
      <c r="F147" s="536"/>
      <c r="G147" s="755"/>
      <c r="H147" s="537"/>
      <c r="I147" s="536">
        <f>1130+730-400</f>
        <v>1460</v>
      </c>
      <c r="J147" s="538"/>
      <c r="K147" s="536"/>
      <c r="L147" s="535">
        <f>I147</f>
        <v>1460</v>
      </c>
      <c r="M147" s="536"/>
      <c r="N147" s="536"/>
      <c r="O147" s="536"/>
      <c r="P147" s="536"/>
      <c r="Q147" s="56">
        <f t="shared" si="44"/>
        <v>1460</v>
      </c>
      <c r="R147" s="605"/>
      <c r="S147" s="474"/>
    </row>
    <row r="148" spans="1:19" ht="12" customHeight="1" thickBot="1">
      <c r="A148" s="58"/>
      <c r="B148" s="59" t="s">
        <v>24</v>
      </c>
      <c r="C148" s="116" t="s">
        <v>159</v>
      </c>
      <c r="D148" s="60" t="s">
        <v>470</v>
      </c>
      <c r="E148" s="555"/>
      <c r="F148" s="555"/>
      <c r="G148" s="753"/>
      <c r="H148" s="554"/>
      <c r="I148" s="555"/>
      <c r="J148" s="556"/>
      <c r="K148" s="555"/>
      <c r="L148" s="557">
        <f>SUM(E148:K148)</f>
        <v>0</v>
      </c>
      <c r="M148" s="555">
        <f>18821-18821</f>
        <v>0</v>
      </c>
      <c r="N148" s="555"/>
      <c r="O148" s="555"/>
      <c r="P148" s="555"/>
      <c r="Q148" s="558">
        <f>SUM(L148:P148)</f>
        <v>0</v>
      </c>
      <c r="R148" s="579"/>
      <c r="S148" s="474"/>
    </row>
    <row r="149" spans="1:19" ht="12.75" customHeight="1" thickBot="1">
      <c r="A149" s="75" t="s">
        <v>155</v>
      </c>
      <c r="B149" s="143" t="s">
        <v>19</v>
      </c>
      <c r="C149" s="119" t="s">
        <v>160</v>
      </c>
      <c r="D149" s="85" t="s">
        <v>115</v>
      </c>
      <c r="E149" s="542"/>
      <c r="F149" s="542"/>
      <c r="G149" s="542">
        <f>125+18475</f>
        <v>18600</v>
      </c>
      <c r="H149" s="542"/>
      <c r="I149" s="542"/>
      <c r="J149" s="543">
        <v>0</v>
      </c>
      <c r="K149" s="542"/>
      <c r="L149" s="542">
        <f t="shared" si="42"/>
        <v>18600</v>
      </c>
      <c r="M149" s="542">
        <f>'6.mell'!D40</f>
        <v>170688</v>
      </c>
      <c r="N149" s="542"/>
      <c r="O149" s="542"/>
      <c r="P149" s="542"/>
      <c r="Q149" s="57">
        <f>SUM(L149:P149)</f>
        <v>189288</v>
      </c>
      <c r="R149" s="578"/>
      <c r="S149" s="474"/>
    </row>
    <row r="150" spans="1:19" s="70" customFormat="1" ht="12" customHeight="1" thickBot="1">
      <c r="A150" s="75" t="s">
        <v>143</v>
      </c>
      <c r="B150" s="142" t="s">
        <v>19</v>
      </c>
      <c r="C150" s="123" t="s">
        <v>159</v>
      </c>
      <c r="D150" s="85" t="s">
        <v>116</v>
      </c>
      <c r="E150" s="542"/>
      <c r="F150" s="542"/>
      <c r="G150" s="542">
        <f>1800+20+127</f>
        <v>1947</v>
      </c>
      <c r="H150" s="542"/>
      <c r="I150" s="542"/>
      <c r="J150" s="543">
        <v>0</v>
      </c>
      <c r="K150" s="542"/>
      <c r="L150" s="542">
        <f t="shared" si="42"/>
        <v>1947</v>
      </c>
      <c r="M150" s="542">
        <v>0</v>
      </c>
      <c r="N150" s="542"/>
      <c r="O150" s="542"/>
      <c r="P150" s="542"/>
      <c r="Q150" s="57">
        <f>SUM(L150:P150)</f>
        <v>1947</v>
      </c>
      <c r="R150" s="531"/>
      <c r="S150" s="471"/>
    </row>
    <row r="151" spans="1:19" s="70" customFormat="1" ht="12" customHeight="1" thickBot="1">
      <c r="A151" s="193" t="s">
        <v>241</v>
      </c>
      <c r="B151" s="142" t="s">
        <v>19</v>
      </c>
      <c r="C151" s="123" t="s">
        <v>160</v>
      </c>
      <c r="D151" s="194" t="s">
        <v>246</v>
      </c>
      <c r="E151" s="542"/>
      <c r="F151" s="542"/>
      <c r="G151" s="542">
        <v>0</v>
      </c>
      <c r="H151" s="542"/>
      <c r="I151" s="542">
        <f>100+68+200+32</f>
        <v>400</v>
      </c>
      <c r="J151" s="543">
        <v>0</v>
      </c>
      <c r="K151" s="542"/>
      <c r="L151" s="542">
        <f>SUM(E151:K151)</f>
        <v>400</v>
      </c>
      <c r="M151" s="542"/>
      <c r="N151" s="542"/>
      <c r="O151" s="542"/>
      <c r="P151" s="542"/>
      <c r="Q151" s="57">
        <f>L151</f>
        <v>400</v>
      </c>
      <c r="R151" s="531"/>
      <c r="S151" s="471"/>
    </row>
    <row r="152" spans="1:19" s="70" customFormat="1" ht="12" customHeight="1" thickBot="1">
      <c r="A152" s="994" t="s">
        <v>242</v>
      </c>
      <c r="B152" s="995"/>
      <c r="C152" s="995"/>
      <c r="D152" s="995"/>
      <c r="E152" s="542">
        <f aca="true" t="shared" si="45" ref="E152:K152">E44+E45+E46+E47+E63+E64+E67+E68+E82+E83+E88+E91+E96+E97+E98+E99+E104+E105+E115+E116+E122+E126+E127+E128+E140+E142+E149+E150+E151</f>
        <v>139066</v>
      </c>
      <c r="F152" s="542">
        <f t="shared" si="45"/>
        <v>26771</v>
      </c>
      <c r="G152" s="542">
        <f t="shared" si="45"/>
        <v>1021229</v>
      </c>
      <c r="H152" s="542">
        <f t="shared" si="45"/>
        <v>16200</v>
      </c>
      <c r="I152" s="542">
        <f>I44+I45+I46+I47+I63+I64+I67+I68+I82+I83+I88+I91+I96+I97+I98+I99+I104+I105+I115+I116+I122+I127+I128+I140+I142+I149+I150+I151</f>
        <v>99573</v>
      </c>
      <c r="J152" s="542">
        <f t="shared" si="45"/>
        <v>262497</v>
      </c>
      <c r="K152" s="542">
        <f t="shared" si="45"/>
        <v>82090</v>
      </c>
      <c r="L152" s="542">
        <f>SUM(E152:K152)</f>
        <v>1647426</v>
      </c>
      <c r="M152" s="542">
        <f>M44+M45+M46+M47+M63+M64+M67+M68+M82+M83+M88+M91+M96+M97+M98+M99+M104+M105+M115+M116+M122+M126+M127+M128+M140+M142+M149+M150+M151</f>
        <v>2381139</v>
      </c>
      <c r="N152" s="542">
        <f>N44+N45+N46+N47+N63+N64+N67+N68+N82+N83+N88+N91+N96+N97+N98+N99+N104+N105+N115+N116+N122+N126+N127+N128+N140+N142+N149+N150+N151</f>
        <v>28382</v>
      </c>
      <c r="O152" s="542">
        <f>O44+O45+O46+O47+O63+O64+O67+O68+O82+O83+O88+O91+O96+O97+O98+O99+O104+O105+O115+O116+O122+O126+O127+O128+O140+O142+O149+O150+O151</f>
        <v>462198</v>
      </c>
      <c r="P152" s="542">
        <f>P44+P45+P46+P47+P63+P64+P67+P68+P82+P83+P88+P91+P96+P97+P98+P99+P104+P105+P115+P116+P122+P126+P127+P128+P140+P142+P149+P150+P151</f>
        <v>0</v>
      </c>
      <c r="Q152" s="542">
        <f>SUM(L152:P152)</f>
        <v>4519145</v>
      </c>
      <c r="R152" s="646">
        <f>R44+R45+R46+R47+R63+R64+R67+R68+R82+R83+R88+R91+R96+R97+R98+R99+R104+R105+R115+R116+R122+R127+R128+R140+R149+R150</f>
        <v>105</v>
      </c>
      <c r="S152" s="471"/>
    </row>
    <row r="153" spans="1:19" s="135" customFormat="1" ht="12" customHeight="1">
      <c r="A153" s="962" t="s">
        <v>170</v>
      </c>
      <c r="B153" s="963"/>
      <c r="C153" s="963"/>
      <c r="D153" s="964"/>
      <c r="E153" s="590">
        <f>E44+E45+E46+E48+E51+E53+E56+E59+E62+E65+E66+E67+E70+E72+E73+E77+E79+E85+E89+E92+E93+E94+E95+E96+E103+E104+E107+E111+E112+E115+E117+E118+E120+E124+E125+E150+E80+E127+E121+E148</f>
        <v>100080</v>
      </c>
      <c r="F153" s="590">
        <f aca="true" t="shared" si="46" ref="F153:K153">F44+F45+F46+F48+F51+F53+F56+F59+F62+F65+F66+F67+F70+F72+F73+F77+F79+F85+F89+F92+F93+F94+F95+F96+F103+F104+F107+F111+F112+F115+F117+F118+F120+F124+F125+F150+F80+F127+F121+F148</f>
        <v>14951</v>
      </c>
      <c r="G153" s="590">
        <f t="shared" si="46"/>
        <v>409651</v>
      </c>
      <c r="H153" s="590">
        <f t="shared" si="46"/>
        <v>16200</v>
      </c>
      <c r="I153" s="590">
        <f>I44+I45+I46+I48+I51+I53+I56+I59+I62+I65+I66+I67+I70+I72+I73+I77+I79+I85+I89+I92+I93+I94+I95+I96+I103+I104+I107+I111+I112+I115+I117+I118+I120+I124+I125+I150+I80+I127+I121+I148</f>
        <v>79144</v>
      </c>
      <c r="J153" s="590">
        <f>J44+J45+J46+J48+J51+J53+J56+J59+J62+J65+J66+J67+J70+J72+J73+J77+J79+J85+J89+J92+J93+J94+J95+J96+J103+J104+J107+J111+J112+J115+J117+J118+J120+J124+J125+J150+J80+J127+J121+J148</f>
        <v>256433</v>
      </c>
      <c r="K153" s="590">
        <f t="shared" si="46"/>
        <v>74302</v>
      </c>
      <c r="L153" s="590">
        <f>SUM(E153:K153)</f>
        <v>950761</v>
      </c>
      <c r="M153" s="590">
        <f>M44+M45+M46+M48+M51+M53+M56+M59+M62+M65+M66+M67+M70+M72+M73+M77+M79+M85+M89+M92+M93+M94+M95+M96+M103+M104+M107+M111+M112+M115+M117+M118+M120+M124+M125+M150+M80+M127+M121+M148</f>
        <v>1051243</v>
      </c>
      <c r="N153" s="590">
        <f>N44+N45+N46+N48+N51+N53+N56+N59+N62+N65+N66+N67+N70+N72+N73+N77+N79+N85+N89+N92+N93+N94+N95+N96+N103+N104+N107+N111+N112+N115+N117+N118+N120+N124+N125+N150+N80+N127+N121+N148</f>
        <v>12754</v>
      </c>
      <c r="O153" s="590">
        <f>O44+O45+O46+O48+O51+O53+O56+O59+O62+O65+O66+O67+O70+O72+O73+O77+O79+O85+O89+O92+O93+O94+O95+O96+O103+O104+O107+O111+O112+O115+O117+O118+O120+O124+O125+O150+O80+O127+O121+O148</f>
        <v>462198</v>
      </c>
      <c r="P153" s="590">
        <f>P44+P45+P46+P48+P51+P53+P56+P59+P62+P65+P66+P67+P70+P72+P73+P77+P79+P85+P89+P92+P93+P94+P95+P96+P103+P104+P107+P111+P112+P115+P117+P118+P120+P124+P125+P150+P80+P127+P121+P148</f>
        <v>0</v>
      </c>
      <c r="Q153" s="590">
        <f>SUM(L153:P153)</f>
        <v>2476956</v>
      </c>
      <c r="R153" s="697">
        <f>R44+R45+R46+R48+R51+R53+R56+R59+R65+R66+R67+R70+R72+R73+R77+R79+R85+R89+R92+R93+R94+R96+R103+R104+R107+R111+R112+R115+R117+R118+R120+R124+R125+R150+R80+R127</f>
        <v>101</v>
      </c>
      <c r="S153" s="472"/>
    </row>
    <row r="154" spans="1:19" s="135" customFormat="1" ht="12" customHeight="1">
      <c r="A154" s="959" t="s">
        <v>202</v>
      </c>
      <c r="B154" s="960"/>
      <c r="C154" s="960"/>
      <c r="D154" s="961"/>
      <c r="E154" s="594">
        <v>0</v>
      </c>
      <c r="F154" s="594">
        <v>0</v>
      </c>
      <c r="G154" s="594">
        <v>0</v>
      </c>
      <c r="H154" s="594">
        <v>0</v>
      </c>
      <c r="I154" s="594">
        <f>+I77</f>
        <v>0</v>
      </c>
      <c r="J154" s="594">
        <f>+J77</f>
        <v>0</v>
      </c>
      <c r="K154" s="594">
        <v>0</v>
      </c>
      <c r="L154" s="594">
        <f t="shared" si="42"/>
        <v>0</v>
      </c>
      <c r="M154" s="594">
        <v>0</v>
      </c>
      <c r="N154" s="594"/>
      <c r="O154" s="594">
        <f>+O77</f>
        <v>0</v>
      </c>
      <c r="P154" s="594">
        <f>+P77</f>
        <v>0</v>
      </c>
      <c r="Q154" s="594">
        <f>SUM(L154:P154)</f>
        <v>0</v>
      </c>
      <c r="R154" s="651">
        <f>+R77</f>
        <v>0</v>
      </c>
      <c r="S154" s="472"/>
    </row>
    <row r="155" spans="1:19" s="135" customFormat="1" ht="12" customHeight="1" thickBot="1">
      <c r="A155" s="991" t="s">
        <v>171</v>
      </c>
      <c r="B155" s="992"/>
      <c r="C155" s="992"/>
      <c r="D155" s="993"/>
      <c r="E155" s="638">
        <f>E50+E54+E57+E58+E60+E61+E71+E75+E76+E78+E81+E82+E84+E86+E87+E90+E97+E98+E100+E101+E102+E108+E109+E110+E113+E123+E126+E128+E141+E142-E148+E149+E151+E119+E49+E74+E114</f>
        <v>38986</v>
      </c>
      <c r="F155" s="638">
        <f aca="true" t="shared" si="47" ref="F155:K155">F50+F54+F57+F58+F60+F61+F71+F75+F76+F78+F81+F82+F84+F86+F87+F90+F97+F98+F100+F101+F102+F108+F109+F110+F113+F123+F126+F128+F141+F142-F148+F149+F151+F119+F49+F74+F114</f>
        <v>11820</v>
      </c>
      <c r="G155" s="638">
        <f t="shared" si="47"/>
        <v>611578</v>
      </c>
      <c r="H155" s="638">
        <f t="shared" si="47"/>
        <v>0</v>
      </c>
      <c r="I155" s="638">
        <f>I50+I54+I57+I58+I60+I61+I71+I75+I76+I78+I81+I82+I84+I86+I87+I90+I97+I98+I100+I101+I102+I108+I109+I110+I113+I123+I126+I128+I141+I142-I148+I149+I151+I119+I49+I74+I114</f>
        <v>20429</v>
      </c>
      <c r="J155" s="638">
        <f>J50+J54+J57+J58+J60+J61+J71+J75+J76+J78+J81+J82+J84+J86+J87+J90+J97+J98+J100+J101+J102+J108+J109+J110+J113+J123+J126+J128+J141+J142-J148+J149+J151+J119+J49+J74+J114</f>
        <v>6064</v>
      </c>
      <c r="K155" s="638">
        <f t="shared" si="47"/>
        <v>7788</v>
      </c>
      <c r="L155" s="638">
        <f t="shared" si="42"/>
        <v>696665</v>
      </c>
      <c r="M155" s="638">
        <f>M50+M54+M57+M58+M60+M61+M71+M75+M76+M78+M81+M82+M84+M86+M87+M90+M97+M98+M100+M101+M102+M108+M109+M110+M113+M123+M126+M128+M141+M142-M148+M149+M151+M119+M49+M74+M114</f>
        <v>1329896</v>
      </c>
      <c r="N155" s="638">
        <f>N50+N54+N57+N58+N60+N61+N71+N75+N76+N78+N81+N82+N84+N86+N87+N90+N97+N98+N100+N101+N102+N108+N109+N110+N113+N123+N126+N128+N141+N142-N148+N149+N151+N119+N49+N74+N114</f>
        <v>15628</v>
      </c>
      <c r="O155" s="638">
        <f>O50+O54+O57+O58+O60+O61+O71+O75+O76+O78+O81+O82+O84+O86+O87+O90+O97+O98+O100+O101+O102+O108+O109+O110+O113+O123+O126+O128+O141+O142-O148+O149+O151+O119+O49+O74+O114</f>
        <v>0</v>
      </c>
      <c r="P155" s="638">
        <f>P50+P54+P57+P58+P60+P61+P71+P75+P76+P78+P81+P82+P84+P86+P87+P90+P97+P98+P100+P101+P102+P108+P109+P110+P113+P123+P126+P128+P141+P142-P148+P149+P151+P119+P49+P74+P114</f>
        <v>0</v>
      </c>
      <c r="Q155" s="638">
        <f>SUM(L155:P155)</f>
        <v>2042189</v>
      </c>
      <c r="R155" s="698">
        <f>R50+R54+R57+R58+R60+R61+R71+R75+R76+R78+R82+R84+R86+R87+R90+R97+R98+R100+R101+R102+R108+R109+R110+R123+R126+R128+R141+R142+R149+R151+R119</f>
        <v>4</v>
      </c>
      <c r="S155" s="473"/>
    </row>
    <row r="156" spans="1:19" s="70" customFormat="1" ht="11.25" customHeight="1">
      <c r="A156" s="957" t="s">
        <v>88</v>
      </c>
      <c r="B156" s="958"/>
      <c r="C156" s="958"/>
      <c r="D156" s="958"/>
      <c r="E156" s="958"/>
      <c r="F156" s="958"/>
      <c r="G156" s="958"/>
      <c r="H156" s="958"/>
      <c r="I156" s="958"/>
      <c r="J156" s="958"/>
      <c r="K156" s="958"/>
      <c r="L156" s="958"/>
      <c r="M156" s="958"/>
      <c r="N156" s="958"/>
      <c r="O156" s="958"/>
      <c r="P156" s="958"/>
      <c r="Q156" s="958"/>
      <c r="R156" s="958"/>
      <c r="S156" s="471"/>
    </row>
    <row r="157" spans="1:19" s="70" customFormat="1" ht="12" customHeight="1">
      <c r="A157" s="65" t="s">
        <v>156</v>
      </c>
      <c r="B157" s="66">
        <v>1</v>
      </c>
      <c r="C157" s="112" t="s">
        <v>159</v>
      </c>
      <c r="D157" s="96" t="s">
        <v>450</v>
      </c>
      <c r="E157" s="533"/>
      <c r="F157" s="533"/>
      <c r="G157" s="524">
        <v>17156</v>
      </c>
      <c r="H157" s="533"/>
      <c r="I157" s="533"/>
      <c r="J157" s="524"/>
      <c r="K157" s="533"/>
      <c r="L157" s="533">
        <f>SUM(E157:K157)</f>
        <v>17156</v>
      </c>
      <c r="M157" s="533"/>
      <c r="N157" s="533"/>
      <c r="O157" s="533">
        <v>0</v>
      </c>
      <c r="P157" s="533"/>
      <c r="Q157" s="534">
        <f>L157+O157+N157</f>
        <v>17156</v>
      </c>
      <c r="R157" s="545">
        <v>0</v>
      </c>
      <c r="S157" s="471"/>
    </row>
    <row r="158" spans="1:19" s="70" customFormat="1" ht="11.25" customHeight="1">
      <c r="A158" s="982" t="s">
        <v>376</v>
      </c>
      <c r="B158" s="66"/>
      <c r="C158" s="112" t="s">
        <v>160</v>
      </c>
      <c r="D158" s="980" t="s">
        <v>375</v>
      </c>
      <c r="E158" s="533"/>
      <c r="F158" s="533"/>
      <c r="G158" s="524">
        <f>2000000+200000+200000</f>
        <v>2400000</v>
      </c>
      <c r="H158" s="533"/>
      <c r="I158" s="533"/>
      <c r="J158" s="582"/>
      <c r="K158" s="533"/>
      <c r="L158" s="533">
        <f>SUM(E158:K158)</f>
        <v>2400000</v>
      </c>
      <c r="M158" s="533"/>
      <c r="N158" s="533"/>
      <c r="O158" s="533"/>
      <c r="P158" s="533"/>
      <c r="Q158" s="534">
        <f>SUM(L158:P158)</f>
        <v>2400000</v>
      </c>
      <c r="R158" s="545"/>
      <c r="S158" s="471"/>
    </row>
    <row r="159" spans="1:19" s="70" customFormat="1" ht="10.5" customHeight="1" thickBot="1">
      <c r="A159" s="983"/>
      <c r="B159" s="59"/>
      <c r="C159" s="116" t="s">
        <v>159</v>
      </c>
      <c r="D159" s="981"/>
      <c r="E159" s="557"/>
      <c r="F159" s="557"/>
      <c r="G159" s="555">
        <f>3000000+1000000+800000+800000</f>
        <v>5600000</v>
      </c>
      <c r="H159" s="557"/>
      <c r="I159" s="557"/>
      <c r="J159" s="583"/>
      <c r="K159" s="557"/>
      <c r="L159" s="557">
        <f>SUM(E159:K159)</f>
        <v>5600000</v>
      </c>
      <c r="M159" s="557"/>
      <c r="N159" s="557"/>
      <c r="O159" s="557"/>
      <c r="P159" s="557"/>
      <c r="Q159" s="558">
        <f>SUM(L159:P159)</f>
        <v>5600000</v>
      </c>
      <c r="R159" s="579"/>
      <c r="S159" s="471"/>
    </row>
    <row r="160" spans="1:19" ht="23.25" customHeight="1" thickBot="1">
      <c r="A160" s="950" t="s">
        <v>478</v>
      </c>
      <c r="B160" s="951"/>
      <c r="C160" s="951"/>
      <c r="D160" s="952"/>
      <c r="E160" s="542">
        <f aca="true" t="shared" si="48" ref="E160:K160">E152+E157+E40</f>
        <v>284878</v>
      </c>
      <c r="F160" s="542">
        <f t="shared" si="48"/>
        <v>68355</v>
      </c>
      <c r="G160" s="542">
        <f>G152+G40</f>
        <v>1062790</v>
      </c>
      <c r="H160" s="542">
        <f t="shared" si="48"/>
        <v>37838</v>
      </c>
      <c r="I160" s="542">
        <f t="shared" si="48"/>
        <v>99573</v>
      </c>
      <c r="J160" s="542">
        <f>J152+J157+J40</f>
        <v>277642</v>
      </c>
      <c r="K160" s="542">
        <f t="shared" si="48"/>
        <v>82090</v>
      </c>
      <c r="L160" s="542">
        <f>SUM(E160:K160)+G159+G158+G157</f>
        <v>9930322</v>
      </c>
      <c r="M160" s="542">
        <f>M152+M157+M40</f>
        <v>2381139</v>
      </c>
      <c r="N160" s="542">
        <f>N152+N157+N40</f>
        <v>28382</v>
      </c>
      <c r="O160" s="542">
        <f>O152+O157+O40</f>
        <v>462198</v>
      </c>
      <c r="P160" s="542">
        <f>P152+P157+P40</f>
        <v>0</v>
      </c>
      <c r="Q160" s="542">
        <f>SUM(L160:P160)</f>
        <v>12802041</v>
      </c>
      <c r="R160" s="544">
        <f>R152+R157+R40</f>
        <v>150</v>
      </c>
      <c r="S160" s="474"/>
    </row>
    <row r="161" spans="1:19" ht="12.75" customHeight="1" thickBot="1">
      <c r="A161" s="953" t="s">
        <v>380</v>
      </c>
      <c r="B161" s="954"/>
      <c r="C161" s="954"/>
      <c r="D161" s="954"/>
      <c r="E161" s="541">
        <f aca="true" t="shared" si="49" ref="E161:K161">E17+E160</f>
        <v>612302</v>
      </c>
      <c r="F161" s="541">
        <f t="shared" si="49"/>
        <v>162940</v>
      </c>
      <c r="G161" s="541">
        <f>G17+G160</f>
        <v>1178687</v>
      </c>
      <c r="H161" s="541">
        <f t="shared" si="49"/>
        <v>38008</v>
      </c>
      <c r="I161" s="541">
        <f t="shared" si="49"/>
        <v>99573</v>
      </c>
      <c r="J161" s="541">
        <f t="shared" si="49"/>
        <v>305150</v>
      </c>
      <c r="K161" s="541">
        <f t="shared" si="49"/>
        <v>82090</v>
      </c>
      <c r="L161" s="541">
        <f>SUM(E161:K161)+G159+G158+G157</f>
        <v>10495906</v>
      </c>
      <c r="M161" s="541">
        <f>M17+M160</f>
        <v>2381139</v>
      </c>
      <c r="N161" s="541">
        <f>N17+N160</f>
        <v>28382</v>
      </c>
      <c r="O161" s="541">
        <f>O17+O160</f>
        <v>462198</v>
      </c>
      <c r="P161" s="541">
        <f>P17+P160</f>
        <v>0</v>
      </c>
      <c r="Q161" s="95">
        <f>SUM(L161:P161)</f>
        <v>13367625</v>
      </c>
      <c r="R161" s="544">
        <f>R17+R160</f>
        <v>267.25</v>
      </c>
      <c r="S161" s="474"/>
    </row>
    <row r="162" spans="1:19" s="110" customFormat="1" ht="12.75" customHeight="1">
      <c r="A162" s="984" t="s">
        <v>170</v>
      </c>
      <c r="B162" s="985"/>
      <c r="C162" s="985"/>
      <c r="D162" s="985"/>
      <c r="E162" s="639">
        <f>E9+E11+E13+E15+E23+E25+E27+E31+E32+E33+E34+E35+E36+E38+E39+E44+E45+E46+E48+E51+E53+E56+E59+E62+E65+E66+E67+E70+E72+E73+E77+E79+E85+E89+E92+E93+E94+E95+E96+E103+E104+E107+E111+E112+E115+E124+E125+E150+E80+E117+E118+E120+E127+E121+E148</f>
        <v>441825</v>
      </c>
      <c r="F162" s="639">
        <f aca="true" t="shared" si="50" ref="F162:K162">F9+F11+F13+F15+F23+F25+F27+F31+F32+F33+F34+F35+F36+F38+F39+F44+F45+F46+F48+F51+F53+F56+F59+F62+F65+F66+F67+F70+F72+F73+F77+F79+F85+F89+F92+F93+F94+F95+F96+F103+F104+F107+F111+F112+F115+F124+F125+F150+F80+F117+F118+F120+F127+F121+F148</f>
        <v>113751</v>
      </c>
      <c r="G162" s="639">
        <f t="shared" si="50"/>
        <v>513767</v>
      </c>
      <c r="H162" s="639">
        <f t="shared" si="50"/>
        <v>37838</v>
      </c>
      <c r="I162" s="639">
        <f t="shared" si="50"/>
        <v>79144</v>
      </c>
      <c r="J162" s="639">
        <f t="shared" si="50"/>
        <v>296625</v>
      </c>
      <c r="K162" s="639">
        <f t="shared" si="50"/>
        <v>74302</v>
      </c>
      <c r="L162" s="647">
        <f>SUM(E162:K162)+G159+G157</f>
        <v>7174408</v>
      </c>
      <c r="M162" s="639">
        <f>M9+M11+M13+M15+M23+M25+M27+M31+M32+M33+M34+M35+M36+M38+M39+M44+M45+M46+M48+M51+M53+M56+M59+M62+M65+M66+M67+M70+M72+M73+M77+M79+M85+M89+M92+M93+M94+M95+M96+M103+M104+M107+M111+M112+M115+M124+M125+M150+M80+M117+M118+M120+M127+M121+M148</f>
        <v>1051243</v>
      </c>
      <c r="N162" s="639">
        <f>N9+N11+N13+N15+N23+N25+N27+N31+N32+N33+N34+N35+N36+N38+N39+N44+N45+N46+N48+N51+N53+N56+N59+N62+N65+N66+N67+N70+N72+N73+N77+N79+N85+N89+N92+N93+N94+N95+N96+N103+N104+N107+N111+N112+N115+N124+N125+N150+N80+N117+N118+N120+N127+N121+N148</f>
        <v>12754</v>
      </c>
      <c r="O162" s="639">
        <f>O9+O11+O13+O15+O23+O25+O27+O31+O32+O33+O34+O35+O36+O38+O39+O44+O45+O46+O48+O51+O53+O56+O59+O62+O65+O66+O67+O70+O72+O73+O77+O79+O85+O89+O92+O93+O94+O95+O96+O103+O104+O107+O111+O112+O115+O124+O125+O150+O80+O117+O118+O120+O127+O121+O148</f>
        <v>462198</v>
      </c>
      <c r="P162" s="639">
        <f>P9+P11+P13+P15+P23+P25+P27+P31+P32+P33+P34+P35+P36+P38+P39+P44+P45+P46+P48+P51+P53+P56+P59+P62+P65+P66+P67+P70+P72+P73+P77+P79+P85+P89+P92+P93+P94+P95+P96+P103+P104+P107+P111+P112+P115+P124+P125+P150+P80+P117+P118+P120+P127+P121+P148</f>
        <v>0</v>
      </c>
      <c r="Q162" s="647">
        <f>L162+M162+O162+P162+N162</f>
        <v>8700603</v>
      </c>
      <c r="R162" s="699">
        <f>R9+R11+R13+R15+R23+R25+R27+R31+R32+R33+R34+R35+R36+R38+R39+R44+R45+R46+R48+R51+R53+R56+R59+R65+R66+R67+R70+R72+R73+R77+R79+R85+R89+R92+R93+R94+R96+R103+R104+R107+R111+R112+R115+R124+R125+R150+R80+R117+R118+R120+R127</f>
        <v>216.10000000000002</v>
      </c>
      <c r="S162" s="475"/>
    </row>
    <row r="163" spans="1:20" s="110" customFormat="1" ht="12.75" customHeight="1">
      <c r="A163" s="959" t="s">
        <v>202</v>
      </c>
      <c r="B163" s="960"/>
      <c r="C163" s="960"/>
      <c r="D163" s="961"/>
      <c r="E163" s="640">
        <f>E24</f>
        <v>42011</v>
      </c>
      <c r="F163" s="640">
        <f>F24</f>
        <v>11702</v>
      </c>
      <c r="G163" s="640">
        <f>G24</f>
        <v>5682</v>
      </c>
      <c r="H163" s="640">
        <v>0</v>
      </c>
      <c r="I163" s="640">
        <f>I24</f>
        <v>0</v>
      </c>
      <c r="J163" s="640">
        <f>J24</f>
        <v>0</v>
      </c>
      <c r="K163" s="640">
        <f>K24</f>
        <v>0</v>
      </c>
      <c r="L163" s="627">
        <f>SUM(E163:K163)</f>
        <v>59395</v>
      </c>
      <c r="M163" s="640">
        <f>M24</f>
        <v>0</v>
      </c>
      <c r="N163" s="640">
        <f>N24</f>
        <v>0</v>
      </c>
      <c r="O163" s="640">
        <f>O24</f>
        <v>0</v>
      </c>
      <c r="P163" s="640">
        <f>P24</f>
        <v>0</v>
      </c>
      <c r="Q163" s="627">
        <f>SUM(L163:P163)</f>
        <v>59395</v>
      </c>
      <c r="R163" s="652">
        <f>R24</f>
        <v>13.2</v>
      </c>
      <c r="S163" s="475"/>
      <c r="T163" s="440"/>
    </row>
    <row r="164" spans="1:19" s="110" customFormat="1" ht="12.75" customHeight="1" thickBot="1">
      <c r="A164" s="948" t="s">
        <v>171</v>
      </c>
      <c r="B164" s="949"/>
      <c r="C164" s="949"/>
      <c r="D164" s="949"/>
      <c r="E164" s="641">
        <f>E10+E14+E16+E26+E28+E50+E54+E57+E58+E60+E61+E63+E71+E74+E75+E76+E78+E81+E82+E84+E86+E87+E90+E97+E98+E100+E101+E102+E108+E109+E110+E113+E123+E126+E128+E140+E142-E148+E149+E151+E119+E49+E114+E29</f>
        <v>128466</v>
      </c>
      <c r="F164" s="641">
        <f>F10+F14+F16+F26+F28+F50+F54+F57+F58+F60+F61+F63+F71+F74+F75+F76+F78+F81+F82+F84+F86+F87+F90+F97+F98+F100+F101+F102+F108+F109+F110+F113+F123+F126+F128+F140+F142-F148+F149+F151+F119+F49+F114+F29</f>
        <v>37487</v>
      </c>
      <c r="G164" s="641">
        <f>G10+G14+G16+G26+G28+G50+G54+G57+G58+G60+G61+G63+G71+G74+G75+G76+G78+G81+G82+G84+G86+G87+G90+G97+G98+G100+G101+G102+G108+G109+G110+G113+G123+G126+G128+G140+G142-G148+G149+G151+G119+G49+G114</f>
        <v>659238</v>
      </c>
      <c r="H164" s="641">
        <f>H10+H14+H16+H26+H28+H50+H54+H57+H58+H60+H61+H63+H71+H74+H75+H76+H78+H81+H82+H84+H86+H87+H90+H97+H98+H100+H101+H102+H108+H109+H110+H113+H123+H126+H128+H140+H142-H148+H149+H151+H119+H49+H114</f>
        <v>170</v>
      </c>
      <c r="I164" s="641">
        <f>I10+I14+I16+I26+I28+I50+I54+I57+I58+I60+I61+I63+I71+I74+I75+I76+I78+I81+I82+I84+I86+I87+I90+I97+I98+I100+I101+I102+I108+I109+I110+I113+I123+I126+I128+I140+I142-I148+I149+I151+I119+I49+I114</f>
        <v>20429</v>
      </c>
      <c r="J164" s="641">
        <f>J10+J14+J16+J26+J28+J50+J54+J57+J58+J60+J61+J63+J71+J74+J75+J76+J78+J81+J82+J84+J86+J87+J90+J97+J98+J100+J101+J102+J108+J109+J110+J113+J123+J126+J128+J140+J142-J148+J149+J151+J119+J49+J114</f>
        <v>8525</v>
      </c>
      <c r="K164" s="641">
        <f>K10+K14+K16+K26+K28+K50+K54+K57+K58+K60+K61+K63+K71+K74+K75+K76+K78+K81+K82+K84+K86+K87+K90+K97+K98+K100+K101+K102+K108+K109+K110+K113+K123+K126+K128+K140+K142-K148+K149+K151+K119+K49+K114</f>
        <v>7788</v>
      </c>
      <c r="L164" s="648">
        <f>SUM(E164:K164)+G158</f>
        <v>3262103</v>
      </c>
      <c r="M164" s="641">
        <f>M10+M14+M16+M26+M28+M50+M54+M57+M58+M60+M61+M63+M71+M74+M75+M76+M78+M81+M82+M84+M86+M87+M90+M97+M98+M100+M101+M102+M108+M109+M110+M113+M123+M126+M128+M140+M142-M148+M149+M151+M119+M49+M114</f>
        <v>1329896</v>
      </c>
      <c r="N164" s="641">
        <f>N10+N14+N16+N26+N28+N50+N54+N57+N58+N60+N61+N63+N71+N74+N75+N76+N78+N81+N82+N84+N86+N87+N90+N97+N98+N100+N101+N102+N108+N109+N110+N113+N123+N126+N128+N140+N142-N148+N149+N151+N119+N49+N114</f>
        <v>15628</v>
      </c>
      <c r="O164" s="641">
        <f>O10+O14+O16+O26+O28+O50+O54+O57+O58+O60+O61+O63+O71+O74+O75+O76+O78+O81+O82+O84+O86+O87+O90+O97+O98+O100+O101+O102+O108+O109+O110+O113+O123+O126+O128+O140+O142-O148+O149+O151+O119+O49+O114</f>
        <v>0</v>
      </c>
      <c r="P164" s="641">
        <f>P10+P14+P16+P26+P28+P50+P54+P57+P58+P60+P61+P63+P71+P74+P75+P76+P78+P81+P82+P84+P86+P87+P90+P97+P98+P100+P101+P102+P108+P109+P110+P113+P123+P126+P128+P140+P142-P148+P149+P151+P119+P49+P114</f>
        <v>0</v>
      </c>
      <c r="Q164" s="648">
        <f>SUM(L164:P164)</f>
        <v>4607627</v>
      </c>
      <c r="R164" s="700">
        <f>R10+R14+R16+R26+R50+R54+R57+R58+R60+R61+R63+R71+R75+R76+R78+R82+R84+R86+R87+R90+R97+R98+R100+R101+R102+R108+R109+R110+R123+R126+R128+R140+R142+R149+R151+R157+R119</f>
        <v>37.95</v>
      </c>
      <c r="S164" s="475"/>
    </row>
    <row r="165" spans="3:18" ht="12.75" customHeight="1">
      <c r="C165" s="649"/>
      <c r="E165" s="42"/>
      <c r="F165" s="42"/>
      <c r="H165" s="42"/>
      <c r="I165" s="42"/>
      <c r="J165" s="42"/>
      <c r="K165" s="42"/>
      <c r="L165" s="695"/>
      <c r="M165" s="42"/>
      <c r="Q165" s="695"/>
      <c r="R165" s="650"/>
    </row>
    <row r="166" ht="12.75" customHeight="1">
      <c r="M166" s="42"/>
    </row>
  </sheetData>
  <sheetProtection/>
  <mergeCells count="47">
    <mergeCell ref="A162:D162"/>
    <mergeCell ref="A41:D41"/>
    <mergeCell ref="D48:D49"/>
    <mergeCell ref="D59:D60"/>
    <mergeCell ref="B55:B57"/>
    <mergeCell ref="A43:D43"/>
    <mergeCell ref="A155:D155"/>
    <mergeCell ref="A152:D152"/>
    <mergeCell ref="B48:B49"/>
    <mergeCell ref="B69:B71"/>
    <mergeCell ref="A163:D163"/>
    <mergeCell ref="N1:R1"/>
    <mergeCell ref="A42:D42"/>
    <mergeCell ref="A18:D18"/>
    <mergeCell ref="A20:D20"/>
    <mergeCell ref="A6:B6"/>
    <mergeCell ref="C5:C7"/>
    <mergeCell ref="A17:D17"/>
    <mergeCell ref="D158:D159"/>
    <mergeCell ref="A158:A159"/>
    <mergeCell ref="N6:N7"/>
    <mergeCell ref="A164:D164"/>
    <mergeCell ref="A160:D160"/>
    <mergeCell ref="A161:D161"/>
    <mergeCell ref="D51:E51"/>
    <mergeCell ref="B77:B78"/>
    <mergeCell ref="A156:R156"/>
    <mergeCell ref="B59:B60"/>
    <mergeCell ref="A154:D154"/>
    <mergeCell ref="A153:D153"/>
    <mergeCell ref="P6:P7"/>
    <mergeCell ref="J6:J7"/>
    <mergeCell ref="O6:O7"/>
    <mergeCell ref="A19:D19"/>
    <mergeCell ref="I5:K5"/>
    <mergeCell ref="I6:I7"/>
    <mergeCell ref="A5:B5"/>
    <mergeCell ref="A7:B7"/>
    <mergeCell ref="K6:K7"/>
    <mergeCell ref="N5:P5"/>
    <mergeCell ref="D111:E111"/>
    <mergeCell ref="B106:B107"/>
    <mergeCell ref="A40:D40"/>
    <mergeCell ref="D73:D74"/>
    <mergeCell ref="B73:B74"/>
    <mergeCell ref="D77:D78"/>
    <mergeCell ref="B52:B5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6" r:id="rId2"/>
  <rowBreaks count="3" manualBreakCount="3">
    <brk id="46" max="15" man="1"/>
    <brk id="87" max="17" man="1"/>
    <brk id="124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1"/>
  <sheetViews>
    <sheetView view="pageBreakPreview" zoomScaleSheetLayoutView="100" workbookViewId="0" topLeftCell="A1">
      <selection activeCell="C13" sqref="C13"/>
    </sheetView>
  </sheetViews>
  <sheetFormatPr defaultColWidth="9.00390625" defaultRowHeight="12" customHeight="1"/>
  <cols>
    <col min="1" max="1" width="3.25390625" style="16" customWidth="1"/>
    <col min="2" max="2" width="3.125" style="173" customWidth="1"/>
    <col min="3" max="3" width="102.875" style="17" customWidth="1"/>
    <col min="4" max="4" width="9.375" style="546" customWidth="1"/>
    <col min="5" max="16384" width="9.125" style="16" customWidth="1"/>
  </cols>
  <sheetData>
    <row r="1" spans="3:4" ht="12" customHeight="1">
      <c r="C1" s="998" t="s">
        <v>456</v>
      </c>
      <c r="D1" s="998"/>
    </row>
    <row r="2" ht="12" customHeight="1">
      <c r="D2" s="642"/>
    </row>
    <row r="3" ht="14.25" customHeight="1">
      <c r="D3" s="642"/>
    </row>
    <row r="4" ht="16.5" customHeight="1" thickBot="1">
      <c r="D4" s="546" t="s">
        <v>225</v>
      </c>
    </row>
    <row r="5" spans="1:4" s="18" customFormat="1" ht="18.75" customHeight="1" thickBot="1">
      <c r="A5" s="999" t="s">
        <v>33</v>
      </c>
      <c r="B5" s="1000"/>
      <c r="C5" s="1001"/>
      <c r="D5" s="687"/>
    </row>
    <row r="6" spans="1:4" s="20" customFormat="1" ht="12.75" customHeight="1">
      <c r="A6" s="144" t="s">
        <v>39</v>
      </c>
      <c r="B6" s="174"/>
      <c r="C6" s="38" t="s">
        <v>42</v>
      </c>
      <c r="D6" s="688">
        <f>D8+D46</f>
        <v>1544150</v>
      </c>
    </row>
    <row r="7" spans="1:4" s="20" customFormat="1" ht="8.25" customHeight="1">
      <c r="A7" s="19"/>
      <c r="B7" s="175"/>
      <c r="C7" s="35"/>
      <c r="D7" s="622"/>
    </row>
    <row r="8" spans="1:4" s="18" customFormat="1" ht="15" customHeight="1">
      <c r="A8" s="21"/>
      <c r="B8" s="33" t="s">
        <v>19</v>
      </c>
      <c r="C8" s="147" t="s">
        <v>191</v>
      </c>
      <c r="D8" s="708">
        <f>SUM(D9:D26)+D33+D34+D35+D36+D37+D38+D39+D40+D41+D42+D43+D44</f>
        <v>535911</v>
      </c>
    </row>
    <row r="9" spans="1:4" s="22" customFormat="1" ht="14.25" customHeight="1">
      <c r="A9" s="21"/>
      <c r="B9" s="171">
        <v>1</v>
      </c>
      <c r="C9" s="39" t="s">
        <v>0</v>
      </c>
      <c r="D9" s="710">
        <f>300-300</f>
        <v>0</v>
      </c>
    </row>
    <row r="10" spans="1:4" s="22" customFormat="1" ht="14.25" customHeight="1">
      <c r="A10" s="21"/>
      <c r="B10" s="171">
        <v>2</v>
      </c>
      <c r="C10" s="34" t="s">
        <v>178</v>
      </c>
      <c r="D10" s="707">
        <f>3500-3500</f>
        <v>0</v>
      </c>
    </row>
    <row r="11" spans="1:4" s="22" customFormat="1" ht="14.25" customHeight="1">
      <c r="A11" s="21"/>
      <c r="B11" s="171">
        <v>3</v>
      </c>
      <c r="C11" s="98" t="s">
        <v>141</v>
      </c>
      <c r="D11" s="707">
        <f>94091-53431+29512-5000</f>
        <v>65172</v>
      </c>
    </row>
    <row r="12" spans="1:4" s="22" customFormat="1" ht="14.25" customHeight="1">
      <c r="A12" s="21"/>
      <c r="B12" s="171">
        <v>4</v>
      </c>
      <c r="C12" s="36" t="s">
        <v>179</v>
      </c>
      <c r="D12" s="707">
        <f>20023-200-527+1080+33862+572+167159-7500-10500-2113-3000-40200-20000-44000</f>
        <v>94656</v>
      </c>
    </row>
    <row r="13" spans="1:4" s="22" customFormat="1" ht="14.25" customHeight="1">
      <c r="A13" s="21"/>
      <c r="B13" s="171">
        <v>5</v>
      </c>
      <c r="C13" s="99" t="s">
        <v>180</v>
      </c>
      <c r="D13" s="707">
        <f>70202-10482-D33-D23-D24-3000-198-7577+5775-1919+123376-4000-1637-7200-12430-434-4133-8707-18821-1377-1489-165+743+7356+57000-47656-9590-6000-29512+292-23631-1000</f>
        <v>31786</v>
      </c>
    </row>
    <row r="14" spans="1:4" s="22" customFormat="1" ht="14.25" customHeight="1">
      <c r="A14" s="21"/>
      <c r="B14" s="171">
        <v>6</v>
      </c>
      <c r="C14" s="155" t="s">
        <v>415</v>
      </c>
      <c r="D14" s="707">
        <v>5000</v>
      </c>
    </row>
    <row r="15" spans="1:4" s="22" customFormat="1" ht="13.5" customHeight="1">
      <c r="A15" s="21"/>
      <c r="B15" s="171">
        <v>7</v>
      </c>
      <c r="C15" s="155" t="s">
        <v>226</v>
      </c>
      <c r="D15" s="707">
        <f>387-387</f>
        <v>0</v>
      </c>
    </row>
    <row r="16" spans="1:4" s="22" customFormat="1" ht="13.5" customHeight="1">
      <c r="A16" s="21"/>
      <c r="B16" s="171">
        <v>8</v>
      </c>
      <c r="C16" s="155" t="s">
        <v>250</v>
      </c>
      <c r="D16" s="706">
        <v>988</v>
      </c>
    </row>
    <row r="17" spans="1:4" s="22" customFormat="1" ht="13.5" customHeight="1">
      <c r="A17" s="21"/>
      <c r="B17" s="171">
        <v>9</v>
      </c>
      <c r="C17" s="155" t="s">
        <v>252</v>
      </c>
      <c r="D17" s="706">
        <f>1677+5334+1625</f>
        <v>8636</v>
      </c>
    </row>
    <row r="18" spans="1:4" s="22" customFormat="1" ht="13.5" customHeight="1">
      <c r="A18" s="21"/>
      <c r="B18" s="171">
        <v>10</v>
      </c>
      <c r="C18" s="155" t="s">
        <v>253</v>
      </c>
      <c r="D18" s="706">
        <v>10200</v>
      </c>
    </row>
    <row r="19" spans="1:4" s="22" customFormat="1" ht="13.5" customHeight="1">
      <c r="A19" s="21"/>
      <c r="B19" s="171">
        <v>11</v>
      </c>
      <c r="C19" s="155" t="s">
        <v>374</v>
      </c>
      <c r="D19" s="706">
        <f>4445-479</f>
        <v>3966</v>
      </c>
    </row>
    <row r="20" spans="1:4" s="22" customFormat="1" ht="13.5" customHeight="1">
      <c r="A20" s="21"/>
      <c r="B20" s="171">
        <v>12</v>
      </c>
      <c r="C20" s="155" t="s">
        <v>361</v>
      </c>
      <c r="D20" s="706">
        <f>10500-750-9750</f>
        <v>0</v>
      </c>
    </row>
    <row r="21" spans="1:4" s="22" customFormat="1" ht="13.5" customHeight="1">
      <c r="A21" s="21"/>
      <c r="B21" s="171">
        <v>13</v>
      </c>
      <c r="C21" s="155" t="s">
        <v>373</v>
      </c>
      <c r="D21" s="706">
        <f>400-279-121</f>
        <v>0</v>
      </c>
    </row>
    <row r="22" spans="1:4" s="22" customFormat="1" ht="12.75" customHeight="1">
      <c r="A22" s="21"/>
      <c r="B22" s="171">
        <v>14</v>
      </c>
      <c r="C22" s="90" t="s">
        <v>457</v>
      </c>
      <c r="D22" s="706">
        <f>600+7200</f>
        <v>7800</v>
      </c>
    </row>
    <row r="23" spans="1:4" s="22" customFormat="1" ht="12.75" customHeight="1">
      <c r="A23" s="21"/>
      <c r="B23" s="171">
        <v>15</v>
      </c>
      <c r="C23" s="90" t="s">
        <v>387</v>
      </c>
      <c r="D23" s="706">
        <f>3000</f>
        <v>3000</v>
      </c>
    </row>
    <row r="24" spans="1:4" s="22" customFormat="1" ht="12.75" customHeight="1">
      <c r="A24" s="21"/>
      <c r="B24" s="171">
        <v>16</v>
      </c>
      <c r="C24" s="90" t="s">
        <v>417</v>
      </c>
      <c r="D24" s="706">
        <v>5000</v>
      </c>
    </row>
    <row r="25" spans="1:4" s="22" customFormat="1" ht="12.75" customHeight="1">
      <c r="A25" s="21"/>
      <c r="B25" s="171">
        <v>17</v>
      </c>
      <c r="C25" s="90" t="s">
        <v>396</v>
      </c>
      <c r="D25" s="706">
        <f>19050+5315+500+1919-14917+14917</f>
        <v>26784</v>
      </c>
    </row>
    <row r="26" spans="1:4" s="22" customFormat="1" ht="12.75" customHeight="1">
      <c r="A26" s="21"/>
      <c r="B26" s="171">
        <v>18</v>
      </c>
      <c r="C26" s="34" t="s">
        <v>386</v>
      </c>
      <c r="D26" s="701">
        <f>SUM(D27:D32)</f>
        <v>10999</v>
      </c>
    </row>
    <row r="27" spans="1:4" s="626" customFormat="1" ht="12.75" customHeight="1">
      <c r="A27" s="623"/>
      <c r="B27" s="624"/>
      <c r="C27" s="625" t="s">
        <v>416</v>
      </c>
      <c r="D27" s="711">
        <v>3000</v>
      </c>
    </row>
    <row r="28" spans="1:4" s="626" customFormat="1" ht="12.75" customHeight="1">
      <c r="A28" s="623"/>
      <c r="B28" s="624"/>
      <c r="C28" s="625" t="s">
        <v>473</v>
      </c>
      <c r="D28" s="711">
        <f>270+1635</f>
        <v>1905</v>
      </c>
    </row>
    <row r="29" spans="1:4" s="626" customFormat="1" ht="12.75" customHeight="1">
      <c r="A29" s="623"/>
      <c r="B29" s="624"/>
      <c r="C29" s="625" t="s">
        <v>200</v>
      </c>
      <c r="D29" s="711">
        <f>457+2500+140</f>
        <v>3097</v>
      </c>
    </row>
    <row r="30" spans="1:4" s="626" customFormat="1" ht="12.75" customHeight="1">
      <c r="A30" s="623"/>
      <c r="B30" s="624"/>
      <c r="C30" s="625" t="s">
        <v>474</v>
      </c>
      <c r="D30" s="711">
        <f>318+240+200+1112+300-470+434</f>
        <v>2134</v>
      </c>
    </row>
    <row r="31" spans="1:4" s="626" customFormat="1" ht="12.75" customHeight="1">
      <c r="A31" s="623"/>
      <c r="B31" s="624"/>
      <c r="C31" s="625" t="s">
        <v>83</v>
      </c>
      <c r="D31" s="711">
        <f>150+1377-964</f>
        <v>563</v>
      </c>
    </row>
    <row r="32" spans="1:4" s="626" customFormat="1" ht="12.75" customHeight="1">
      <c r="A32" s="623"/>
      <c r="B32" s="624"/>
      <c r="C32" s="625" t="s">
        <v>84</v>
      </c>
      <c r="D32" s="711">
        <f>100+200</f>
        <v>300</v>
      </c>
    </row>
    <row r="33" spans="1:4" s="22" customFormat="1" ht="12.75" customHeight="1">
      <c r="A33" s="21"/>
      <c r="B33" s="28">
        <v>19</v>
      </c>
      <c r="C33" s="696" t="s">
        <v>430</v>
      </c>
      <c r="D33" s="706">
        <v>24000</v>
      </c>
    </row>
    <row r="34" spans="1:4" s="22" customFormat="1" ht="17.25" customHeight="1">
      <c r="A34" s="21"/>
      <c r="B34" s="28">
        <v>20</v>
      </c>
      <c r="C34" s="728" t="s">
        <v>489</v>
      </c>
      <c r="D34" s="706">
        <f>1637-599+8000</f>
        <v>9038</v>
      </c>
    </row>
    <row r="35" spans="1:4" s="22" customFormat="1" ht="12.75" customHeight="1">
      <c r="A35" s="21"/>
      <c r="B35" s="28">
        <v>21</v>
      </c>
      <c r="C35" s="728" t="s">
        <v>466</v>
      </c>
      <c r="D35" s="706">
        <v>8707</v>
      </c>
    </row>
    <row r="36" spans="1:4" s="743" customFormat="1" ht="12.75" customHeight="1">
      <c r="A36" s="21"/>
      <c r="B36" s="28">
        <v>22</v>
      </c>
      <c r="C36" s="728" t="s">
        <v>486</v>
      </c>
      <c r="D36" s="706">
        <f>2537+5885</f>
        <v>8422</v>
      </c>
    </row>
    <row r="37" spans="1:4" s="22" customFormat="1" ht="12.75" customHeight="1">
      <c r="A37" s="21"/>
      <c r="B37" s="28">
        <v>23</v>
      </c>
      <c r="C37" s="728" t="s">
        <v>470</v>
      </c>
      <c r="D37" s="706">
        <f>18821-18821</f>
        <v>0</v>
      </c>
    </row>
    <row r="38" spans="1:4" s="22" customFormat="1" ht="12.75" customHeight="1">
      <c r="A38" s="21"/>
      <c r="B38" s="28">
        <v>24</v>
      </c>
      <c r="C38" s="748" t="s">
        <v>490</v>
      </c>
      <c r="D38" s="701">
        <v>6489</v>
      </c>
    </row>
    <row r="39" spans="1:4" s="22" customFormat="1" ht="12.75" customHeight="1">
      <c r="A39" s="21"/>
      <c r="B39" s="28">
        <v>25</v>
      </c>
      <c r="C39" s="728" t="s">
        <v>476</v>
      </c>
      <c r="D39" s="706">
        <v>7165</v>
      </c>
    </row>
    <row r="40" spans="1:4" s="22" customFormat="1" ht="25.5" customHeight="1">
      <c r="A40" s="21"/>
      <c r="B40" s="28">
        <v>26</v>
      </c>
      <c r="C40" s="728" t="s">
        <v>501</v>
      </c>
      <c r="D40" s="706">
        <f>37833+132855</f>
        <v>170688</v>
      </c>
    </row>
    <row r="41" spans="1:4" s="22" customFormat="1" ht="12.75" customHeight="1">
      <c r="A41" s="21"/>
      <c r="B41" s="28">
        <v>27</v>
      </c>
      <c r="C41" s="728" t="s">
        <v>496</v>
      </c>
      <c r="D41" s="706">
        <f>7799+2106</f>
        <v>9905</v>
      </c>
    </row>
    <row r="42" spans="1:4" s="22" customFormat="1" ht="12.75" customHeight="1">
      <c r="A42" s="21"/>
      <c r="B42" s="28">
        <v>28</v>
      </c>
      <c r="C42" s="728" t="s">
        <v>497</v>
      </c>
      <c r="D42" s="706">
        <f>3000+810</f>
        <v>3810</v>
      </c>
    </row>
    <row r="43" spans="1:4" s="22" customFormat="1" ht="12.75" customHeight="1">
      <c r="A43" s="21"/>
      <c r="B43" s="28">
        <v>29</v>
      </c>
      <c r="C43" s="728" t="s">
        <v>498</v>
      </c>
      <c r="D43" s="706">
        <v>12700</v>
      </c>
    </row>
    <row r="44" spans="1:4" s="22" customFormat="1" ht="12.75" customHeight="1">
      <c r="A44" s="21"/>
      <c r="B44" s="28">
        <v>30</v>
      </c>
      <c r="C44" s="728" t="s">
        <v>503</v>
      </c>
      <c r="D44" s="706">
        <v>1000</v>
      </c>
    </row>
    <row r="45" spans="1:4" s="22" customFormat="1" ht="12.75">
      <c r="A45" s="21"/>
      <c r="B45" s="28"/>
      <c r="C45" s="36"/>
      <c r="D45" s="701"/>
    </row>
    <row r="46" spans="1:4" s="22" customFormat="1" ht="18" customHeight="1">
      <c r="A46" s="21"/>
      <c r="B46" s="33" t="s">
        <v>20</v>
      </c>
      <c r="C46" s="145" t="s">
        <v>185</v>
      </c>
      <c r="D46" s="622">
        <f>SUM(D47:D58)</f>
        <v>1008239</v>
      </c>
    </row>
    <row r="47" spans="1:4" s="22" customFormat="1" ht="15.75" customHeight="1">
      <c r="A47" s="21"/>
      <c r="B47" s="28">
        <v>1</v>
      </c>
      <c r="C47" s="155" t="s">
        <v>228</v>
      </c>
      <c r="D47" s="707">
        <f>78650-21309-35413</f>
        <v>21928</v>
      </c>
    </row>
    <row r="48" spans="1:4" s="22" customFormat="1" ht="14.25" customHeight="1">
      <c r="A48" s="21"/>
      <c r="B48" s="28">
        <v>2</v>
      </c>
      <c r="C48" s="125" t="s">
        <v>181</v>
      </c>
      <c r="D48" s="707">
        <f>466753-48698+12001</f>
        <v>430056</v>
      </c>
    </row>
    <row r="49" spans="1:4" s="22" customFormat="1" ht="15" customHeight="1">
      <c r="A49" s="21"/>
      <c r="B49" s="28">
        <v>3</v>
      </c>
      <c r="C49" s="155" t="s">
        <v>326</v>
      </c>
      <c r="D49" s="706">
        <f>16+6191+1671-7824+4634+848</f>
        <v>5536</v>
      </c>
    </row>
    <row r="50" spans="1:4" s="22" customFormat="1" ht="15" customHeight="1">
      <c r="A50" s="21"/>
      <c r="B50" s="28">
        <v>4</v>
      </c>
      <c r="C50" s="125" t="s">
        <v>329</v>
      </c>
      <c r="D50" s="701">
        <f>39264+257-4133-7658+4133-92</f>
        <v>31771</v>
      </c>
    </row>
    <row r="51" spans="1:4" s="22" customFormat="1" ht="15" customHeight="1">
      <c r="A51" s="21"/>
      <c r="B51" s="28">
        <v>5</v>
      </c>
      <c r="C51" s="155" t="s">
        <v>330</v>
      </c>
      <c r="D51" s="706">
        <f>20075-2129+25-2760+428</f>
        <v>15639</v>
      </c>
    </row>
    <row r="52" spans="1:4" s="22" customFormat="1" ht="15" customHeight="1">
      <c r="A52" s="21"/>
      <c r="B52" s="28">
        <v>6</v>
      </c>
      <c r="C52" s="155" t="s">
        <v>331</v>
      </c>
      <c r="D52" s="706">
        <f>48479-4899+50-6592+314</f>
        <v>37352</v>
      </c>
    </row>
    <row r="53" spans="1:4" s="22" customFormat="1" ht="15" customHeight="1">
      <c r="A53" s="21"/>
      <c r="B53" s="28">
        <v>7</v>
      </c>
      <c r="C53" s="155" t="s">
        <v>332</v>
      </c>
      <c r="D53" s="706">
        <f>41280-4325+76-5591+240</f>
        <v>31680</v>
      </c>
    </row>
    <row r="54" spans="1:4" s="22" customFormat="1" ht="15" customHeight="1">
      <c r="A54" s="21"/>
      <c r="B54" s="28">
        <v>8</v>
      </c>
      <c r="C54" s="90" t="s">
        <v>247</v>
      </c>
      <c r="D54" s="707">
        <f>121918-67932-3250</f>
        <v>50736</v>
      </c>
    </row>
    <row r="55" spans="1:4" s="22" customFormat="1" ht="15" customHeight="1">
      <c r="A55" s="21"/>
      <c r="B55" s="28">
        <v>9</v>
      </c>
      <c r="C55" s="34" t="s">
        <v>384</v>
      </c>
      <c r="D55" s="707">
        <f>66692+28188+44000+10000-100551+47656+146672</f>
        <v>242657</v>
      </c>
    </row>
    <row r="56" spans="1:4" s="22" customFormat="1" ht="15" customHeight="1">
      <c r="A56" s="21"/>
      <c r="B56" s="28">
        <v>10</v>
      </c>
      <c r="C56" s="34" t="s">
        <v>383</v>
      </c>
      <c r="D56" s="707">
        <f>337405-234123-103282</f>
        <v>0</v>
      </c>
    </row>
    <row r="57" spans="1:4" s="22" customFormat="1" ht="15" customHeight="1">
      <c r="A57" s="21"/>
      <c r="B57" s="28">
        <v>11</v>
      </c>
      <c r="C57" s="34" t="s">
        <v>446</v>
      </c>
      <c r="D57" s="707">
        <v>917</v>
      </c>
    </row>
    <row r="58" spans="1:4" s="22" customFormat="1" ht="15" customHeight="1">
      <c r="A58" s="21"/>
      <c r="B58" s="28">
        <v>12</v>
      </c>
      <c r="C58" s="728" t="s">
        <v>483</v>
      </c>
      <c r="D58" s="706">
        <f>150000-10033</f>
        <v>139967</v>
      </c>
    </row>
    <row r="59" spans="1:4" s="22" customFormat="1" ht="8.25" customHeight="1">
      <c r="A59" s="23"/>
      <c r="B59" s="28"/>
      <c r="C59" s="34"/>
      <c r="D59" s="707"/>
    </row>
    <row r="60" spans="1:4" s="22" customFormat="1" ht="14.25" customHeight="1">
      <c r="A60" s="23" t="s">
        <v>40</v>
      </c>
      <c r="B60" s="28"/>
      <c r="C60" s="225" t="s">
        <v>87</v>
      </c>
      <c r="D60" s="708">
        <f>D62+D69</f>
        <v>836989</v>
      </c>
    </row>
    <row r="61" spans="1:4" s="22" customFormat="1" ht="10.5" customHeight="1">
      <c r="A61" s="23"/>
      <c r="B61" s="28"/>
      <c r="C61" s="101"/>
      <c r="D61" s="705"/>
    </row>
    <row r="62" spans="1:4" s="148" customFormat="1" ht="14.25" customHeight="1">
      <c r="A62" s="23"/>
      <c r="B62" s="33" t="s">
        <v>19</v>
      </c>
      <c r="C62" s="149" t="s">
        <v>191</v>
      </c>
      <c r="D62" s="705">
        <f>D63+D64+D65+D66+D67</f>
        <v>14965</v>
      </c>
    </row>
    <row r="63" spans="1:4" s="22" customFormat="1" ht="14.25" customHeight="1">
      <c r="A63" s="23"/>
      <c r="B63" s="28">
        <v>1</v>
      </c>
      <c r="C63" s="34" t="s">
        <v>402</v>
      </c>
      <c r="D63" s="707">
        <f>3000+6000</f>
        <v>9000</v>
      </c>
    </row>
    <row r="64" spans="1:4" s="22" customFormat="1" ht="14.25" customHeight="1">
      <c r="A64" s="23"/>
      <c r="B64" s="28">
        <v>2</v>
      </c>
      <c r="C64" s="90" t="s">
        <v>396</v>
      </c>
      <c r="D64" s="707">
        <f>14917-14917</f>
        <v>0</v>
      </c>
    </row>
    <row r="65" spans="1:4" s="22" customFormat="1" ht="14.25" customHeight="1">
      <c r="A65" s="23"/>
      <c r="B65" s="28">
        <v>3</v>
      </c>
      <c r="C65" s="34" t="s">
        <v>141</v>
      </c>
      <c r="D65" s="707">
        <v>5000</v>
      </c>
    </row>
    <row r="66" spans="1:4" s="22" customFormat="1" ht="14.25" customHeight="1">
      <c r="A66" s="23"/>
      <c r="B66" s="28">
        <v>4</v>
      </c>
      <c r="C66" s="34" t="s">
        <v>499</v>
      </c>
      <c r="D66" s="707">
        <v>322</v>
      </c>
    </row>
    <row r="67" spans="1:4" s="22" customFormat="1" ht="14.25" customHeight="1">
      <c r="A67" s="23"/>
      <c r="B67" s="28">
        <v>5</v>
      </c>
      <c r="C67" s="34" t="s">
        <v>500</v>
      </c>
      <c r="D67" s="707">
        <v>643</v>
      </c>
    </row>
    <row r="68" spans="1:4" s="22" customFormat="1" ht="7.5" customHeight="1">
      <c r="A68" s="23"/>
      <c r="B68" s="28"/>
      <c r="C68" s="99"/>
      <c r="D68" s="707"/>
    </row>
    <row r="69" spans="1:4" s="148" customFormat="1" ht="16.5" customHeight="1">
      <c r="A69" s="23"/>
      <c r="B69" s="33" t="s">
        <v>20</v>
      </c>
      <c r="C69" s="145" t="s">
        <v>185</v>
      </c>
      <c r="D69" s="708">
        <f>SUM(D70:D73)</f>
        <v>822024</v>
      </c>
    </row>
    <row r="70" spans="1:4" s="22" customFormat="1" ht="12.75" customHeight="1">
      <c r="A70" s="23"/>
      <c r="B70" s="28">
        <v>1</v>
      </c>
      <c r="C70" s="155" t="s">
        <v>228</v>
      </c>
      <c r="D70" s="706">
        <f>448794-1350+35413-57000+53431</f>
        <v>479288</v>
      </c>
    </row>
    <row r="71" spans="1:4" s="22" customFormat="1" ht="15" customHeight="1">
      <c r="A71" s="23"/>
      <c r="B71" s="28">
        <v>2</v>
      </c>
      <c r="C71" s="124" t="s">
        <v>383</v>
      </c>
      <c r="D71" s="706">
        <f>235278-202879+7577+103282</f>
        <v>143258</v>
      </c>
    </row>
    <row r="72" spans="1:4" s="22" customFormat="1" ht="16.5" customHeight="1">
      <c r="A72" s="23"/>
      <c r="B72" s="28">
        <v>3</v>
      </c>
      <c r="C72" s="90" t="s">
        <v>247</v>
      </c>
      <c r="D72" s="709">
        <f>30981-2322</f>
        <v>28659</v>
      </c>
    </row>
    <row r="73" spans="1:4" s="22" customFormat="1" ht="16.5" customHeight="1" thickBot="1">
      <c r="A73" s="23"/>
      <c r="B73" s="28">
        <v>4</v>
      </c>
      <c r="C73" s="198" t="s">
        <v>384</v>
      </c>
      <c r="D73" s="702">
        <f>246216-7950+79225-146672</f>
        <v>170819</v>
      </c>
    </row>
    <row r="74" spans="1:4" s="22" customFormat="1" ht="14.25" customHeight="1" thickBot="1" thickTop="1">
      <c r="A74" s="1002" t="s">
        <v>406</v>
      </c>
      <c r="B74" s="1003"/>
      <c r="C74" s="1004"/>
      <c r="D74" s="703">
        <f>D6+D60</f>
        <v>2381139</v>
      </c>
    </row>
    <row r="75" spans="1:4" s="22" customFormat="1" ht="7.5" customHeight="1">
      <c r="A75" s="21"/>
      <c r="B75" s="32"/>
      <c r="C75" s="31"/>
      <c r="D75" s="704"/>
    </row>
    <row r="76" spans="1:4" s="22" customFormat="1" ht="14.25" customHeight="1">
      <c r="A76" s="19" t="s">
        <v>44</v>
      </c>
      <c r="B76" s="175"/>
      <c r="C76" s="35" t="s">
        <v>403</v>
      </c>
      <c r="D76" s="622">
        <f>D78+D85</f>
        <v>490580</v>
      </c>
    </row>
    <row r="77" spans="1:4" s="22" customFormat="1" ht="8.25" customHeight="1">
      <c r="A77" s="19"/>
      <c r="B77" s="175"/>
      <c r="C77" s="35"/>
      <c r="D77" s="701"/>
    </row>
    <row r="78" spans="1:4" s="148" customFormat="1" ht="18" customHeight="1">
      <c r="A78" s="23"/>
      <c r="B78" s="33" t="s">
        <v>19</v>
      </c>
      <c r="C78" s="178" t="s">
        <v>186</v>
      </c>
      <c r="D78" s="705">
        <f>D79+D80+D84+D81+D82+D83</f>
        <v>473826</v>
      </c>
    </row>
    <row r="79" spans="1:4" s="22" customFormat="1" ht="15" customHeight="1">
      <c r="A79" s="21"/>
      <c r="B79" s="172" t="s">
        <v>117</v>
      </c>
      <c r="C79" s="166" t="s">
        <v>229</v>
      </c>
      <c r="D79" s="701">
        <v>1640</v>
      </c>
    </row>
    <row r="80" spans="1:4" s="22" customFormat="1" ht="26.25" customHeight="1">
      <c r="A80" s="21"/>
      <c r="B80" s="172">
        <v>2</v>
      </c>
      <c r="C80" s="37" t="s">
        <v>227</v>
      </c>
      <c r="D80" s="706">
        <f>334379-245025+346080</f>
        <v>435434</v>
      </c>
    </row>
    <row r="81" spans="1:4" s="22" customFormat="1" ht="15.75" customHeight="1">
      <c r="A81" s="21"/>
      <c r="B81" s="172">
        <v>3</v>
      </c>
      <c r="C81" s="37" t="s">
        <v>85</v>
      </c>
      <c r="D81" s="706">
        <v>4513</v>
      </c>
    </row>
    <row r="82" spans="1:4" s="22" customFormat="1" ht="13.5" customHeight="1">
      <c r="A82" s="21"/>
      <c r="B82" s="172">
        <v>4</v>
      </c>
      <c r="C82" s="37" t="s">
        <v>231</v>
      </c>
      <c r="D82" s="706">
        <v>20113</v>
      </c>
    </row>
    <row r="83" spans="1:4" s="22" customFormat="1" ht="13.5" customHeight="1">
      <c r="A83" s="21"/>
      <c r="B83" s="172">
        <v>5</v>
      </c>
      <c r="C83" s="37" t="s">
        <v>419</v>
      </c>
      <c r="D83" s="706">
        <v>5011</v>
      </c>
    </row>
    <row r="84" spans="1:4" s="22" customFormat="1" ht="14.25" customHeight="1">
      <c r="A84" s="21"/>
      <c r="B84" s="172">
        <v>6</v>
      </c>
      <c r="C84" s="37" t="s">
        <v>236</v>
      </c>
      <c r="D84" s="706">
        <f>25279-2540-13959-1665</f>
        <v>7115</v>
      </c>
    </row>
    <row r="85" spans="1:4" s="22" customFormat="1" ht="18.75" customHeight="1">
      <c r="A85" s="21"/>
      <c r="B85" s="196" t="s">
        <v>20</v>
      </c>
      <c r="C85" s="197" t="s">
        <v>248</v>
      </c>
      <c r="D85" s="622">
        <f>+D86+D87+D88</f>
        <v>16754</v>
      </c>
    </row>
    <row r="86" spans="1:4" s="22" customFormat="1" ht="17.25" customHeight="1">
      <c r="A86" s="21"/>
      <c r="B86" s="172">
        <v>1</v>
      </c>
      <c r="C86" s="727" t="s">
        <v>360</v>
      </c>
      <c r="D86" s="707">
        <v>3000</v>
      </c>
    </row>
    <row r="87" spans="1:4" s="22" customFormat="1" ht="17.25" customHeight="1">
      <c r="A87" s="21"/>
      <c r="B87" s="172">
        <v>2</v>
      </c>
      <c r="C87" s="727" t="s">
        <v>448</v>
      </c>
      <c r="D87" s="707">
        <v>4000</v>
      </c>
    </row>
    <row r="88" spans="1:4" s="22" customFormat="1" ht="17.25" customHeight="1" thickBot="1">
      <c r="A88" s="21"/>
      <c r="B88" s="172">
        <v>3</v>
      </c>
      <c r="C88" s="155" t="s">
        <v>361</v>
      </c>
      <c r="D88" s="706">
        <f>9754</f>
        <v>9754</v>
      </c>
    </row>
    <row r="89" spans="1:4" ht="14.25" customHeight="1" thickBot="1" thickTop="1">
      <c r="A89" s="1005" t="s">
        <v>76</v>
      </c>
      <c r="B89" s="1006"/>
      <c r="C89" s="1007"/>
      <c r="D89" s="632">
        <f>D76</f>
        <v>490580</v>
      </c>
    </row>
    <row r="90" spans="1:4" ht="14.25" customHeight="1" thickTop="1">
      <c r="A90" s="24"/>
      <c r="B90" s="176"/>
      <c r="C90" s="25" t="s">
        <v>404</v>
      </c>
      <c r="D90" s="996">
        <f>D74+D89</f>
        <v>2871719</v>
      </c>
    </row>
    <row r="91" spans="1:4" ht="14.25" customHeight="1" thickBot="1">
      <c r="A91" s="26"/>
      <c r="B91" s="177"/>
      <c r="C91" s="27" t="s">
        <v>405</v>
      </c>
      <c r="D91" s="997"/>
    </row>
  </sheetData>
  <sheetProtection/>
  <mergeCells count="5">
    <mergeCell ref="D90:D91"/>
    <mergeCell ref="C1:D1"/>
    <mergeCell ref="A5:C5"/>
    <mergeCell ref="A74:C74"/>
    <mergeCell ref="A89:C89"/>
  </mergeCells>
  <printOptions horizontalCentered="1" verticalCentered="1"/>
  <pageMargins left="0.7874015748031497" right="0.7874015748031497" top="0.5905511811023623" bottom="0.3937007874015748" header="0.5118110236220472" footer="0"/>
  <pageSetup horizontalDpi="600" verticalDpi="600" orientation="portrait" paperSize="9" scale="70" r:id="rId2"/>
  <rowBreaks count="1" manualBreakCount="1">
    <brk id="74" max="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85" zoomScalePageLayoutView="0" workbookViewId="0" topLeftCell="A1">
      <selection activeCell="B13" sqref="B13"/>
    </sheetView>
  </sheetViews>
  <sheetFormatPr defaultColWidth="9.00390625" defaultRowHeight="12.75"/>
  <cols>
    <col min="1" max="1" width="5.75390625" style="1012" bestFit="1" customWidth="1"/>
    <col min="2" max="2" width="56.75390625" style="1012" customWidth="1"/>
    <col min="3" max="3" width="16.00390625" style="1012" bestFit="1" customWidth="1"/>
    <col min="4" max="4" width="38.25390625" style="1040" bestFit="1" customWidth="1"/>
    <col min="5" max="16384" width="9.125" style="1012" customWidth="1"/>
  </cols>
  <sheetData>
    <row r="1" spans="1:4" ht="11.25">
      <c r="A1" s="1008"/>
      <c r="B1" s="1009"/>
      <c r="C1" s="1010"/>
      <c r="D1" s="1011" t="s">
        <v>504</v>
      </c>
    </row>
    <row r="2" spans="1:4" ht="11.25">
      <c r="A2" s="1008"/>
      <c r="B2" s="1009"/>
      <c r="C2" s="1010"/>
      <c r="D2" s="1013"/>
    </row>
    <row r="3" spans="1:4" ht="11.25">
      <c r="A3" s="1008"/>
      <c r="B3" s="1008" t="s">
        <v>77</v>
      </c>
      <c r="C3" s="1008"/>
      <c r="D3" s="1014"/>
    </row>
    <row r="4" spans="1:4" ht="11.25">
      <c r="A4" s="1008"/>
      <c r="B4" s="1008"/>
      <c r="C4" s="1008"/>
      <c r="D4" s="1008"/>
    </row>
    <row r="5" spans="1:4" ht="11.25">
      <c r="A5" s="1008"/>
      <c r="B5" s="1009"/>
      <c r="C5" s="1010"/>
      <c r="D5" s="1015"/>
    </row>
    <row r="6" spans="1:4" ht="11.25">
      <c r="A6" s="1008"/>
      <c r="B6" s="1009"/>
      <c r="C6" s="1010"/>
      <c r="D6" s="1015"/>
    </row>
    <row r="7" spans="1:4" ht="11.25">
      <c r="A7" s="1008"/>
      <c r="B7" s="1009"/>
      <c r="C7" s="1010"/>
      <c r="D7" s="1015"/>
    </row>
    <row r="8" spans="1:4" ht="11.25">
      <c r="A8" s="1008"/>
      <c r="B8" s="1009"/>
      <c r="C8" s="1010"/>
      <c r="D8" s="1015"/>
    </row>
    <row r="9" spans="1:4" ht="12" thickBot="1">
      <c r="A9" s="1008"/>
      <c r="B9" s="1009"/>
      <c r="C9" s="1010"/>
      <c r="D9" s="1016" t="s">
        <v>391</v>
      </c>
    </row>
    <row r="10" spans="1:4" ht="23.25" thickBot="1">
      <c r="A10" s="1017" t="s">
        <v>505</v>
      </c>
      <c r="B10" s="1018" t="s">
        <v>506</v>
      </c>
      <c r="C10" s="1019" t="s">
        <v>507</v>
      </c>
      <c r="D10" s="1020" t="s">
        <v>508</v>
      </c>
    </row>
    <row r="11" spans="1:4" ht="27.75" customHeight="1">
      <c r="A11" s="1021" t="s">
        <v>19</v>
      </c>
      <c r="B11" s="1022" t="s">
        <v>509</v>
      </c>
      <c r="C11" s="1023">
        <f>1000</f>
        <v>1000</v>
      </c>
      <c r="D11" s="1024" t="s">
        <v>510</v>
      </c>
    </row>
    <row r="12" spans="1:4" ht="42.75" customHeight="1">
      <c r="A12" s="1025" t="s">
        <v>20</v>
      </c>
      <c r="B12" s="1026" t="s">
        <v>511</v>
      </c>
      <c r="C12" s="1023">
        <v>2000</v>
      </c>
      <c r="D12" s="1027" t="s">
        <v>512</v>
      </c>
    </row>
    <row r="13" spans="1:4" ht="28.5" customHeight="1">
      <c r="A13" s="1025" t="s">
        <v>21</v>
      </c>
      <c r="B13" s="1026" t="s">
        <v>513</v>
      </c>
      <c r="C13" s="1023">
        <f>1500-100-100-100-200-32</f>
        <v>968</v>
      </c>
      <c r="D13" s="1028" t="s">
        <v>510</v>
      </c>
    </row>
    <row r="14" spans="1:4" ht="46.5" customHeight="1">
      <c r="A14" s="1029" t="s">
        <v>22</v>
      </c>
      <c r="B14" s="1030" t="s">
        <v>514</v>
      </c>
      <c r="C14" s="1031">
        <v>2000</v>
      </c>
      <c r="D14" s="1027" t="s">
        <v>512</v>
      </c>
    </row>
    <row r="15" spans="1:4" ht="32.25" customHeight="1" thickBot="1">
      <c r="A15" s="1032" t="s">
        <v>23</v>
      </c>
      <c r="B15" s="1033" t="s">
        <v>515</v>
      </c>
      <c r="C15" s="1034">
        <v>1820</v>
      </c>
      <c r="D15" s="1035" t="s">
        <v>512</v>
      </c>
    </row>
    <row r="16" spans="1:4" ht="12" thickBot="1">
      <c r="A16" s="1036"/>
      <c r="B16" s="1037" t="s">
        <v>516</v>
      </c>
      <c r="C16" s="1038">
        <f>SUM(C11:C15)</f>
        <v>7788</v>
      </c>
      <c r="D16" s="103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Molnár Éva</cp:lastModifiedBy>
  <cp:lastPrinted>2015-12-04T07:52:14Z</cp:lastPrinted>
  <dcterms:created xsi:type="dcterms:W3CDTF">2006-02-08T00:02:41Z</dcterms:created>
  <dcterms:modified xsi:type="dcterms:W3CDTF">2015-12-08T14:41:57Z</dcterms:modified>
  <cp:category/>
  <cp:version/>
  <cp:contentType/>
  <cp:contentStatus/>
</cp:coreProperties>
</file>