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907" firstSheet="4" activeTab="22"/>
  </bookViews>
  <sheets>
    <sheet name="1.ei felh" sheetId="1" r:id="rId1"/>
    <sheet name="2. " sheetId="2" r:id="rId2"/>
    <sheet name="3.bev " sheetId="3" r:id="rId3"/>
    <sheet name="4.int.bev " sheetId="4" r:id="rId4"/>
    <sheet name="5.kiad" sheetId="5" r:id="rId5"/>
    <sheet name="6.mell" sheetId="6" r:id="rId6"/>
    <sheet name="7.céltart" sheetId="7" r:id="rId7"/>
    <sheet name="8.mell" sheetId="8" r:id="rId8"/>
    <sheet name="9 több év" sheetId="9" r:id="rId9"/>
    <sheet name="10.mell " sheetId="10" r:id="rId10"/>
    <sheet name="11.mar.kim" sheetId="11" r:id="rId11"/>
    <sheet name="12.PM" sheetId="12" r:id="rId12"/>
    <sheet name="13 B.vagyon'16" sheetId="13" r:id="rId13"/>
    <sheet name="13 A.vagyon'15" sheetId="14" r:id="rId14"/>
    <sheet name="13 C." sheetId="15" r:id="rId15"/>
    <sheet name="13 D." sheetId="16" r:id="rId16"/>
    <sheet name="14 A.er.kim" sheetId="17" r:id="rId17"/>
    <sheet name="14 B.er.kim" sheetId="18" r:id="rId18"/>
    <sheet name="15 értékv" sheetId="19" r:id="rId19"/>
    <sheet name="1.kim" sheetId="20" r:id="rId20"/>
    <sheet name="2.kim" sheetId="21" r:id="rId21"/>
    <sheet name="3.kim áll tám" sheetId="22" r:id="rId22"/>
    <sheet name="4.kim 3év" sheetId="23" r:id="rId23"/>
  </sheets>
  <externalReferences>
    <externalReference r:id="rId26"/>
    <externalReference r:id="rId27"/>
  </externalReferences>
  <definedNames>
    <definedName name="_xlnm.Print_Titles" localSheetId="11">'12.PM'!$2:$3</definedName>
    <definedName name="_xlnm.Print_Titles" localSheetId="13">'13 A.vagyon''15'!$4:$7</definedName>
    <definedName name="_xlnm.Print_Titles" localSheetId="12">'13 B.vagyon''16'!$4:$7</definedName>
    <definedName name="_xlnm.Print_Titles" localSheetId="15">'13 D.'!$3:$4</definedName>
    <definedName name="_xlnm.Print_Titles" localSheetId="16">'14 A.er.kim'!$4:$5</definedName>
    <definedName name="_xlnm.Print_Titles" localSheetId="17">'14 B.er.kim'!$4:$5</definedName>
    <definedName name="_xlnm.Print_Titles" localSheetId="18">'15 értékv'!$3:$5</definedName>
    <definedName name="_xlnm.Print_Titles" localSheetId="2">'3.bev '!$5:$6</definedName>
    <definedName name="_xlnm.Print_Titles" localSheetId="3">'4.int.bev '!$5:$8</definedName>
    <definedName name="_xlnm.Print_Titles" localSheetId="4">'5.kiad'!$6:$8</definedName>
    <definedName name="_xlnm.Print_Titles" localSheetId="5">'6.mell'!$5:$5</definedName>
    <definedName name="_xlnm.Print_Area" localSheetId="0">'1.ei felh'!$A$1:$O$32</definedName>
    <definedName name="_xlnm.Print_Area" localSheetId="19">'1.kim'!$A$1:$D$55</definedName>
    <definedName name="_xlnm.Print_Area" localSheetId="10">'11.mar.kim'!$A$1:$I$25</definedName>
    <definedName name="_xlnm.Print_Area" localSheetId="11">'12.PM'!$A$1:$K$34</definedName>
    <definedName name="_xlnm.Print_Area" localSheetId="15">'13 D.'!$A$1:$BI$31</definedName>
    <definedName name="_xlnm.Print_Area" localSheetId="16">'14 A.er.kim'!$A$1:$AH$43</definedName>
    <definedName name="_xlnm.Print_Area" localSheetId="17">'14 B.er.kim'!$A$1:$AH$46</definedName>
    <definedName name="_xlnm.Print_Area" localSheetId="18">'15 értékv'!$A$1:$BI$16</definedName>
    <definedName name="_xlnm.Print_Area" localSheetId="1">'2. '!$A$1:$E$133</definedName>
    <definedName name="_xlnm.Print_Area" localSheetId="2">'3.bev '!$A$1:$H$557</definedName>
    <definedName name="_xlnm.Print_Area" localSheetId="3">'4.int.bev '!$A$1:$L$42</definedName>
    <definedName name="_xlnm.Print_Area" localSheetId="22">'4.kim 3év'!$A$1:$F$47</definedName>
    <definedName name="_xlnm.Print_Area" localSheetId="4">'5.kiad'!$A$1:$R$578</definedName>
    <definedName name="_xlnm.Print_Area" localSheetId="5">'6.mell'!$A$1:$F$80</definedName>
    <definedName name="_xlnm.Print_Area" localSheetId="6">'7.céltart'!$A$1:$E$20</definedName>
    <definedName name="_xlnm.Print_Area" localSheetId="7">'8.mell'!$A$1:$I$69</definedName>
    <definedName name="_xlnm.Print_Area" localSheetId="8">'9 több év'!$A$1:$H$46</definedName>
  </definedNames>
  <calcPr fullCalcOnLoad="1"/>
</workbook>
</file>

<file path=xl/comments5.xml><?xml version="1.0" encoding="utf-8"?>
<comments xmlns="http://schemas.openxmlformats.org/spreadsheetml/2006/main">
  <authors>
    <author>Win</author>
  </authors>
  <commentList>
    <comment ref="D273" authorId="0">
      <text>
        <r>
          <rPr>
            <b/>
            <sz val="8"/>
            <rFont val="Tahoma"/>
            <family val="2"/>
          </rPr>
          <t>Win: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<sst xmlns="http://schemas.openxmlformats.org/spreadsheetml/2006/main" count="3024" uniqueCount="1091">
  <si>
    <t xml:space="preserve">Közfoglalkoztatás </t>
  </si>
  <si>
    <t>Útépítés</t>
  </si>
  <si>
    <t>Ezer Ft - ban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</si>
  <si>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</si>
  <si>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</si>
  <si>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</si>
  <si>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</si>
  <si>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</si>
  <si>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</si>
  <si>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</si>
  <si>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</si>
  <si>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</si>
  <si>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</si>
  <si>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Személyi juttatások</t>
  </si>
  <si>
    <t>Dologi kiadások</t>
  </si>
  <si>
    <t>MEGNEVEZÉS</t>
  </si>
  <si>
    <t>Működési</t>
  </si>
  <si>
    <t>Felhalmozási</t>
  </si>
  <si>
    <t>Összesen</t>
  </si>
  <si>
    <t>célú</t>
  </si>
  <si>
    <t>BEVÉTELEK</t>
  </si>
  <si>
    <t>I.</t>
  </si>
  <si>
    <t>II.</t>
  </si>
  <si>
    <t>KIADÁSOK</t>
  </si>
  <si>
    <t>Beruházások</t>
  </si>
  <si>
    <t>Felújítások</t>
  </si>
  <si>
    <t>III.</t>
  </si>
  <si>
    <t>Ezer Ft-ban</t>
  </si>
  <si>
    <t>M E G N E V E Z É S</t>
  </si>
  <si>
    <t>Gépjárműadó</t>
  </si>
  <si>
    <t>Talajterhelési díj</t>
  </si>
  <si>
    <t>Mezőőri feladatok ellátására támogatás</t>
  </si>
  <si>
    <t>Egyéb felhalmozási célú kiadások</t>
  </si>
  <si>
    <t>Cím,</t>
  </si>
  <si>
    <t>Cím</t>
  </si>
  <si>
    <t>szám</t>
  </si>
  <si>
    <t>megnevezése</t>
  </si>
  <si>
    <t>Cím ,</t>
  </si>
  <si>
    <t>Személyi</t>
  </si>
  <si>
    <t>Dologi</t>
  </si>
  <si>
    <t>Ellátottak</t>
  </si>
  <si>
    <t>Beruházá-</t>
  </si>
  <si>
    <t>Létszám-</t>
  </si>
  <si>
    <t>Alcím</t>
  </si>
  <si>
    <t xml:space="preserve">             alcím megnevezése</t>
  </si>
  <si>
    <t>kiadások</t>
  </si>
  <si>
    <t>pénzbeli</t>
  </si>
  <si>
    <t>célú kiadások</t>
  </si>
  <si>
    <t>sok, felújí-</t>
  </si>
  <si>
    <t>keret</t>
  </si>
  <si>
    <t>Szám</t>
  </si>
  <si>
    <t>tások</t>
  </si>
  <si>
    <t>Város -és községgazdálkodási szolgáltatás</t>
  </si>
  <si>
    <t>Közvilágítás</t>
  </si>
  <si>
    <t>BERUHÁZÁSOK, FELÚJÍTÁSOK ÉS EGYÉB FELHALMOZÁSI</t>
  </si>
  <si>
    <t xml:space="preserve"> </t>
  </si>
  <si>
    <t>Sor-szám</t>
  </si>
  <si>
    <t>Sikeres Magyarországért Panel Plusz Hitelprogram</t>
  </si>
  <si>
    <t>Lakbértámogatás</t>
  </si>
  <si>
    <t>Köztemetés</t>
  </si>
  <si>
    <t>Petőfi Sándor Városi Könyvtár</t>
  </si>
  <si>
    <t xml:space="preserve">Petőfi Szülőház és Emlékmúzeum </t>
  </si>
  <si>
    <t>Dolgozóknak nyújtott lakásvásárlási-, lakásépítési kölcsön</t>
  </si>
  <si>
    <t>Környezetvédelmi bírság</t>
  </si>
  <si>
    <t>Finanszírozási kiadások</t>
  </si>
  <si>
    <t>Általános forgalmi adó bevételek</t>
  </si>
  <si>
    <t>JELLEGŰ KIADÁSOK, TÁMOGATÁSOK ÖSSZESEN</t>
  </si>
  <si>
    <t>Önkormányzat igazgatási tevékenysége</t>
  </si>
  <si>
    <t>Igazgatási tevékenység</t>
  </si>
  <si>
    <t>Adóigazgatási tevékenység</t>
  </si>
  <si>
    <t xml:space="preserve">     Állategészségügyi tevékenység</t>
  </si>
  <si>
    <t>Víztermelés, -kezelés, - ellátás</t>
  </si>
  <si>
    <t>Zöldterület-kezelés, parkfenntartás, parképítés</t>
  </si>
  <si>
    <t>Testületi feladatok</t>
  </si>
  <si>
    <t xml:space="preserve">     Költségvetési tartalékok</t>
  </si>
  <si>
    <t xml:space="preserve">     Mezőőri feladatok</t>
  </si>
  <si>
    <t>Központi költségvetési befizetések</t>
  </si>
  <si>
    <t>Önkormányzatok nemzetközi kapcsolatai</t>
  </si>
  <si>
    <t>Közterület rendjének fenntartása</t>
  </si>
  <si>
    <t>Bűnmegelőzés</t>
  </si>
  <si>
    <t>Önkéntes Tűzoltó Egyesület támogatása</t>
  </si>
  <si>
    <t>Ár- és belvízvédelemmel összefüggő tevékenységek</t>
  </si>
  <si>
    <t>Egyéb szociális ellátások bentlakás nélkül</t>
  </si>
  <si>
    <t>Kulturális műsorok, rendezvények, kiállítások szervezése</t>
  </si>
  <si>
    <t xml:space="preserve">      Szüreti Napok</t>
  </si>
  <si>
    <t>Közművelődési tevékenységek és támogatásuk</t>
  </si>
  <si>
    <t>Szabadidős park, fürdő- és strandszolgáltatás</t>
  </si>
  <si>
    <t>Köztemető fenntartása és működtetése</t>
  </si>
  <si>
    <t>1</t>
  </si>
  <si>
    <t>Közfoglalkoztatás</t>
  </si>
  <si>
    <t>Egyéb működési célú kiadások</t>
  </si>
  <si>
    <t>juttatások</t>
  </si>
  <si>
    <t>juttatásai</t>
  </si>
  <si>
    <t>Ellátottak pénzbeli juttatásai</t>
  </si>
  <si>
    <t>Egyéb veszélyes hulladékok kezelése</t>
  </si>
  <si>
    <t>Szennyvíz-kezelés</t>
  </si>
  <si>
    <t>Képviselő-testületi ülések, városi rendezvények közvetítése</t>
  </si>
  <si>
    <t>Mezőgazdaság igazgatási és szabályozási feladatai</t>
  </si>
  <si>
    <t>Köz- és díszvilágítás</t>
  </si>
  <si>
    <t>Oktatási feladatok</t>
  </si>
  <si>
    <t>BURSA - támogatás önerő</t>
  </si>
  <si>
    <t>Állami lakástámogatások jogszabály alapján - Sikeres Magyarországért Panel Plusz</t>
  </si>
  <si>
    <t>-ebből OEP</t>
  </si>
  <si>
    <t>Egyéb köztisztasági tevékenységek</t>
  </si>
  <si>
    <t>Díszvilágítás</t>
  </si>
  <si>
    <t>Környezetvédelmi Alap felhasználása</t>
  </si>
  <si>
    <t>Közhatalmi bevételek</t>
  </si>
  <si>
    <t>Egyéb felhalmozás célú kiadások</t>
  </si>
  <si>
    <t>Anyakönyvi eljárás díja</t>
  </si>
  <si>
    <t>ebből: OEP támogatás</t>
  </si>
  <si>
    <t>k</t>
  </si>
  <si>
    <t>ö</t>
  </si>
  <si>
    <t>Munkaadókat terhelő járulékok és szociális hozzájárulási adó</t>
  </si>
  <si>
    <t>Működési költségvetés</t>
  </si>
  <si>
    <t xml:space="preserve">Működési költségvetés összesen </t>
  </si>
  <si>
    <t>Felhalmozási költségvetés</t>
  </si>
  <si>
    <t xml:space="preserve">Felhalmozási költségvetés összesen </t>
  </si>
  <si>
    <t>Működési költségvetés összesen:</t>
  </si>
  <si>
    <t>járulékok és szociális</t>
  </si>
  <si>
    <t>Felhalmozási költségvetés összesen:</t>
  </si>
  <si>
    <t>Ebből: kötelező feladatellátás</t>
  </si>
  <si>
    <t>Kiemelt önkormányzati, városi rendezvények, fizetendő jogdíjak</t>
  </si>
  <si>
    <t>Kiskőrös Város szennyvízelvezetésének végleges megoldása  - KEOP-1.2.0/09-11-2011-0042</t>
  </si>
  <si>
    <t>Társulási hozzájárulás</t>
  </si>
  <si>
    <t>Összesen ( II./1-7.)</t>
  </si>
  <si>
    <t>Önkormányzat bevételei</t>
  </si>
  <si>
    <t>AZ ÖNKORMÁNYZAT ÉS A POLGÁRMESTERI HIVATAL BEVÉTELEI</t>
  </si>
  <si>
    <t>Az Önkormányzat és a Polgármesteri Hivatal bevételei</t>
  </si>
  <si>
    <t>Az Önkormányzat által irányított költségvetési szervek bevételei</t>
  </si>
  <si>
    <t>AZ ÖNKORMÁNYZAT ÁLTAL IRÁNYÍTOTT KÖLTSÉGVETÉSI SZERVEK  BEVÉTELEI</t>
  </si>
  <si>
    <t xml:space="preserve">Intézményi alaptevékenység </t>
  </si>
  <si>
    <t>Utak fenntartása, építése</t>
  </si>
  <si>
    <t>Polgármesteri Hivatal</t>
  </si>
  <si>
    <t>Polgármesteri Hivatal tevékenysége</t>
  </si>
  <si>
    <t>Petőfi Sándor Társaság támogatása</t>
  </si>
  <si>
    <t>Kiskőrös Városért Alapítvány támogatása</t>
  </si>
  <si>
    <t>Kiskőrösi Labdarúgó Klub támogatása</t>
  </si>
  <si>
    <t>Települési marketing és média</t>
  </si>
  <si>
    <t>Küzdősportok támogatása</t>
  </si>
  <si>
    <t>Kiskőrösi Advent</t>
  </si>
  <si>
    <t>Összesen:</t>
  </si>
  <si>
    <t xml:space="preserve">     Térfigyelő kamera, sebességmérő üzemeltetése, bűnmegelőzés</t>
  </si>
  <si>
    <t>Feladat</t>
  </si>
  <si>
    <t>Az átcsoportosítás jogát gyakorolja</t>
  </si>
  <si>
    <t>Rendkívüli javítások, karbantartások elvégzése, halaszthatatlan kisértékű tárgyi eszközök pótlása</t>
  </si>
  <si>
    <t>Polgármester</t>
  </si>
  <si>
    <t>Indokolt létszámcsökkentés végrehajtása érdekében felmerülő végkielégítés, egyéb nem tervezett rendkívüli személyi juttatás fedezete</t>
  </si>
  <si>
    <t>Az Önkormányzat és az általa irányított költségvetési szervek dologi kiadásai indokolt kiegészítéséhez szükséges tartalék</t>
  </si>
  <si>
    <t>Képviselő-testület</t>
  </si>
  <si>
    <t>-eredeti előirányzat</t>
  </si>
  <si>
    <t>-módosított előirányzat</t>
  </si>
  <si>
    <t>-teljesítés</t>
  </si>
  <si>
    <t xml:space="preserve">            önként vállalt feladatok</t>
  </si>
  <si>
    <t>hozzájáru-lási adó</t>
  </si>
  <si>
    <t>Tarta-lékok</t>
  </si>
  <si>
    <t>Munka-adókat terhelő</t>
  </si>
  <si>
    <t xml:space="preserve">             önként vállalt feladatok</t>
  </si>
  <si>
    <t xml:space="preserve">              önként vállalt feladatok</t>
  </si>
  <si>
    <r>
      <t>Ebből</t>
    </r>
    <r>
      <rPr>
        <b/>
        <sz val="10"/>
        <rFont val="Times New Roman"/>
        <family val="1"/>
      </rPr>
      <t>: kötelező feladatellátás</t>
    </r>
  </si>
  <si>
    <t>Egészségügyi, Gyermekjóléti és Szociális Intézmény</t>
  </si>
  <si>
    <t>Kiskőrösi Óvodák</t>
  </si>
  <si>
    <t>Jogalkotás</t>
  </si>
  <si>
    <t>1,1</t>
  </si>
  <si>
    <t>1,2</t>
  </si>
  <si>
    <t>1,3</t>
  </si>
  <si>
    <t>Polgármesteri Hivatal pénzbeli és természetbeni ellátásai</t>
  </si>
  <si>
    <t>2,1</t>
  </si>
  <si>
    <t>2,2</t>
  </si>
  <si>
    <t>3,1</t>
  </si>
  <si>
    <t>3,2</t>
  </si>
  <si>
    <t>állami (államigazgatási) feladat</t>
  </si>
  <si>
    <t>Vagyonhasznosításával kapcsolatos kiadások</t>
  </si>
  <si>
    <t>Áruértékesítéshez, szolgáltatásnyújtáshoz kapcsolódó ÁFA befizetések</t>
  </si>
  <si>
    <t>á</t>
  </si>
  <si>
    <r>
      <t>Ebből</t>
    </r>
    <r>
      <rPr>
        <i/>
        <sz val="10"/>
        <rFont val="Times New Roman"/>
        <family val="1"/>
      </rPr>
      <t>: kötelező feladatellátás</t>
    </r>
  </si>
  <si>
    <t>Önkormányzati vagyon hasznosításával kapcsolatos kiadások</t>
  </si>
  <si>
    <t xml:space="preserve"> Értékbecslések, tulajdoni lapok, térképkivonatok, vázrajzok, ingatlan-nyilvántartási eljárás díjai, közbeszerzési eljárások lebonyolítása, közzétételi díjak</t>
  </si>
  <si>
    <t>Lakó és nem lakó épület építése</t>
  </si>
  <si>
    <t>Kisoroszi tábor fenntartása, működtetése</t>
  </si>
  <si>
    <t>Jégelhárító rendszer működtetése</t>
  </si>
  <si>
    <t>Kiskőrös Város Hegyközsége támogatása</t>
  </si>
  <si>
    <t>Polgári védelmi védőeszközök tárolása, kezelése</t>
  </si>
  <si>
    <t>Társulás  - Háziorvosi ügyelet támogatása</t>
  </si>
  <si>
    <t>Borversenyek, Agrárexpo támogatása</t>
  </si>
  <si>
    <t>Sportcélok támogatása</t>
  </si>
  <si>
    <t>Férfi kézilabda támogatása</t>
  </si>
  <si>
    <t>Kiskőrösi Női KSZSE támogatása</t>
  </si>
  <si>
    <t>Bem DSE  támogatása</t>
  </si>
  <si>
    <t>állami (államigazgatási) feladatok</t>
  </si>
  <si>
    <t>ebből: kötelező feladatellátáshoz</t>
  </si>
  <si>
    <t>önként vállalt feladatokhoz</t>
  </si>
  <si>
    <t>k: kötelező, ö: önként vállalt, á: állami feladat</t>
  </si>
  <si>
    <t>k: köte-lező, ö: önként vállalt, á: állami feladat</t>
  </si>
  <si>
    <t>Kiskőrös Város Önkormányzatának városközpont rehabilitációs projektje - DAOP-5.1.2/A-09-2f-2011-0005</t>
  </si>
  <si>
    <t>Kiskőrös és Térsége Ivóvízminőség-javító Önkormányzati Társulás - KEOP-1.3.0/09-11-2011-0015 - "EU Önerő Alap" támogatás</t>
  </si>
  <si>
    <t>- általános működési támogatás</t>
  </si>
  <si>
    <t>Költségvetési egyenleg - hiány (Bevételek összesen -kiadások összesen)</t>
  </si>
  <si>
    <t>Finanszírozási bevételek</t>
  </si>
  <si>
    <t>Ebből: kötelező feladatellátáshoz</t>
  </si>
  <si>
    <t xml:space="preserve">Felújítások </t>
  </si>
  <si>
    <t>Közutak üzemeltetése, fenntartása</t>
  </si>
  <si>
    <t>Más forrásból nem finanszírozható, városi feladatok ellátása</t>
  </si>
  <si>
    <t>Bem József Általános Iskola sport célú beruházáshoz, felújításhoz önerő</t>
  </si>
  <si>
    <t>Pénzeszköz-átadások ÁHK</t>
  </si>
  <si>
    <t>Támogatás-értékű kiadások ÁHB</t>
  </si>
  <si>
    <t>Társulási feladatok ellátása</t>
  </si>
  <si>
    <t>Rendszeres gyermekvédelmi  támogatás</t>
  </si>
  <si>
    <t>Kiskőrösi Idősek Otthona felújítása, bővítése, technológiai korszerűsítése - TIOP-3.4.2-11/1-2012-0164</t>
  </si>
  <si>
    <t>Épületek építése, fenntartása</t>
  </si>
  <si>
    <t>Tranzakciós illeték, kamatkiadások, bankköltségek</t>
  </si>
  <si>
    <t>Településrendezési terv</t>
  </si>
  <si>
    <t>Rendőrség támogatása</t>
  </si>
  <si>
    <t>Mellrákszűrés</t>
  </si>
  <si>
    <t>Felhalmozási célú támogatások államháztar-táson belülről B2.</t>
  </si>
  <si>
    <t>Működési célú támogatások államháztar-táson belülről B1.</t>
  </si>
  <si>
    <t>Működési célú átvett pénzeszközök           B6.</t>
  </si>
  <si>
    <t>Felhalmozási célú átvett pénzeszközök</t>
  </si>
  <si>
    <t>Felhalmozási célú átvett pénzeszközök               B7.</t>
  </si>
  <si>
    <t>rovat</t>
  </si>
  <si>
    <t>Működési célú</t>
  </si>
  <si>
    <t>Felhal-mozási     célú</t>
  </si>
  <si>
    <t>KÖLTSÉGVETÉSI BEVÉTELEK               (B1-7.)</t>
  </si>
  <si>
    <t>A</t>
  </si>
  <si>
    <t xml:space="preserve">B16 </t>
  </si>
  <si>
    <t>Az Önkormányzat által irányított költségvetési szervek bevételei összesen A</t>
  </si>
  <si>
    <t>B</t>
  </si>
  <si>
    <t>B1. Működési célú támogatások államháztartáson belülről (B11.+…+B16.):</t>
  </si>
  <si>
    <t>B11. Önkormányzat működési támogatásai:</t>
  </si>
  <si>
    <t>B111</t>
  </si>
  <si>
    <t>B112</t>
  </si>
  <si>
    <t>- egyes köznevelési feladatok támogatása</t>
  </si>
  <si>
    <t>B113</t>
  </si>
  <si>
    <t>- szociális, gyermekjóléti és gyermekétkeztetési feladatok támogatása</t>
  </si>
  <si>
    <t>B114</t>
  </si>
  <si>
    <t>- kulturális feladatok támogatása</t>
  </si>
  <si>
    <t>B115</t>
  </si>
  <si>
    <t>- működési célú központosított előirányzatok</t>
  </si>
  <si>
    <t>B13. Működési célú garancia- és kezességvállalásból származó megtérülések</t>
  </si>
  <si>
    <t>B14. Működési célú visszatérítendő támogatások, kölcsönök visszatérülése</t>
  </si>
  <si>
    <t>B15. Működési célú visszatérítendő támogatások, kölcsönök igénybevétele</t>
  </si>
  <si>
    <t>B16. Egyéb működési célú támogatások:</t>
  </si>
  <si>
    <t>Polgármesteri Hivatal:</t>
  </si>
  <si>
    <t>Társulási feladatokhoz támogatás</t>
  </si>
  <si>
    <t>Önkormányzat:</t>
  </si>
  <si>
    <t>B2. Felhalmozási célú támogatások államháztartáson belülről (B21.+…+B25) - Önkormányzat:</t>
  </si>
  <si>
    <t xml:space="preserve">B25 </t>
  </si>
  <si>
    <t>Bem József Általános Iskola napelemes rendszer - KEOP-4.10.0/A/12-2013-0450</t>
  </si>
  <si>
    <t>Petőfi Sándor Művelődési Központ napelemes rendszer - KEOP-4.10.0/A/12-2013-0441</t>
  </si>
  <si>
    <t>Polgármesteri Hivatal napelemes rendszer - KEOP-4.10.0/A/12/2013-0254</t>
  </si>
  <si>
    <t>B3. Közhatalmi bevételek (B31.+…+B36.)</t>
  </si>
  <si>
    <t>B31. Jövedelemadók</t>
  </si>
  <si>
    <t>B32. Szociális hozzájárulási adó és járulákok</t>
  </si>
  <si>
    <t>B33. Bérhez és foglalkoztatáshoz kapcsolódó adók</t>
  </si>
  <si>
    <t>B34. Vagyoni típusú adók - Önkormányzat:</t>
  </si>
  <si>
    <t>B34114</t>
  </si>
  <si>
    <t>Magánszemélyek kommunális adója</t>
  </si>
  <si>
    <t>B35. Termékek és szolgáltatások adói - Önkormányzat:</t>
  </si>
  <si>
    <t>B351121</t>
  </si>
  <si>
    <t>Iparűzési adó</t>
  </si>
  <si>
    <t>B354121</t>
  </si>
  <si>
    <t>B355121</t>
  </si>
  <si>
    <t>Idegenforgalmi adó bevételek</t>
  </si>
  <si>
    <t>B355129</t>
  </si>
  <si>
    <t>B36. Egyéb közhatalmi bevételek:</t>
  </si>
  <si>
    <t>B36</t>
  </si>
  <si>
    <t>Igazgatási szolgáltatási díjak</t>
  </si>
  <si>
    <t>Szabálysértési és közigazgatási bírságok önkormányzatot megillető része</t>
  </si>
  <si>
    <t>Ket. alapján kiszabott eljárási bírságok</t>
  </si>
  <si>
    <t>B4. Működési bevételek</t>
  </si>
  <si>
    <t>B401</t>
  </si>
  <si>
    <t>Készletértékesítés ellenértéke</t>
  </si>
  <si>
    <t>B402</t>
  </si>
  <si>
    <t>B403</t>
  </si>
  <si>
    <t>B404</t>
  </si>
  <si>
    <t>B405</t>
  </si>
  <si>
    <t>B408</t>
  </si>
  <si>
    <t>B409</t>
  </si>
  <si>
    <t>Egyéb pénzügyi műveletek bevételei</t>
  </si>
  <si>
    <t>B410</t>
  </si>
  <si>
    <t>Egyéb működési bevételek</t>
  </si>
  <si>
    <t>B5. Felhalmozási bevételek</t>
  </si>
  <si>
    <t>B6. Működési célú átvett pénzeszközök</t>
  </si>
  <si>
    <t>B7. Felhalmozási célú átvett pénzeszközök</t>
  </si>
  <si>
    <t xml:space="preserve"> Szociális lakásvásárlás, munkáltatói kölcsönök, belvízkárosult lakások visszatérítendő kölcsönei</t>
  </si>
  <si>
    <t>B8. Finanszírozási bevételek</t>
  </si>
  <si>
    <t>B8131</t>
  </si>
  <si>
    <t>B. Az Önkormányzat és a Polgármesteri Hivatal bevételei összesen B1.+…+B8.</t>
  </si>
  <si>
    <t>Ebből:kötelező feladatellátáshoz</t>
  </si>
  <si>
    <t>Önként vállalt feladatellátáshoz</t>
  </si>
  <si>
    <t xml:space="preserve">Polgármesteri Hivatal bevételei </t>
  </si>
  <si>
    <t>KÖLTSÉGVETÉSI KIADÁSOK                                       (K1-8.)</t>
  </si>
  <si>
    <t>Működési költségvetés:</t>
  </si>
  <si>
    <t>K11.-12.</t>
  </si>
  <si>
    <t>K2.</t>
  </si>
  <si>
    <t>K31.-35.</t>
  </si>
  <si>
    <t>K41.-48.</t>
  </si>
  <si>
    <t>K5.</t>
  </si>
  <si>
    <t>Felhalmozási költségvetés:</t>
  </si>
  <si>
    <t>K6.</t>
  </si>
  <si>
    <t>K7.</t>
  </si>
  <si>
    <t>K8.</t>
  </si>
  <si>
    <t>K9.Finanszírozási kiadások:</t>
  </si>
  <si>
    <t xml:space="preserve">KIADÁSOK ÖSSZESEN </t>
  </si>
  <si>
    <t>- ebből: kötelező feladatellátás</t>
  </si>
  <si>
    <t>önként vállalt feladatok</t>
  </si>
  <si>
    <t>államigazgatási (állami) feladatok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</si>
  <si>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</si>
  <si>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</si>
  <si>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</si>
  <si>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</si>
  <si>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pénzeszközök</t>
  </si>
  <si>
    <t>BEVÉTELEK ÖSSZESEN (I.+II.)</t>
  </si>
  <si>
    <t xml:space="preserve">Finanszírozási bevételek </t>
  </si>
  <si>
    <t>BEVÉTELEK MINDÖSSZESEN (I.+II.+III.)</t>
  </si>
  <si>
    <t>KIADÁSOK MINDÖSSZESEN (I+II+III)</t>
  </si>
  <si>
    <t>Közétkeztetéshez beszerzések</t>
  </si>
  <si>
    <t>Petőfi Szülőház és Emlékmúzeum</t>
  </si>
  <si>
    <t>1,4</t>
  </si>
  <si>
    <t>B16</t>
  </si>
  <si>
    <t>B21</t>
  </si>
  <si>
    <t>Szolgáltatások ellenértéke</t>
  </si>
  <si>
    <t>Kamatbevételek</t>
  </si>
  <si>
    <t>Betétek megszűntetése</t>
  </si>
  <si>
    <t>Működési bevételek B3. - B4.</t>
  </si>
  <si>
    <t>B408-410</t>
  </si>
  <si>
    <t>Kiskőrös, Bem Iskola és Petőfi Kollégium épületenergetikai fejlesztése - KEOP-5.5.0/B/12-2013-0321</t>
  </si>
  <si>
    <t>János Vitéz Látogatóközpont kialakítása Kiskőrösön - DAOP-2.1.1/J-12-2012-0060</t>
  </si>
  <si>
    <t>Intézményi beruházások, kisértékű tárgyi eszköz beszerzések</t>
  </si>
  <si>
    <t>Áru- és készletértékesítés ellenértéke</t>
  </si>
  <si>
    <t>Tulajdonosi bevétel</t>
  </si>
  <si>
    <t>B402-403</t>
  </si>
  <si>
    <t>Szolgáltatás ellenértéke</t>
  </si>
  <si>
    <t>teljesítés</t>
  </si>
  <si>
    <t>Kiskőrös Város Önkor-mányzata</t>
  </si>
  <si>
    <t>Petőfi Szülőház és Emlék-múzeum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</si>
  <si>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</si>
  <si>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</si>
  <si>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</si>
  <si>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</si>
  <si>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</si>
  <si>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01-02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</si>
  <si>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</si>
  <si>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</si>
  <si>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</si>
  <si>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</si>
  <si>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</si>
  <si>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03-04</t>
  </si>
  <si>
    <t xml:space="preserve">Alaptevékenység maradványa + -I + -II 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</si>
  <si>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</si>
  <si>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</si>
  <si>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</si>
  <si>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</si>
  <si>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</si>
  <si>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05-06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</si>
  <si>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</si>
  <si>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</si>
  <si>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</si>
  <si>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</si>
  <si>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</si>
  <si>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07-08</t>
  </si>
  <si>
    <t>Vállalkozási tevékenység maradványa + -III + -IV</t>
  </si>
  <si>
    <t>C</t>
  </si>
  <si>
    <t>Összes maradvány A+B</t>
  </si>
  <si>
    <t>D</t>
  </si>
  <si>
    <t>Alaptevékenység kötelezettségvállalással terhelt maradványa</t>
  </si>
  <si>
    <t>E</t>
  </si>
  <si>
    <t>Alaptevékenység szabad maradványa A-D</t>
  </si>
  <si>
    <t xml:space="preserve">F </t>
  </si>
  <si>
    <t>Vállalkozási tevékenységet terhelő befizetési kötelezettség B*0,1</t>
  </si>
  <si>
    <t>G</t>
  </si>
  <si>
    <t>Vállalkozási tevékenység felhasználható maradványa B-F</t>
  </si>
  <si>
    <t>A) NEMZETI VAGYONBA TARTOZÓ BEFEKTETETT ESZKÖZÖK</t>
  </si>
  <si>
    <t xml:space="preserve">   I.   IMMATERIÁLIS JAVAK</t>
  </si>
  <si>
    <t xml:space="preserve">         1. Vagyoni értékű jogok</t>
  </si>
  <si>
    <t xml:space="preserve">         2. Szellemi termékek</t>
  </si>
  <si>
    <t xml:space="preserve">         3. Immateriális javak értékhelyesbítése</t>
  </si>
  <si>
    <t xml:space="preserve">   II.  TÁRGYI ESZKÖZÖK</t>
  </si>
  <si>
    <t xml:space="preserve">         1. Ingatlanok és a kapcsolódó vagyoni értékű jogok</t>
  </si>
  <si>
    <t xml:space="preserve">         2. Gépek, berendezések, felszerelések, járművek</t>
  </si>
  <si>
    <t xml:space="preserve">         3. Tenyészállatok</t>
  </si>
  <si>
    <t xml:space="preserve">         4. Beruházások, felújítások</t>
  </si>
  <si>
    <t xml:space="preserve">         5. Tárgyi eszközök értékhelyesbítése</t>
  </si>
  <si>
    <t xml:space="preserve">   III. BEFEKTETETT PÉNZÜGYI ESZKÖZÖK</t>
  </si>
  <si>
    <t xml:space="preserve">         1. Tartós részesedések</t>
  </si>
  <si>
    <t xml:space="preserve">         2. Tartós hitelviszonyt megtestesítő értékpapírok</t>
  </si>
  <si>
    <t xml:space="preserve">         3. Befektetett pénzügyi eszközök értékhelyesbítése</t>
  </si>
  <si>
    <t xml:space="preserve">   IV. KONCESSZIÓBA, VAGYONKEZELÉSBE ADOTT ESZKÖZÖK</t>
  </si>
  <si>
    <t xml:space="preserve">         1. Koncesszióba, vagyonkezelésbe adott eszközök</t>
  </si>
  <si>
    <t xml:space="preserve">         2. Koncesszióba, vagyonkezelésbe adott eszközök értékhelyesbítése</t>
  </si>
  <si>
    <t>B) NEMZETI VAGYONBA TARTOZÓ FORGÓESZKÖZÖK</t>
  </si>
  <si>
    <t xml:space="preserve">   I.   KÉSZLETEK</t>
  </si>
  <si>
    <t xml:space="preserve">         1. Vásárolt készletek</t>
  </si>
  <si>
    <t xml:space="preserve">         2. Átsorolt, követelés fejében átvett készletek</t>
  </si>
  <si>
    <t xml:space="preserve">         3. Egyéb készletek</t>
  </si>
  <si>
    <t xml:space="preserve">         4. Befejezetlen termelés, félkész termékek, késztermékek</t>
  </si>
  <si>
    <t xml:space="preserve">         5. Növendék-, hízó és egyéb állatok</t>
  </si>
  <si>
    <t xml:space="preserve">   II. ÉRTÉKPAPÍROK</t>
  </si>
  <si>
    <t xml:space="preserve">         1. Nem tartós részesedés</t>
  </si>
  <si>
    <t xml:space="preserve">         2. Forgatási célú hitelviszonyt megtestesítő értékpapírok</t>
  </si>
  <si>
    <t>C) PÉNZESZKÖZÖK</t>
  </si>
  <si>
    <t xml:space="preserve">  II. Pénztárak, csekkek, betétkönyvek</t>
  </si>
  <si>
    <t xml:space="preserve"> III. Forintszámlák</t>
  </si>
  <si>
    <t xml:space="preserve"> IV. Devizaszámlák</t>
  </si>
  <si>
    <t>D) KÖVETELÉSEK</t>
  </si>
  <si>
    <t xml:space="preserve">  I. Költségvetési évben esedékes követelések</t>
  </si>
  <si>
    <t xml:space="preserve">         1.  Költségvetési évben esedékes követelések működési célú támogatások bevételeire államháztartáson belülről</t>
  </si>
  <si>
    <t xml:space="preserve">         2.  Költségvetési évben esedékes követelések felhalmozási célú támogatások bevételeire államháztartáson belülről</t>
  </si>
  <si>
    <t xml:space="preserve">         3.  Költségvetési évben esedékes követelések közhatalmi bevételre</t>
  </si>
  <si>
    <t xml:space="preserve">         4.  Költségvetési évben esedékes követelések működési bevételre</t>
  </si>
  <si>
    <t xml:space="preserve">         5.  Költségvetési évben esedékes követelések felhalmozási bevételre</t>
  </si>
  <si>
    <t xml:space="preserve">         6.  Költségvetési évben esedékes követelések működési célú átvett pénzeszközre</t>
  </si>
  <si>
    <t xml:space="preserve">         7.  Költségvetési évben esedékes követelések felhalmozási célú átvett pénzeszközre</t>
  </si>
  <si>
    <t xml:space="preserve">         8.  Költségvetési évben esedékes követelések finanszírozási bevételekre</t>
  </si>
  <si>
    <t xml:space="preserve">  II. Költségvetési évet követően esedékes követelések</t>
  </si>
  <si>
    <t xml:space="preserve">         1. Költségvetési évet követően esedékes követelések működési célú támogatások bevételeire államháztartáson belülről</t>
  </si>
  <si>
    <t xml:space="preserve">        2. Költségvetési évet követően esedékes követelések felhalmozási célú támogatások bevételeire államháztartáson belülről</t>
  </si>
  <si>
    <t xml:space="preserve">        3. Költségvetési évet követően esedékes követelések közhatalmi bevételre</t>
  </si>
  <si>
    <t xml:space="preserve">        4. Költségvetési évet követően esedékes követelések működési bevételre</t>
  </si>
  <si>
    <t xml:space="preserve">        5. Költségvetési évet követően esedékes követelések felhalmozási bevételre</t>
  </si>
  <si>
    <t xml:space="preserve">        6. Költségvetési évet követően esedékes követelések működési célú átvett pénzeszközre</t>
  </si>
  <si>
    <t xml:space="preserve">        7. Költségvetési évet követően esedékes követelések felhalmozási célú átvett pénzeszközre</t>
  </si>
  <si>
    <t xml:space="preserve">        8. Költségvetési évet követően esedékes követelések finanszírozási bevételekre</t>
  </si>
  <si>
    <t xml:space="preserve">   III. Követelés jellegű sajátos elszámolások</t>
  </si>
  <si>
    <t xml:space="preserve">        1. Adott előlegek</t>
  </si>
  <si>
    <t xml:space="preserve">        2. Továbbadási célból folyósított támogatások, ellátások elszámolása</t>
  </si>
  <si>
    <t xml:space="preserve">        3. Más által beszedett bevételek elszámolása</t>
  </si>
  <si>
    <t xml:space="preserve">        4. Forgótőke elszámolása</t>
  </si>
  <si>
    <t xml:space="preserve">        5. Vagyonkezelésbe adott eszközökkel kapcsolatos visszapótlási követelés elszámolása</t>
  </si>
  <si>
    <t xml:space="preserve">        6. Nem társadalombiztosítás pénzügyi alapjait terhelő kifizetett ellátások megtérítésének elszámolása</t>
  </si>
  <si>
    <t xml:space="preserve">        7. Folyósított, megelőlegezett társadalombiztosítási és családtámogatási ellátások elszámolása</t>
  </si>
  <si>
    <t xml:space="preserve">         8. Gazdasági társaság alapítása, jegyzett tőkéjének emelése esetén a társaságnak ténylegesen átadott pénzeszközök</t>
  </si>
  <si>
    <t xml:space="preserve">         9. Letétre, megőrzésre, fedezetkezelésre átadott pénzeszközök, biztosítékok</t>
  </si>
  <si>
    <t>F) AKTÍV IDŐBELI ELHATÁROLÁSOK</t>
  </si>
  <si>
    <t xml:space="preserve">         1. Eredményszemléletű bevételek aktív időbeli elhatárolása</t>
  </si>
  <si>
    <t xml:space="preserve">         2. Költségek, ráfordítások aktív időbeli elhatárolása</t>
  </si>
  <si>
    <t xml:space="preserve">         3. Halasztott ráfordítások</t>
  </si>
  <si>
    <t>ESZKÖZÖK ÖSSZESEN</t>
  </si>
  <si>
    <t>G)  SAJÁT TŐKE</t>
  </si>
  <si>
    <t xml:space="preserve">   I. Nemzeti vagyon induláskori értéke</t>
  </si>
  <si>
    <t xml:space="preserve">  II. Nemzeti vagyon változásai</t>
  </si>
  <si>
    <t xml:space="preserve"> III. Egyéb eszközök induláskor értéke és változásai</t>
  </si>
  <si>
    <t xml:space="preserve"> IV. Felhalmozott eredmény</t>
  </si>
  <si>
    <t xml:space="preserve">  V. Eszközök értékhelyesbítésének forrása</t>
  </si>
  <si>
    <t xml:space="preserve"> VI. Mérleg szerinti eredmény</t>
  </si>
  <si>
    <t>H)  KÖTELEZETTSÉGEK</t>
  </si>
  <si>
    <t xml:space="preserve">  I. Költségvetési évben esedékes kötelezettségek</t>
  </si>
  <si>
    <t xml:space="preserve">         1. Költségvetési évben esedékes kötelezettségek személyi juttatásokra</t>
  </si>
  <si>
    <t xml:space="preserve">         2. Költségvetési évben esedékes kötelezettségek munkaadókat terhelő járulékokra és szociális hozzájárulási adóra</t>
  </si>
  <si>
    <t xml:space="preserve">        3. Költségvetési évben esedékes kötelezettségek dologi kiadásokra</t>
  </si>
  <si>
    <t xml:space="preserve">        4. Költségvetési évben esedékes kötelezettségek ellátottak pénzbeli juttatásaira</t>
  </si>
  <si>
    <t xml:space="preserve">        5. Költségvetési évben esedékes kötelezettségek egyéb működési célú kiadásokra</t>
  </si>
  <si>
    <t xml:space="preserve">        6. Költségvetési évben esedékes kötelezettségek beruházásokra</t>
  </si>
  <si>
    <t xml:space="preserve">        7. Költségvetési évben esedékes kötelezettségek felújításokra</t>
  </si>
  <si>
    <t xml:space="preserve">        8. Költségvetési évben esedékes kötelezettségek egyéb felhalmozási célú kiadásokra</t>
  </si>
  <si>
    <t xml:space="preserve">        9. Költségvetési évben esedékes kötelezettségek finanszírozási kiadásokra</t>
  </si>
  <si>
    <t xml:space="preserve">  II. Költségvetési évet követően esedékes kötelezettségek</t>
  </si>
  <si>
    <t xml:space="preserve">       1. Költségvetési évet követően esedékes kötelezettségek személyi juttatásokra</t>
  </si>
  <si>
    <t xml:space="preserve">       2. Költségvetési évet követően esedékes kötelezettségek munkaadókat terhelő járulékokra és szociális hozzájárulási adóra</t>
  </si>
  <si>
    <t xml:space="preserve">      3. Költségvetési évet követően esedékes kötelezettségek dologi kiadásokra</t>
  </si>
  <si>
    <t xml:space="preserve">      4. Költségvetési évet követően esedékes kötelezettségek ellátottak pénzbeli juttatásaira</t>
  </si>
  <si>
    <t xml:space="preserve">      5. Költségvetési évet követően esedékes kötelezettségek  egyéb működési célú kiadásokra</t>
  </si>
  <si>
    <t xml:space="preserve">      6. Költségvetési évet követően esedékes kötelezettségek beruházásokra</t>
  </si>
  <si>
    <t xml:space="preserve">      7. Költségvetési évet követően esedékes kötelezettségek felújításokra</t>
  </si>
  <si>
    <t xml:space="preserve">      8. Költségvetési évet követően esedékes kötelezettségek egyéb felhalmozási célú kiadásokra</t>
  </si>
  <si>
    <t xml:space="preserve">      9. Költségvetési évet követően esedékes kötelezettségek finanszírozási kiadásokra</t>
  </si>
  <si>
    <t xml:space="preserve">  III. Kötelezettség jellegű sajátos elszámolások</t>
  </si>
  <si>
    <t xml:space="preserve">      1. Kapott előlegek</t>
  </si>
  <si>
    <t xml:space="preserve">      2. Továbbadási célból folyósított támogatások, ellátások elszámolása</t>
  </si>
  <si>
    <t xml:space="preserve">      3. Más szervezetet megillető bevételek elszámolása </t>
  </si>
  <si>
    <t xml:space="preserve">      4. Forgótőke elszámolása (Kincstár)</t>
  </si>
  <si>
    <t xml:space="preserve">      5. Vagyonkezelésbe vett eszközökkel kapcsolatos visszapótlási kötelezettség elszámolása</t>
  </si>
  <si>
    <t xml:space="preserve">      6. Nem társadalombiztosítás pénzügyi alapjait terhelő kifizetett ellátások megtérítésének elszámolása</t>
  </si>
  <si>
    <t xml:space="preserve">     7. Munkáltató által korengedményes nyugdíjhoz megfizetett hozzájárulás elszámolása</t>
  </si>
  <si>
    <t xml:space="preserve">     8. Letétre, megőrzésre, fedezetkezelésre átvett pénzeszközök, biztosítékok</t>
  </si>
  <si>
    <t xml:space="preserve">     9. Nemzetközi támogatási programok pénzeszközei</t>
  </si>
  <si>
    <t xml:space="preserve">    10. Államadósság Kezelő Központ Zrt-nél elhelyezett fedezeti betétek</t>
  </si>
  <si>
    <t>I) EGYÉB SAJÁTOS FORRÁSOLDALI ELSZÁMOLÁSOK</t>
  </si>
  <si>
    <t>J) KINCSTÁRI SZÁMLAVEZETÉSSEL KAPCSOLATOS ELSZÁMOLÁSOK</t>
  </si>
  <si>
    <t>K) PASSZÍV IDŐBELI ELHATÁROLÁSOK</t>
  </si>
  <si>
    <t xml:space="preserve">     1. Eredményszemléletű bevételek passzív időbeli elhatárolása</t>
  </si>
  <si>
    <t xml:space="preserve">     2. Költségek, ráfordítások passzív időbeli elhatárolása</t>
  </si>
  <si>
    <t xml:space="preserve">     3. Halasztott eredményszemléletű bevételek</t>
  </si>
  <si>
    <t>FORRÁSOK ÖSSZESEN</t>
  </si>
  <si>
    <t>Kiskőrösi Polgár-mesteri Hivatal</t>
  </si>
  <si>
    <t>Egészség-ügyi, Gyermekjóléti és Szociális Intézmény</t>
  </si>
  <si>
    <t>Sorszám</t>
  </si>
  <si>
    <t>Megnevezés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</si>
  <si>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</si>
  <si>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</si>
  <si>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</si>
  <si>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Tevékenység nettó eredményszemléletű bevétele (=01+02+03)</t>
  </si>
  <si>
    <t>Saját termelésű készletek állományváltozása</t>
  </si>
  <si>
    <t>Saját előállítású eszközök aktivált értéke</t>
  </si>
  <si>
    <t>Aktivált saját teljesítmények értéke (=±04+05)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</si>
  <si>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</si>
  <si>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</si>
  <si>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</si>
  <si>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09</t>
  </si>
  <si>
    <t>Anyagköltség</t>
  </si>
  <si>
    <t>10</t>
  </si>
  <si>
    <t>Igénybe vett szolgáltatások értéke</t>
  </si>
  <si>
    <t>11</t>
  </si>
  <si>
    <t>Eladott áruk beszerzési értéke</t>
  </si>
  <si>
    <t>12</t>
  </si>
  <si>
    <t xml:space="preserve">Eladott (közvetített) szolgáltatások értéke </t>
  </si>
  <si>
    <t>13</t>
  </si>
  <si>
    <t>Bérköltség</t>
  </si>
  <si>
    <t>14</t>
  </si>
  <si>
    <t>Személyi jellegű egyéb kifizetések</t>
  </si>
  <si>
    <t>15</t>
  </si>
  <si>
    <t>Bérjárulékok</t>
  </si>
  <si>
    <t>V</t>
  </si>
  <si>
    <t>VI</t>
  </si>
  <si>
    <t>Értékcsökkenési leírás</t>
  </si>
  <si>
    <t>VII</t>
  </si>
  <si>
    <t>Egyéb ráfordítások</t>
  </si>
  <si>
    <t xml:space="preserve">A) </t>
  </si>
  <si>
    <t xml:space="preserve">TEVÉKENYSÉGEK EREDMÉNYE (=I±II+III-IV-V-VI-VII) </t>
  </si>
  <si>
    <t>16</t>
  </si>
  <si>
    <t>Kapott (járó) osztalék és részesedés</t>
  </si>
  <si>
    <t>17</t>
  </si>
  <si>
    <t>18</t>
  </si>
  <si>
    <t>VIII</t>
  </si>
  <si>
    <t>19</t>
  </si>
  <si>
    <t>20</t>
  </si>
  <si>
    <t>Részesedések, értékpapírok, pénzeszközök értékvesztése</t>
  </si>
  <si>
    <t>21</t>
  </si>
  <si>
    <t>IX</t>
  </si>
  <si>
    <t xml:space="preserve">B) </t>
  </si>
  <si>
    <t>PÉNZÜGYI MŰVELETEK EREDMÉNYE (=VIII-IX)</t>
  </si>
  <si>
    <t xml:space="preserve">C) </t>
  </si>
  <si>
    <t>22</t>
  </si>
  <si>
    <t>23</t>
  </si>
  <si>
    <t>összesen</t>
  </si>
  <si>
    <t>Kiskőrösi Polgármesteri Hivatal</t>
  </si>
  <si>
    <t>V. Idegen péneszközök</t>
  </si>
  <si>
    <t>kiutalt támogatás</t>
  </si>
  <si>
    <t>tényleges felhasználás</t>
  </si>
  <si>
    <t>visszafizetendő</t>
  </si>
  <si>
    <t>köznevelési feladatok támogatása</t>
  </si>
  <si>
    <t>Ft-ban</t>
  </si>
  <si>
    <t>személyi juttatások</t>
  </si>
  <si>
    <t>munkaadót terhelő járulékok</t>
  </si>
  <si>
    <t>dologi kiadások</t>
  </si>
  <si>
    <t>működési kiadások összesen</t>
  </si>
  <si>
    <t>kiadások összesen</t>
  </si>
  <si>
    <t>egyéb felhal-mozási kiadások</t>
  </si>
  <si>
    <t>felhal-mozási kiadások összesen</t>
  </si>
  <si>
    <t>beruházások, felújítások</t>
  </si>
  <si>
    <t>egyéb működési kiadások</t>
  </si>
  <si>
    <t>Önkormányzat összesen</t>
  </si>
  <si>
    <t>Mindösszesen</t>
  </si>
  <si>
    <t>Intézmények összesen</t>
  </si>
  <si>
    <t>BEVÉTELI ELŐIRÁNYZAT FELHASZNÁLÁS ALAKULÁSA</t>
  </si>
  <si>
    <t>Január</t>
  </si>
  <si>
    <t>Február</t>
  </si>
  <si>
    <t>Március</t>
  </si>
  <si>
    <t>Április</t>
  </si>
  <si>
    <t>Május</t>
  </si>
  <si>
    <t>Június</t>
  </si>
  <si>
    <t>Önkormányzati intézmények bevételei</t>
  </si>
  <si>
    <t>KIADÁSI ELŐIRÁNYZAT FELHASZNÁLÁS ALAKULÁSA</t>
  </si>
  <si>
    <t xml:space="preserve">Ellátottak pénzbeli juttatása </t>
  </si>
  <si>
    <t>Július</t>
  </si>
  <si>
    <t>Augusztus</t>
  </si>
  <si>
    <t>Szeptember</t>
  </si>
  <si>
    <t>Október</t>
  </si>
  <si>
    <t>November</t>
  </si>
  <si>
    <t>December</t>
  </si>
  <si>
    <t>I. Kiskőrös Város Önkormányzatánál már folyamatban lévő programok, projektek</t>
  </si>
  <si>
    <t>Az európai uniós forrásokkal támogatott program megnevezése és a pályázat célja</t>
  </si>
  <si>
    <t>Kiadást finanszírozó források</t>
  </si>
  <si>
    <t>Kiadások összesen</t>
  </si>
  <si>
    <t>Önerő</t>
  </si>
  <si>
    <t>Támogatás megelőlegezése önkormányzati bevételből</t>
  </si>
  <si>
    <t>Hazai - központi támogatás</t>
  </si>
  <si>
    <t>Európai Unió támogatása</t>
  </si>
  <si>
    <t>teljes projekt</t>
  </si>
  <si>
    <t>2012. évi teljesítés</t>
  </si>
  <si>
    <t>2013. évi teljesítés</t>
  </si>
  <si>
    <t>2014. évi teljesítés</t>
  </si>
  <si>
    <t>2010. évi teljesítés</t>
  </si>
  <si>
    <t>2011. évi teljesítés</t>
  </si>
  <si>
    <t>2009. évi teljesítés</t>
  </si>
  <si>
    <t>II.  Kiskőrös Város Önkormányzata támogatásával megvalósuló projektek, programok</t>
  </si>
  <si>
    <t>Önkormányzati hozzájárulás</t>
  </si>
  <si>
    <t>támogatás</t>
  </si>
  <si>
    <t>támogatás megelőlegezése önkormányzati bevételből</t>
  </si>
  <si>
    <t>KÖTELEZETTSÉGEK</t>
  </si>
  <si>
    <t>Kötelezettség a tárgyévet követő</t>
  </si>
  <si>
    <t>1. évben</t>
  </si>
  <si>
    <t>2. évben</t>
  </si>
  <si>
    <t>3. évben</t>
  </si>
  <si>
    <t>4. és ezt követő év(ek)ben</t>
  </si>
  <si>
    <t>ÖSSZESEN:</t>
  </si>
  <si>
    <t>Szöveges indoklás</t>
  </si>
  <si>
    <t>KÖVETELÉSEK</t>
  </si>
  <si>
    <t xml:space="preserve"> Szociális lakásvásárlás, munkáltatói kölcsönök, belvízkárosult lakások visszatérítendő támogatása</t>
  </si>
  <si>
    <t>Magyarország gazdasági stabilitásáról szóló 2011. évi CXCIV. törvény 3.§ (1) bekezdése szerinti adósságot keletkeztető ügyletek és kezességvállalások, valamint saját bevételek</t>
  </si>
  <si>
    <t>4. és ezt követő év(ek)ben a futamidő végéig, ill. a kezesség érvényesít-hetőségéig</t>
  </si>
  <si>
    <t>saját bevételek</t>
  </si>
  <si>
    <t>ügyek száma (db)</t>
  </si>
  <si>
    <t>összeg (Ft)</t>
  </si>
  <si>
    <t>Bölcsődei ellátásnál</t>
  </si>
  <si>
    <t>Óvodai nevelésnél</t>
  </si>
  <si>
    <t>Általános iskolai nevelésnél</t>
  </si>
  <si>
    <t>Középiskolai nevelésnél</t>
  </si>
  <si>
    <t>Kollégiumi nevelésnél</t>
  </si>
  <si>
    <t>lakosság részére lakásépítéshez, felújításhoz nyújtott kölcsön elengedése</t>
  </si>
  <si>
    <t>helyi adónál, gépjárműadónál biztosított kedvezmény, mentesség összege adónemenként (1.+2.+3.)</t>
  </si>
  <si>
    <r>
      <t>adóelengedések méltányosságból</t>
    </r>
    <r>
      <rPr>
        <u val="single"/>
        <vertAlign val="superscript"/>
        <sz val="9"/>
        <rFont val="Arial"/>
        <family val="2"/>
      </rPr>
      <t>2</t>
    </r>
  </si>
  <si>
    <t>1. ÖSSZESEN</t>
  </si>
  <si>
    <t>2. ÖSSZESEN</t>
  </si>
  <si>
    <t>helyiségek, eszközök hasznosításából származó bevételből nyújtott kedvezmény, mentesség</t>
  </si>
  <si>
    <t>órák száma</t>
  </si>
  <si>
    <t>Térítésmentes használók</t>
  </si>
  <si>
    <t>50%-os kedvezménnyel - szabadidősport</t>
  </si>
  <si>
    <t>75%-os kedvezménnyel - diáksport</t>
  </si>
  <si>
    <t>1., 2. és 3. ÖSSZESEN</t>
  </si>
  <si>
    <t>egyéb nyújtott kedvezmény, vagy kölcsön elengedése</t>
  </si>
  <si>
    <t>létszám</t>
  </si>
  <si>
    <t>50 %-os belépődíjkedvezmény</t>
  </si>
  <si>
    <t>100 %-os belépődíjkedvezmény</t>
  </si>
  <si>
    <t>könyvtári beiratkozási díj esetében nyújtott</t>
  </si>
  <si>
    <t>50%-os kedvezmény (pedagógusok, nyugdíjasok részére)</t>
  </si>
  <si>
    <t>100%-os kedvezmény (70 év felett, egy alkalommal 16. életévig)</t>
  </si>
  <si>
    <t>Mindösszesen (A+B+C+D+E):</t>
  </si>
  <si>
    <t>Szöveges indoklás:</t>
  </si>
  <si>
    <t>Lejárat éve</t>
  </si>
  <si>
    <t>Állomány</t>
  </si>
  <si>
    <t>Cél</t>
  </si>
  <si>
    <t>Hitelek, kötvények</t>
  </si>
  <si>
    <t>Folyamatos működési feladatok</t>
  </si>
  <si>
    <t>Nyújtott kölcsönök</t>
  </si>
  <si>
    <t>folyamatos</t>
  </si>
  <si>
    <t>Munkáltatói kölcsön</t>
  </si>
  <si>
    <t>1996-2020</t>
  </si>
  <si>
    <t>Lakásépítés, vásárlás</t>
  </si>
  <si>
    <t>Kiskőrös Város Önkormányzata:</t>
  </si>
  <si>
    <t>Intézményi villamosenergia</t>
  </si>
  <si>
    <r>
      <t xml:space="preserve">múzeumi belépődíjak esetében nyújtott 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>:</t>
    </r>
  </si>
  <si>
    <r>
      <t>Petőfi Sándor Művelődési Központ épületét használó civil szervezetek</t>
    </r>
    <r>
      <rPr>
        <vertAlign val="superscript"/>
        <sz val="9"/>
        <rFont val="Arial"/>
        <family val="2"/>
      </rPr>
      <t>8</t>
    </r>
  </si>
  <si>
    <r>
      <t>Sportcsarnok</t>
    </r>
    <r>
      <rPr>
        <vertAlign val="superscript"/>
        <sz val="9"/>
        <rFont val="Arial"/>
        <family val="2"/>
      </rPr>
      <t>7</t>
    </r>
  </si>
  <si>
    <r>
      <t>Sportpálya</t>
    </r>
    <r>
      <rPr>
        <vertAlign val="superscript"/>
        <sz val="9"/>
        <rFont val="Arial"/>
        <family val="2"/>
      </rPr>
      <t>7</t>
    </r>
  </si>
  <si>
    <r>
      <t>Kommunális beruházás miatt igénybevett kedvezmény</t>
    </r>
    <r>
      <rPr>
        <vertAlign val="superscript"/>
        <sz val="9"/>
        <rFont val="Arial"/>
        <family val="2"/>
      </rPr>
      <t>6</t>
    </r>
  </si>
  <si>
    <t>adókedvezmények</t>
  </si>
  <si>
    <t>Előző év</t>
  </si>
  <si>
    <t>Tárgyév</t>
  </si>
  <si>
    <t>VAGYONKIMUTATÁS TAGOLÁSA AZ ÖNKORMÁNYZAT ÁLTAL ELLÁTOTT FELADATOKHOZ VALÓ VISZONYA SZERINT (*)</t>
  </si>
  <si>
    <t xml:space="preserve"> A) TÖRZSVAGYON</t>
  </si>
  <si>
    <t xml:space="preserve">  I.  FORGALOMKÉPTELEN TÖRZSVAGYON</t>
  </si>
  <si>
    <t xml:space="preserve">         -helyi közútak és műtárgyaik, ezek tartozékai</t>
  </si>
  <si>
    <t xml:space="preserve">         - terek, parkok</t>
  </si>
  <si>
    <t xml:space="preserve">         - vizek és vízi közműnek nem minősülő közcélú vízi létesítmény</t>
  </si>
  <si>
    <t xml:space="preserve">         - egyéb forgalomképtelen ingatlanvagyon</t>
  </si>
  <si>
    <t xml:space="preserve">         - levéltári anyagok, tervtárak, terv-, térkép és iratanyag</t>
  </si>
  <si>
    <t xml:space="preserve">         - forgalomképtelen vagyonhoz tartozó ingó és egyéb vagyon</t>
  </si>
  <si>
    <t xml:space="preserve">  II.  KORLÁTOZOTTAN FORGALOMKÉPES TÖRZSVAGYON</t>
  </si>
  <si>
    <t xml:space="preserve">         - közművek</t>
  </si>
  <si>
    <t xml:space="preserve">         - muzeális gyűjtemény és emlék</t>
  </si>
  <si>
    <t xml:space="preserve">         - sportpályák és sportcélú létesítmények</t>
  </si>
  <si>
    <t xml:space="preserve">         - köztemetők</t>
  </si>
  <si>
    <t xml:space="preserve">         - korlátozottan forgalomképes egyéb ingatlanvagyon (kezelésbe adott)</t>
  </si>
  <si>
    <t xml:space="preserve">         - ingatlanokhoz kapcsolódó korlátozottan forgalomképes vagyoni értékű jogok</t>
  </si>
  <si>
    <t xml:space="preserve">         - az önkormányzat képviselő-testülete által korlátozottan forgalomképesnek minősített befektetett pénzügyi eszközök</t>
  </si>
  <si>
    <t>B) TÖRZSVAGYONON KÍVÜL EGYÉB , FORGALOMKÉPES VAGYON</t>
  </si>
  <si>
    <t xml:space="preserve">   I.  TÖRZSVAGYON KÖRÉBE NEM TARTOZÓ INGATLANOK</t>
  </si>
  <si>
    <t xml:space="preserve">   II.  TÖRZSVAGYON KÖRÉBE NEM TARTOZÓ INGÓ VAGYON</t>
  </si>
  <si>
    <t>(*) A kataszteri nyilvántartás bruttó értékei alapján</t>
  </si>
  <si>
    <t>A KÖNYVVITELI MÉRLEGBEN NEM SZEREPLŐ ESZKÖZÖK ÉS KÖTELEZETTSÉGEK KIEMELT TÉTELEI</t>
  </si>
  <si>
    <t xml:space="preserve">  I.  A "O"-RA LEÍRT DE HASZNÁLATBAN LÉVŐ, ILLETVE HASZNÁLATON KÍVÜLI ESZKÖZÖK ÁLLOMÁNYA</t>
  </si>
  <si>
    <t xml:space="preserve">  II.  ÖNKORMÁNYZAT TULAJDONÁBA LÉVŐ, A JOGSZABÁLY ALAPJÁN A SZAKMAI NYILVÁNTARTÁSBAN SZEREPLŐ ÉRTÉK NÉLKÜL NYILVÁNTARTOTT ESZKÖZÖK ÁLLOMÁNYA (képzőművészeti alkotások, régészeti leletek, kép- és hangarchívumok, gyűjtemények, kulturális javak)</t>
  </si>
  <si>
    <t xml:space="preserve"> III.  A MÉRLEGBEN ÉRTÉKKEL NEM SZEREPLŐ KÖTELEZETTSÉGEK, IDEÉRTVE A KEZESSÉG- ILLETVE GARANCIA VÁLLALÁSSAL KAPCSOLATOS FÜGGŐ KÖTELEZETTSÉGEKET</t>
  </si>
  <si>
    <t>*   Az előző évet érintő és a könyvekben tárgyévben rögzített módosítások</t>
  </si>
  <si>
    <t>**  A tárgyévet érintő és a könyvekben a tárgyévet követő évben rögzített módosítások</t>
  </si>
  <si>
    <t>Bruttó érték</t>
  </si>
  <si>
    <t>Nettó érték</t>
  </si>
  <si>
    <t>eredeti összeg</t>
  </si>
  <si>
    <t>Teljesen (0-ig) leírt eszközök bruttó értéke</t>
  </si>
  <si>
    <t>26</t>
  </si>
  <si>
    <t>25</t>
  </si>
  <si>
    <t>24</t>
  </si>
  <si>
    <t>Terven felüli értékcsökkenés visszaírás, kivezetés</t>
  </si>
  <si>
    <t>Terven felüli értékcsökkenés növekedés</t>
  </si>
  <si>
    <t>Terven felüli értékcsökkenés nyitó állománya</t>
  </si>
  <si>
    <t>Terv szerinti értékcsökkenés csökkenése</t>
  </si>
  <si>
    <t>Terv szerinti értékcsökkenés növekedése</t>
  </si>
  <si>
    <t>Terv szerinti értékcsökkenés nyitó állománya</t>
  </si>
  <si>
    <t>Egyéb csökkenés</t>
  </si>
  <si>
    <t>Költségvetési szerv, társulás alapításkori átadás, vagyonkezelésbe adás miatti átadás, vagyonkezelői jog visszaadása</t>
  </si>
  <si>
    <t xml:space="preserve">Térítésmentes átadás </t>
  </si>
  <si>
    <t>Hiány, selejtezés, megsemmisülés</t>
  </si>
  <si>
    <t xml:space="preserve">Értékesítés </t>
  </si>
  <si>
    <t>Egyéb növekedés</t>
  </si>
  <si>
    <t>Alapításkori átvétel, vagyonkezelésbe vétel miatti átvétel, vagyonkezelői jog visszavétele</t>
  </si>
  <si>
    <t xml:space="preserve">Térítésmentes átvétel </t>
  </si>
  <si>
    <t>Beruházásokból, felújításokból aktivált érték</t>
  </si>
  <si>
    <t>Nem aktivált felújítások</t>
  </si>
  <si>
    <t>Immateriális javak beszerzése, nem aktivált beruházások</t>
  </si>
  <si>
    <t>Tárgyévi nyitó állomány (előző évi záró állomány)</t>
  </si>
  <si>
    <t>Koncesszió-ba, vagyon-kezelésbe adott eszközök</t>
  </si>
  <si>
    <t>Beruházások és felújítások</t>
  </si>
  <si>
    <t>Tenyész-állatok</t>
  </si>
  <si>
    <t>Gépek, berendezé-sek, felszerelések, járművek</t>
  </si>
  <si>
    <t>Ingatlanok és kapcsolódó vagyoni értékű jogok</t>
  </si>
  <si>
    <t>Immateriális javak</t>
  </si>
  <si>
    <r>
      <t xml:space="preserve">Összes növekedés  </t>
    </r>
    <r>
      <rPr>
        <b/>
        <sz val="10"/>
        <rFont val="Arial"/>
        <family val="2"/>
      </rPr>
      <t>(=02+…+07)</t>
    </r>
  </si>
  <si>
    <r>
      <t>Összes csökkenés</t>
    </r>
    <r>
      <rPr>
        <b/>
        <sz val="10"/>
        <rFont val="Arial"/>
        <family val="2"/>
      </rPr>
      <t xml:space="preserve"> (=09+…+13)</t>
    </r>
  </si>
  <si>
    <r>
      <t xml:space="preserve">Bruttó érték összesen </t>
    </r>
    <r>
      <rPr>
        <b/>
        <sz val="10"/>
        <rFont val="Arial"/>
        <family val="2"/>
      </rPr>
      <t>(=01+08-14)</t>
    </r>
  </si>
  <si>
    <r>
      <t xml:space="preserve">Terv szerinti értékcsökkenés záró állománya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(=16+17-18)</t>
    </r>
  </si>
  <si>
    <r>
      <t xml:space="preserve">Terven felüli értékcsökkenés záró állománya </t>
    </r>
    <r>
      <rPr>
        <b/>
        <sz val="10"/>
        <rFont val="Arial"/>
        <family val="2"/>
      </rPr>
      <t>(=20+21-22)</t>
    </r>
  </si>
  <si>
    <r>
      <t xml:space="preserve">Értékcsökkenés összesen </t>
    </r>
    <r>
      <rPr>
        <b/>
        <sz val="10"/>
        <rFont val="Arial"/>
        <family val="2"/>
      </rPr>
      <t>(=19+23)</t>
    </r>
  </si>
  <si>
    <r>
      <t xml:space="preserve">Eszközök nettó értéke </t>
    </r>
    <r>
      <rPr>
        <b/>
        <sz val="10"/>
        <rFont val="Arial"/>
        <family val="2"/>
      </rPr>
      <t>(=15-24)</t>
    </r>
  </si>
  <si>
    <t>Az Önkormányzat által irányított költségvetési szervek költségvetési bevételei</t>
  </si>
  <si>
    <t>Az Önkormányzat és a Polgármesteri Hivatal költségvetési bevételei</t>
  </si>
  <si>
    <t>KÖLTSÉGVETÉSI BEVÉTELEK ÖSSZESEN (I.+II.)</t>
  </si>
  <si>
    <t>Költségvetési egyenleg - hiány (Költségvetési bevételek összesen -Költségvetési kiadások összesen)</t>
  </si>
  <si>
    <t xml:space="preserve">Költségvetési hiány finanszírozása -  belső finanszírozás - előző évek tartalékának/pénzmaradványának igénybevétele </t>
  </si>
  <si>
    <t xml:space="preserve">KÖLTSÉGVETÉSI KIADÁSOK ÖSSZESEN </t>
  </si>
  <si>
    <t>napok száma</t>
  </si>
  <si>
    <r>
      <t xml:space="preserve">magánszemélyek kommunális adója:  62 év felettiek </t>
    </r>
    <r>
      <rPr>
        <vertAlign val="superscript"/>
        <sz val="9"/>
        <rFont val="Arial"/>
        <family val="2"/>
      </rPr>
      <t>3</t>
    </r>
  </si>
  <si>
    <r>
      <t xml:space="preserve">iparűzési adóalap mentesség </t>
    </r>
    <r>
      <rPr>
        <vertAlign val="superscript"/>
        <sz val="9"/>
        <rFont val="Arial"/>
        <family val="2"/>
      </rPr>
      <t>4</t>
    </r>
  </si>
  <si>
    <r>
      <t xml:space="preserve">gépjárműadó </t>
    </r>
    <r>
      <rPr>
        <vertAlign val="superscript"/>
        <sz val="9"/>
        <rFont val="Arial"/>
        <family val="2"/>
      </rPr>
      <t>5</t>
    </r>
  </si>
  <si>
    <t>BEVÉTELEK ÖSSZESEN A+B</t>
  </si>
  <si>
    <t>1,5</t>
  </si>
  <si>
    <t>1,6</t>
  </si>
  <si>
    <t>János Vitéz Látogatóközpont kialakítása Kiskőrösön - DAOP -2.1.1/J-12-2012-0060 pályázat</t>
  </si>
  <si>
    <t>Kőrösszolg Kft. - intézményüzemeltetési feladatai</t>
  </si>
  <si>
    <t>Együttműködés fejlesztése a Kiskőrösi járásban - ÁROP-1.A3-2014-2014-0107</t>
  </si>
  <si>
    <t>Kőrösszolg Kft. - köztisztasági és parkfenntartási feladatai</t>
  </si>
  <si>
    <t>Család- és gyermekjóléti központ kialakítása</t>
  </si>
  <si>
    <t>10.</t>
  </si>
  <si>
    <t>Petőfi témájú dombormű</t>
  </si>
  <si>
    <t>Nettó finanszírozás megelőlegezések visszafizetése</t>
  </si>
  <si>
    <t>Állati hulladékgyűjtő telep kialakítása</t>
  </si>
  <si>
    <t>Béke utca - járdaépítés</t>
  </si>
  <si>
    <t xml:space="preserve">Széles út építése </t>
  </si>
  <si>
    <t>Épületenergetikai fejlesztés - KEOP - 5.7.0.</t>
  </si>
  <si>
    <t>Kiskőrösi Bírkózó Klub - volt iskolaépület sportcélú felújítása</t>
  </si>
  <si>
    <t>2015. évi bérkompenzáció</t>
  </si>
  <si>
    <t>Közvetített szolgáltatás bevétele</t>
  </si>
  <si>
    <t xml:space="preserve">Ellátási díjak </t>
  </si>
  <si>
    <t>B406</t>
  </si>
  <si>
    <t>B411</t>
  </si>
  <si>
    <t>B75</t>
  </si>
  <si>
    <t>Rendszeres gyermekvédelmi  támogatás, kedvezmény</t>
  </si>
  <si>
    <t>2015. évi teljesítés</t>
  </si>
  <si>
    <t>VAGYONKIMUTATÁS TAGOLÁSA A KÖNYVVITELI MÉRLEGBEN SZEREPLŐ ADATOK ALAPJÁN - 2015. év</t>
  </si>
  <si>
    <t>ezer Ft-ban</t>
  </si>
  <si>
    <t>Követelés a tárgyévet követő</t>
  </si>
  <si>
    <t>Tárgyi eszközök</t>
  </si>
  <si>
    <t>Informatikai, ügyviteltechnikai eszközök:</t>
  </si>
  <si>
    <t>Berendezések:</t>
  </si>
  <si>
    <t>Sportszerek:</t>
  </si>
  <si>
    <t>Egyéb gépek:</t>
  </si>
  <si>
    <t xml:space="preserve">                  Szoftverek</t>
  </si>
  <si>
    <t xml:space="preserve">Összesen: </t>
  </si>
  <si>
    <t>szociális ágazati pótlék</t>
  </si>
  <si>
    <t>szociális kiegészítő ágazati pótlék</t>
  </si>
  <si>
    <t>A települési önkormányzatok könyvtári célú érdekeltségnövelő támogatása</t>
  </si>
  <si>
    <t>A család- és gyermekjóléti központok egyszeri támogatása</t>
  </si>
  <si>
    <t>KŐRÖSSZOLG Kiskőrösi Önkormányzat Településüzemeltetési Szolgáltató Közhasznú Nonprofit Korlátolt Felelősségű Társaság feladatellátásai</t>
  </si>
  <si>
    <t>Egészségfejlesztési Iroda fenntartása</t>
  </si>
  <si>
    <t>János Vitéz Látogatóközpont működtetése</t>
  </si>
  <si>
    <t>Bentlakásos Szociális Intézmény működtetése</t>
  </si>
  <si>
    <t>Fürdő üzemeltetési díja</t>
  </si>
  <si>
    <t>Belső ellenőrzési feladatok</t>
  </si>
  <si>
    <t xml:space="preserve">Bankszámlavezetés </t>
  </si>
  <si>
    <t>2020. június 30. napjáig terjedő öt év határozott időtartamra közfeladat ellátási szerződés: köztisztasági és parkfenntartási feladatok; sport feladatok; intézményüzemeltetési feladatok.</t>
  </si>
  <si>
    <t>2018. szeptember 30. napjáig 3 éves fenntartási kötelezettség.</t>
  </si>
  <si>
    <t>2020. december 31. napjáig 5 éves fenntartási kötelezettség.</t>
  </si>
  <si>
    <t>2020. szeptember 30. napjáig 5 éves fenntartási kötelezettség.</t>
  </si>
  <si>
    <t>2019. június 30. napjáig 4 éves üzemeltetés.</t>
  </si>
  <si>
    <t>2017. december 31. napjáig.</t>
  </si>
  <si>
    <t>2017. június 30. napjáig.</t>
  </si>
  <si>
    <t>Bentlakásos Szociális Intézmény ellátotti gondozási díjak</t>
  </si>
  <si>
    <t>hitel, kölcsön felvétele, átvállalása a folyósítás, átvállalás napjától a végtörlesztés napjáig, és annak aktuális tőketartozása - tervezett</t>
  </si>
  <si>
    <t>hitel, kölcsön felvételéhez, átvállaláshoz tartozó kamat tartozás - tervezett</t>
  </si>
  <si>
    <r>
      <t>ellátottak térítési díjának, illetve kártérítésének méltányossági alapon történő elengedése</t>
    </r>
    <r>
      <rPr>
        <vertAlign val="superscript"/>
        <sz val="9"/>
        <rFont val="Arial"/>
        <family val="2"/>
      </rPr>
      <t>1</t>
    </r>
  </si>
  <si>
    <r>
      <t xml:space="preserve">2 </t>
    </r>
    <r>
      <rPr>
        <sz val="8"/>
        <rFont val="Arial"/>
        <family val="2"/>
      </rPr>
      <t xml:space="preserve">A méltányosságból történő adótörlés az adózás rendjéről szóló 2003. évi XCII. törvényben meghatározott feltételek megléte esetében kerül alkalmazásra. </t>
    </r>
  </si>
  <si>
    <r>
      <t>4</t>
    </r>
    <r>
      <rPr>
        <sz val="8"/>
        <rFont val="Arial"/>
        <family val="2"/>
      </rPr>
      <t>Az iparűzési adóról szóló többször módosított 21/1997. (XII.11.) önkormányzati rendelet 2.§-a alapján.</t>
    </r>
  </si>
  <si>
    <r>
      <t xml:space="preserve">5 </t>
    </r>
    <r>
      <rPr>
        <sz val="8"/>
        <rFont val="Arial"/>
        <family val="2"/>
      </rPr>
      <t>A gépjáműadóról szóló 1991. évi LXXXII. törvény alapján.</t>
    </r>
  </si>
  <si>
    <r>
      <t xml:space="preserve">7 </t>
    </r>
    <r>
      <rPr>
        <sz val="8"/>
        <rFont val="Arial"/>
        <family val="2"/>
      </rPr>
      <t>A kedvezmény a szervezetek sporttevékenységének a helyi sportfeladatok meghatározásáról és ellátásáról szóló 9/2012. (III. 30.) önkormányzati rendelet alapján biztosított helyiségek bérleti díja alapján került meghatározásra.</t>
    </r>
  </si>
  <si>
    <r>
      <t xml:space="preserve">8 </t>
    </r>
    <r>
      <rPr>
        <sz val="8"/>
        <rFont val="Arial"/>
        <family val="2"/>
      </rPr>
      <t>Helyi közművelődési feladatok meghatározásáról és ellátásáról szóló többször módosított 4/1999. (IV.1.) önkormányzati rendelet 6.§-a.</t>
    </r>
  </si>
  <si>
    <r>
      <t xml:space="preserve">9  </t>
    </r>
    <r>
      <rPr>
        <sz val="8"/>
        <rFont val="Arial"/>
        <family val="2"/>
      </rPr>
      <t>Kedvezmény a muzeális intézmények látogatóit megillető kedvezményekről szóló 194/2000. (XI.24.) Kormány rendelet alapján.</t>
    </r>
  </si>
  <si>
    <t>Finanszírozási bevételek B8.</t>
  </si>
  <si>
    <t>Összesen 1-4. sorok</t>
  </si>
  <si>
    <t>Önkor-mányzati hozzá-járulás</t>
  </si>
  <si>
    <t>Támogatások államháztartáson belülről, átvett pénzeszközök</t>
  </si>
  <si>
    <t>Finanszírozási bevételek - Előző évi pénzmaradvány</t>
  </si>
  <si>
    <t xml:space="preserve">ebből: Petőfi Szülőház és Emlékmúzeum </t>
  </si>
  <si>
    <t>János Vitéz Látogatóközpont</t>
  </si>
  <si>
    <t>Előző évi pénz-maradvány B8.</t>
  </si>
  <si>
    <t xml:space="preserve"> B12. Elvonások és befizetések bevételei (intézmények 2015. évi szabad pénzmaradványa)</t>
  </si>
  <si>
    <t>Kiskőrösi Többcélú Kistérségi Társulás - kerékpárút kölcsön</t>
  </si>
  <si>
    <t>Népszavazás</t>
  </si>
  <si>
    <t>Ágazati pótlék, kiegészítő ágazati pótlék, bérkompenzáció</t>
  </si>
  <si>
    <t>János Vitéz Látogatóközpont kialakítása Kiskőrösön - DAOP -2.1.1/J-12-2012-0060</t>
  </si>
  <si>
    <t xml:space="preserve">Nyári diákmunka </t>
  </si>
  <si>
    <t xml:space="preserve">Egészségre nevelő és szemléletformáló életmódprogramok a kistérségben - TÁMOP-6.1.2/11/3 </t>
  </si>
  <si>
    <t xml:space="preserve">Erszébet utalvány  </t>
  </si>
  <si>
    <t>B23</t>
  </si>
  <si>
    <t>EU önerő támogatás a Petőfi Sándor Művelődési Központ napelemes rendszer kiépítéséhez</t>
  </si>
  <si>
    <t>EU önerő támogatás Bem Iskola és Petőfi Kollégium épületenergetikai fejlesztéséhez</t>
  </si>
  <si>
    <t>EU önerő támogatás a Polgármesteri Hivatal napelemes rendszer kiépítéséhez</t>
  </si>
  <si>
    <t>EU önerő támogatás Bem József Általános Iskola napelemes rendszer kiépítéséhez</t>
  </si>
  <si>
    <t>EU önerő támogatás Kiskőrös Város szennyvízelvezetésének végleges megoldásához</t>
  </si>
  <si>
    <t xml:space="preserve">EU önerő támogatás Kiskőrös Város kerékpár hálózatának komplex fejlesztéséhez </t>
  </si>
  <si>
    <t xml:space="preserve"> Egyéb közhatalmi bevételek</t>
  </si>
  <si>
    <t>Biztosítók által fizetett kártérítés</t>
  </si>
  <si>
    <t>Kőrösszolg Kft. 2015. évi elszámolása</t>
  </si>
  <si>
    <t>B6</t>
  </si>
  <si>
    <t>B52-54</t>
  </si>
  <si>
    <t>B74</t>
  </si>
  <si>
    <t xml:space="preserve">Közép- és Kelet Európai Történelem és Társadalom Kutatásáért Közalapítvány - I. világháborús, Szomorú katona emlékmű felújítása </t>
  </si>
  <si>
    <t>Kiskőrös Városért Alapítvány - Petőfi témájú dombormű - önerő</t>
  </si>
  <si>
    <t>Nettó finanszírozás megelőlegezés</t>
  </si>
  <si>
    <t xml:space="preserve">Költségvetési hiány finanszírozása -  belső finanszírozás - előző év maradványának igénybevétele </t>
  </si>
  <si>
    <t>Költségvetési hiány finanszírozása -  külső finanszírozás - adósságot keletkeztető ügylet - hitel felvétele</t>
  </si>
  <si>
    <t>Előző év maradványának igénybevétele</t>
  </si>
  <si>
    <t>B817</t>
  </si>
  <si>
    <t>Adósságot keletkeztető ügylet - hitel felvétele</t>
  </si>
  <si>
    <t>B811</t>
  </si>
  <si>
    <t>B814</t>
  </si>
  <si>
    <t>Nettó finanszírozás megelőlegezése</t>
  </si>
  <si>
    <t xml:space="preserve">      'Önként vállalt feladatellátáshoz</t>
  </si>
  <si>
    <t xml:space="preserve">             Állami (államigazgatási) feladatellátáshoz</t>
  </si>
  <si>
    <t xml:space="preserve">            Állami (államigazgatási) feladatellátáshoz</t>
  </si>
  <si>
    <r>
      <t>Ebből</t>
    </r>
    <r>
      <rPr>
        <i/>
        <sz val="10"/>
        <rFont val="Times New Roman"/>
        <family val="1"/>
      </rPr>
      <t xml:space="preserve">: Petőfi Szülőház és Emlékmúzeum </t>
    </r>
  </si>
  <si>
    <t xml:space="preserve">           János Vitéz Látogatóközpont</t>
  </si>
  <si>
    <t>INTÉZMÉNYEK ÖSSZESEN ( 1. - 4. sorok )</t>
  </si>
  <si>
    <t>POLGÁRMESTERI HIVATAL KIADÁSAI ÖSSZESEN (5. sor)</t>
  </si>
  <si>
    <t xml:space="preserve">  Áruértékesítéshez, szolgáltatásnyújtáshoz kapcsolódó ÁFA befizetések</t>
  </si>
  <si>
    <t>Gyermekétkeztetési feladatok</t>
  </si>
  <si>
    <t xml:space="preserve">     Rászoruló gyermekek intézményen kívüli szünidei étkezése</t>
  </si>
  <si>
    <t xml:space="preserve">     Bentlakásos intézmény étkezés</t>
  </si>
  <si>
    <t>Önkormányzati bérlakások felújítása, kialakítása, karbantartása</t>
  </si>
  <si>
    <t>2015. évi maradvány</t>
  </si>
  <si>
    <t>Európai Uniós szakmai konferencia - önerő</t>
  </si>
  <si>
    <t xml:space="preserve">   Kiskőrösi Smart Small Town </t>
  </si>
  <si>
    <t xml:space="preserve">    Bűnmegelőzési projektek megvalósítása</t>
  </si>
  <si>
    <t xml:space="preserve">     Új Óvoda</t>
  </si>
  <si>
    <t xml:space="preserve">      Városi Sporttelep fejlesztései, Sportpark építése</t>
  </si>
  <si>
    <t>SZÓ-LA-M Alapfokú Művészeti Iskola néptánc tanszak</t>
  </si>
  <si>
    <t>Települési támogatás, Erzsébet utalvány</t>
  </si>
  <si>
    <t>Önkormányzati pénzbeli, természetbeni ellátások</t>
  </si>
  <si>
    <t xml:space="preserve">    Szeretetházi Baptista Gyülekezet Kiskőrös - család- és gyermekjóléti szolgálat normatíva továbbutalása</t>
  </si>
  <si>
    <t xml:space="preserve">     Kőrösszolg Kft. - sport feladatai</t>
  </si>
  <si>
    <t>Támogatások</t>
  </si>
  <si>
    <t>ÖNKORMÁNYZATI KIADÁSOK ÖSSZESEN ( 6-33. sorok )</t>
  </si>
  <si>
    <r>
      <t xml:space="preserve">AZ ÖNKORMÁNYZAT ÉS A POLGÁRMESTERI HIVATAL KIADÁSAI FINANSZÍROZÁSI KIADÁSOKKAL ÖSSZESEN </t>
    </r>
    <r>
      <rPr>
        <sz val="10"/>
        <rFont val="Times New Roman"/>
        <family val="1"/>
      </rPr>
      <t>( 6-35. sorok )</t>
    </r>
  </si>
  <si>
    <t xml:space="preserve">Önkormányzati bérlakások kialakítása, vásárlása </t>
  </si>
  <si>
    <t>Pályázatokhoz önerő, pályázatok előkészítő szakaszainak kiadásai, el nem számolható kiadások</t>
  </si>
  <si>
    <t>Közfoglalkoztatás eszközök beszerzése, szociális szövetkezeti tőke</t>
  </si>
  <si>
    <t>DÉMÁSZ oszlopok kiváltások, áthelyezések</t>
  </si>
  <si>
    <t>Önkormányzati kisebb beruházások</t>
  </si>
  <si>
    <t xml:space="preserve">Egészségügyi, Gyermekjóléti és Szociális Intézmény  </t>
  </si>
  <si>
    <t xml:space="preserve">Kőrösszolg Kft. </t>
  </si>
  <si>
    <t xml:space="preserve">Gyermekétkeztetés feltételeit javító fejlesztések - Batthyány utcai óvoda fejlesztése önerő </t>
  </si>
  <si>
    <t>Földes utak útalappal történő kiépítése, járdaépítések, útburkolatok, parkolóépítés, gyalogátkelőhelyek kialakítása</t>
  </si>
  <si>
    <t>Szennyvízcsatornázás VII. és VIII. ütemhez kapcsolódó közműfejlesztés</t>
  </si>
  <si>
    <t>Városi Sporttelep fejlesztése, Klubház, sportcélú beruházások</t>
  </si>
  <si>
    <t>Wattay Szakközépiskola napelem telepítés kapcsán mérőóra és amper átalakítás</t>
  </si>
  <si>
    <t>Komáromi és Erdőtelki út sarkán (hrsz:2808) napelem telepítés kapcsán mérőóra és amper átalakítás</t>
  </si>
  <si>
    <t>Új Óvoda építése</t>
  </si>
  <si>
    <t>Kossuth utca 6. épületbe klíma</t>
  </si>
  <si>
    <t>Piaccsarnok vásárlása</t>
  </si>
  <si>
    <t>Nyílt szikkasztó-, vízelvezető árok lefedések, áteresz építések, csapadékvíz bekötések</t>
  </si>
  <si>
    <t>Kollégium - közösségi tér kialakítása, konyhaberendezés vásárlása</t>
  </si>
  <si>
    <t xml:space="preserve">Csapadékvíz gyűjtésére szolgáló záportározó kiépítéséhez szükséges ingatlanok megvásárlása, előkészítési feladatok </t>
  </si>
  <si>
    <t>Kiskőrös Város Önkormányzatának épületenergetikai fejlesztési projektje - TOP-3.2.1-15 - önerő</t>
  </si>
  <si>
    <t>Biomassza erőmű projekt Kiskőrösön - TOP-3.2.2-15  - önerő</t>
  </si>
  <si>
    <t xml:space="preserve">Szarvas utca 2. ingatlan </t>
  </si>
  <si>
    <t>Diófa utca útalap és belvízelvezetés</t>
  </si>
  <si>
    <t xml:space="preserve">Közművelődési intézmény beruházás </t>
  </si>
  <si>
    <t>János Vitéz Látogatóközpont hálózatépítés, zenemű beszerzése</t>
  </si>
  <si>
    <t>Nemzeti Szabadidős-Egészség Sportpark Program pályázat - önerő</t>
  </si>
  <si>
    <t>Kortárs Művészeti Köztéri Munkák létrehozása pályázat - önerő</t>
  </si>
  <si>
    <t>Új villanyoszlopok elhelyezése</t>
  </si>
  <si>
    <t>I. világháborús emlékmű, Kossuth Lajos mellszobor áthelyezése</t>
  </si>
  <si>
    <t>Díszvilágítás bővítése</t>
  </si>
  <si>
    <t>Önkormányzati kisebb felújítások</t>
  </si>
  <si>
    <t>Befejezett viziközmű</t>
  </si>
  <si>
    <t xml:space="preserve">Önkormányzati bérlakások felújítása </t>
  </si>
  <si>
    <t xml:space="preserve">Kollégium - emeleti vizesblokk felújítása, konyha, közösségi tér </t>
  </si>
  <si>
    <t>Bem József Általános Iskola - fűtés fejlesztés</t>
  </si>
  <si>
    <t>"C" épület felújítása</t>
  </si>
  <si>
    <t>Diákkonyha burkolása</t>
  </si>
  <si>
    <t>Szűcsi Óvoda járda bontása, építés, tereprendezés</t>
  </si>
  <si>
    <t>Árpád utca 8. helyiségek átalakítása</t>
  </si>
  <si>
    <t>Polgármesteri Hivatal villámvédelem felújítása és érintésvédelem</t>
  </si>
  <si>
    <t>Kőrösszolg Kft. felújításai</t>
  </si>
  <si>
    <t xml:space="preserve">I. világháborús, Szomorú katona emlékmű felújítása </t>
  </si>
  <si>
    <t>Csapadékvíz elvezető csatornák, árkok felújítása</t>
  </si>
  <si>
    <t>Burkolatfelújítások, parkolók, járdák felújítása</t>
  </si>
  <si>
    <t>Kiskőrös-Soltvadkert kerékpárút felújítása</t>
  </si>
  <si>
    <t>Kisoroszi tábor, Krimpeni Ház felújítása</t>
  </si>
  <si>
    <t>Volt iskolaépület felújítása</t>
  </si>
  <si>
    <t>Beruházások és felújítások összesen</t>
  </si>
  <si>
    <t>Műfüves Futball pálya építése</t>
  </si>
  <si>
    <t>Kiskőrös Város Német Nemzetiségi Önkormányzata - busz vásárlás önrész</t>
  </si>
  <si>
    <t>Kiskőrös és Térsége Ivóvízminőség-javító Önkormányzati Társulás - KEOP-1.3.0/09-11-2011-0015 - "EU Önerő Alap" támogatás visszautalása</t>
  </si>
  <si>
    <t>Kiskőrösi Kézilabda Sportszervezet Kft. támogatása - kézilabda csarnok építéséhez</t>
  </si>
  <si>
    <t>KEOP-4.10.0/U/15-2015-0010 - "A Kiskőrös Gyógy- és Strandfürdő, Tanuszoda és Kemping tanuszodájának technológiai hő- és villamosenergia igényének kielégítése megújúló energiaforrások alkalmazásával" - visszafizetés</t>
  </si>
  <si>
    <t>0</t>
  </si>
  <si>
    <t>eredeti</t>
  </si>
  <si>
    <t>módosított</t>
  </si>
  <si>
    <t>2016. évi eredeti előirányzat</t>
  </si>
  <si>
    <t>2016. évi módosított előirányzat</t>
  </si>
  <si>
    <t>János Vitéz Látogatóközpont dologi kiadásaihoz</t>
  </si>
  <si>
    <t>2016.</t>
  </si>
  <si>
    <t>2016. évi tény adat</t>
  </si>
  <si>
    <t>2017. évben felhasználható</t>
  </si>
  <si>
    <t>2016. évi bérkompenzáció</t>
  </si>
  <si>
    <t>köznevelési intézmények működtetéséhez kapcsolódó támogatás</t>
  </si>
  <si>
    <t xml:space="preserve"> európai uniós önerő támogatása</t>
  </si>
  <si>
    <t>települési önkormányzatok nyilvános könyvtári és közművelődési feladatainak támogatása</t>
  </si>
  <si>
    <t>kiegészítő támogatások és egyéb kötött felhasználású támogatások összesen: (KGR 11/A)</t>
  </si>
  <si>
    <t>2015. évi kötelezettségvállalással terhelt központosított előirányzatok összesen: (KGR 11/B)</t>
  </si>
  <si>
    <t>idősek otthona támogatása (KGR 11/D)</t>
  </si>
  <si>
    <t>1.-5. összesen: (KGR 11/M)</t>
  </si>
  <si>
    <t>gyermekétkeztetési feladatok támogatása (KGR 11/E)</t>
  </si>
  <si>
    <t>egyes szociális és gyermekjóléti feladatok támogatása (KGR 11/C)</t>
  </si>
  <si>
    <t>általános működési támogatás (KGR 11/C)</t>
  </si>
  <si>
    <t>A 2016. évi maradvány felosztása</t>
  </si>
  <si>
    <t xml:space="preserve"> Ft-ban</t>
  </si>
  <si>
    <t>Maradványkimutatás 2016.</t>
  </si>
  <si>
    <t xml:space="preserve">   I. Lekötött bankbetétek</t>
  </si>
  <si>
    <t>E) EGYÉB SAJÁTOS ELSZÁMOLÁSOK</t>
  </si>
  <si>
    <t>Kiskőrös Város Önkormányzata</t>
  </si>
  <si>
    <t>MÉRLEG SZERINTI EREDMÉNY (=±A±B)</t>
  </si>
  <si>
    <t>Pénzügyi műveletek ráfordításai (=22+23+24+25+26)</t>
  </si>
  <si>
    <t>Pénzügyi műveletek egyéb ráfordításai</t>
  </si>
  <si>
    <t xml:space="preserve">Fizetendő kamatok és kamatjellegű ráfordítások </t>
  </si>
  <si>
    <t>Befektetett pénzügyi eszközökből származó ráfordítások, árfolyamveszteségek</t>
  </si>
  <si>
    <t>Részesedésekből származó ráfordítások, árfolyamveszteségek</t>
  </si>
  <si>
    <t>Pénzügyi műveletek eredményszemléletű bevételei (=17+18+19+20+21)</t>
  </si>
  <si>
    <t>Pénzügyi műveletek egyéb eredményszemléletű bevételei</t>
  </si>
  <si>
    <t>Egyéb kapott (járó) kamatok és kamatjellegű  eredményszemléletű bevételek</t>
  </si>
  <si>
    <t>Befektetett pénzügyi eszközökből származó eredményszemléletű bevételek, árfolyamnyereség</t>
  </si>
  <si>
    <t>Részesedésekből származó eredményszemléletű bevételek, árfolyamnyereségek</t>
  </si>
  <si>
    <t>Személyi jellegű ráfordítások (=14+15+16)</t>
  </si>
  <si>
    <t>Anyagjellegű ráfordítások (=10+11+12+13)</t>
  </si>
  <si>
    <t>Egyéb eredményszemléletű bevételek (=06+07+08+09)</t>
  </si>
  <si>
    <t xml:space="preserve">   I. Lekötött  bankbetétek</t>
  </si>
  <si>
    <t>Nyitó adatok</t>
  </si>
  <si>
    <r>
      <t>Tárgyidőszak-ban elszámolt értékvesztés</t>
    </r>
    <r>
      <rPr>
        <b/>
        <sz val="10"/>
        <color indexed="10"/>
        <rFont val="Arial"/>
        <family val="2"/>
      </rPr>
      <t xml:space="preserve"> </t>
    </r>
  </si>
  <si>
    <t>Tárgyidőszak-ban visszaírt értékvesztés</t>
  </si>
  <si>
    <t>Záró adatok</t>
  </si>
  <si>
    <t>Bekerülési érték</t>
  </si>
  <si>
    <t xml:space="preserve">Értékvesztés </t>
  </si>
  <si>
    <t>Adott előlegek</t>
  </si>
  <si>
    <t>Tartós részesedések</t>
  </si>
  <si>
    <t xml:space="preserve">Tartós hitelviszonyt megtestesítő értékpapírok </t>
  </si>
  <si>
    <t xml:space="preserve">Készletek </t>
  </si>
  <si>
    <t>Lekötött bankbetétek</t>
  </si>
  <si>
    <t>Kincstáron kívüli forintszámlák</t>
  </si>
  <si>
    <t>Kincstáron kívül devizaszámlák</t>
  </si>
  <si>
    <t>Követelések a követelés jellegű sajátos elszámolások kivételével</t>
  </si>
  <si>
    <t xml:space="preserve">Nem tartós részesedések </t>
  </si>
  <si>
    <t xml:space="preserve">Forgatási célú hitelviszonyt megtestesítő értékpapírok </t>
  </si>
  <si>
    <t>Összesen (=01+…+10)</t>
  </si>
  <si>
    <t xml:space="preserve">         8. Részesedésszerzés esetén átadott eszközökpénzeszközök</t>
  </si>
  <si>
    <t xml:space="preserve">      5. Nemzeti vagyonba tartozó befektetett eszközökkel kapcsolatos egyes kötelezettség jellegű sajátos elszámolások</t>
  </si>
  <si>
    <t xml:space="preserve">I) KINCSTÁRI SZÁMLAVEZETÉSSEL KAPCSOLATOS ELSZÁMOLÁSOK </t>
  </si>
  <si>
    <t>J)  PASSZÍV IDŐBELI ELHATÁROLÁSOK</t>
  </si>
  <si>
    <t>Egyéb eredményszemléletű bevételek (=06+07+08)</t>
  </si>
  <si>
    <t>Anyagjellegű ráfordítások (=09+10+11+12)</t>
  </si>
  <si>
    <t>Személyi jellegű ráfordítások (=13+14+15)</t>
  </si>
  <si>
    <t>Kapott (járó) kamatok és kamatjellegű eredményszemléletű bevételek</t>
  </si>
  <si>
    <t>Pénzügyi műveletek egyéb eredményszemléletű bevételei (&gt;=18a)</t>
  </si>
  <si>
    <t>18a</t>
  </si>
  <si>
    <t>- ebből: árfolyamnyereség</t>
  </si>
  <si>
    <t>Pénzügyi műveletek eredményszemléletű bevételei (=16+17+18)</t>
  </si>
  <si>
    <t>Fizetendő kamatok és kamatjellegű ráfordítások</t>
  </si>
  <si>
    <t>Pénzügyi műveletek egyéb ráfordításai (&gt;=21a)</t>
  </si>
  <si>
    <t>21a</t>
  </si>
  <si>
    <t>- ebből: árfolyamveszteség</t>
  </si>
  <si>
    <t>Pénzügyi műveletek ráfordításai (=19+20+21)</t>
  </si>
  <si>
    <t>SZOKÁSOS EREDMÉNY (=±A±B)</t>
  </si>
  <si>
    <t>Felhalmozási célú támogatások eredményszemléletű bevételei</t>
  </si>
  <si>
    <t>Különféle rendkívüli eredményszemléletű bevételek</t>
  </si>
  <si>
    <t>X</t>
  </si>
  <si>
    <t>Rendkívüli eredményszemléletű bevételek (=22+23)</t>
  </si>
  <si>
    <t>XI</t>
  </si>
  <si>
    <t>Rendkívüli ráfordítások</t>
  </si>
  <si>
    <t xml:space="preserve">D) </t>
  </si>
  <si>
    <t>RENDKÍVÜLI EREDMÉNY(=X-XI)</t>
  </si>
  <si>
    <t xml:space="preserve">E) </t>
  </si>
  <si>
    <t>MÉRLEG SZERINTI EREDMÉNY (=±C±D)</t>
  </si>
  <si>
    <t xml:space="preserve">     Egészségfejlesztési Iroda</t>
  </si>
  <si>
    <t xml:space="preserve">   Közművelődési intézmények, közösségi színterek működtetése, Tourinform Iroda működtetése</t>
  </si>
  <si>
    <t>Bursa támogatás</t>
  </si>
  <si>
    <t>KÖZOP -  3.2.0/C - kerékpárút</t>
  </si>
  <si>
    <t>B406-407</t>
  </si>
  <si>
    <t>Általános forgalmi adó bevételek, visszatérítések</t>
  </si>
  <si>
    <t>Betétek elhelyezése, forgatási célú értékpapírok</t>
  </si>
  <si>
    <t>Betétek megszűntetése, forgatási célú értékpapírok</t>
  </si>
  <si>
    <t xml:space="preserve">Fejlesztési cél  </t>
  </si>
  <si>
    <t>Törvényben meghatározott feladat</t>
  </si>
  <si>
    <t>Fejlesztés bruttó forrásigénye</t>
  </si>
  <si>
    <t>Fejlesztés forrásai</t>
  </si>
  <si>
    <t>Várható fizetési kötelezettség (tőke+kamat) 2016.</t>
  </si>
  <si>
    <t>Vissza nem térítendő támogatás</t>
  </si>
  <si>
    <t>Tervezett hitel</t>
  </si>
  <si>
    <t>Csapadékvizelevezető rendszer kiépítése, járdaépítés (szennyvízcsatorna-hálózat VII.ütemének körzetében LTP-vel)</t>
  </si>
  <si>
    <t>Településüzemeltetés</t>
  </si>
  <si>
    <t>Csapadékvízelvezető rendszer, szilárd burkolatú út építése (szennyvízcsatorna-hálózat VIII.ütemének körzetében LTP-vel)</t>
  </si>
  <si>
    <t>Új óvoda építése</t>
  </si>
  <si>
    <t>Óvodai ellátás</t>
  </si>
  <si>
    <t>Piaccsarnok vásárlás, felújítás</t>
  </si>
  <si>
    <t>Kistermelők, őstermelők számára értékesítési lehetőség biztosítása</t>
  </si>
  <si>
    <t>Közvilágítás korszerűsítése (ledes átállás)</t>
  </si>
  <si>
    <t>Csapadékvízelvezető rendszer kiépítése, felújítása, záportározó</t>
  </si>
  <si>
    <t>Egészségrehabilitáció és gyógyturizmus fejlesztése</t>
  </si>
  <si>
    <t>Egészséges életmód segítését célzó szolgáltatások</t>
  </si>
  <si>
    <t>Sporttelep felújítás, egészséges életmód</t>
  </si>
  <si>
    <t>Sport, ifjúsági ügyek</t>
  </si>
  <si>
    <t>Telephely bővítés, felújítás, gépvásárlás</t>
  </si>
  <si>
    <t>2016. évi kisértékű immateriális javak, tárgyi eszköz beszerzések:</t>
  </si>
  <si>
    <t>Startmunka eszközbeszerzés</t>
  </si>
  <si>
    <t>Vagyon üzemeltetés</t>
  </si>
  <si>
    <t>Közművelődési intézmények, közösségi színterek működtetése</t>
  </si>
  <si>
    <t>helyi adó túlfizetés visszautalása</t>
  </si>
  <si>
    <t>Egészségfejlesztési Iroda</t>
  </si>
  <si>
    <t>János Vitéz Látogatóközpont kialakítása Kiskőrösön</t>
  </si>
  <si>
    <t>tarta-lékok</t>
  </si>
  <si>
    <t>2016. évi teljesítés</t>
  </si>
  <si>
    <t xml:space="preserve">Kiskőrös Város Önkormányzatának épületenergetikai fejlesztési projektje  - TOP-3.2.1-15 </t>
  </si>
  <si>
    <t>Új óvoda építése - TOP-1.4.1-15</t>
  </si>
  <si>
    <t xml:space="preserve">Biomassza erőmű projekt Kiskőrösön - TOP-3.2.2-15 </t>
  </si>
  <si>
    <t xml:space="preserve">Európai Uniós szakmai konferencia </t>
  </si>
  <si>
    <t xml:space="preserve">Szemléletformálási Programok - KEHOP-5.4.1  </t>
  </si>
  <si>
    <t>Kulturális intézmények a köznevelés eredményességéért - EFOP-3.3.2-16</t>
  </si>
  <si>
    <t>Óvodai és iskolai szociális segítő tevékenység fejlesztése - EFOP-3.2.9-16</t>
  </si>
  <si>
    <t>Külterületi helyi közutak fejlesztése, önkormányzati utak kezeléséhez, állapotjavításához, karbantartásához szükséges erő- és munkagépek beszerzése -  (út) VP6-7.2.1-7.4.1.2-16</t>
  </si>
  <si>
    <r>
      <t>Folyószámla-hitel keret - K</t>
    </r>
    <r>
      <rPr>
        <sz val="11"/>
        <rFont val="Calibri"/>
        <family val="2"/>
      </rPr>
      <t>&amp;</t>
    </r>
    <r>
      <rPr>
        <sz val="11"/>
        <rFont val="Arial"/>
        <family val="2"/>
      </rPr>
      <t>H Bank Zrt.</t>
    </r>
  </si>
  <si>
    <t>Csapadékvízelevezető rendszer kiépítése, szilárd burkolatú út építése, járdaépítés -  K&amp;H Bank Zrt.</t>
  </si>
  <si>
    <t>Fejlesztés</t>
  </si>
  <si>
    <t>Ebből 2016. december 31-én fennálló</t>
  </si>
  <si>
    <t>Piaccsarnok vásárlás - K&amp;H Bank Zrt.</t>
  </si>
  <si>
    <t>Lakásvásárlás kölcsönök</t>
  </si>
  <si>
    <t>Volt állami tulajdonban lévő lakás vásárlása, Szociális lakástámogatás</t>
  </si>
  <si>
    <r>
      <t xml:space="preserve">1  </t>
    </r>
    <r>
      <rPr>
        <sz val="8"/>
        <rFont val="Arial"/>
        <family val="2"/>
      </rPr>
      <t>A gyermekek védelméről és a gyámügyi igazgatásról szóló 1997. XXXI. törvény 21/B.§ és 151.§-a alapján a gyermekétkeztetésnél nyújtott 50% vagy 100%-os térítési díj kedvezmény.</t>
    </r>
  </si>
  <si>
    <r>
      <t xml:space="preserve">3 </t>
    </r>
    <r>
      <rPr>
        <sz val="8"/>
        <rFont val="Arial"/>
        <family val="2"/>
      </rPr>
      <t xml:space="preserve">Magánszemélyek kommunális adójáról szóló többször módosított 9/1991. (X.3.) önkormányzati rendelet 2.§-a alapján.                                    </t>
    </r>
  </si>
  <si>
    <r>
      <t xml:space="preserve">6 </t>
    </r>
    <r>
      <rPr>
        <sz val="8"/>
        <rFont val="Arial"/>
        <family val="2"/>
      </rPr>
      <t>Magánszemélyek kommunális adójáról szóló többször módosított  9/1991. (X.3.) önkormányzati rendelet 2.§-a alapján.</t>
    </r>
  </si>
  <si>
    <t xml:space="preserve">Kiskőrös és Térsége Ivóvízminőség-javító Önkormányzati Társulás </t>
  </si>
  <si>
    <t xml:space="preserve">Társulás által finanszírozott általános forgalmi adó (ÁFA) fedezetének biztosítására </t>
  </si>
  <si>
    <t>szociális, gyermekjóléti és gyermekétkeztetési feladatok támogatása összesen: (KGR 11/C)</t>
  </si>
  <si>
    <t>Teljesítés</t>
  </si>
  <si>
    <t>Hitelszerződés összege</t>
  </si>
  <si>
    <t>Fennálló hitel 2016.12.31.</t>
  </si>
  <si>
    <t>Hitel lejárata</t>
  </si>
  <si>
    <t>-</t>
  </si>
  <si>
    <t>Önkormányzati tulajdonú társaság</t>
  </si>
  <si>
    <t>Önkormányzati tulajdonú középületek energetikai korszerűsítése</t>
  </si>
  <si>
    <t>sor-szám</t>
  </si>
  <si>
    <r>
      <t xml:space="preserve">KIADÁSOK ÖSSZESEN </t>
    </r>
    <r>
      <rPr>
        <sz val="10"/>
        <rFont val="Times New Roman"/>
        <family val="1"/>
      </rPr>
      <t>( 1-35. sorok )</t>
    </r>
  </si>
  <si>
    <t xml:space="preserve">Összesen </t>
  </si>
  <si>
    <t>Kőrösszolg. Kft. (Árpád u.8., Petőfi út 108.)</t>
  </si>
  <si>
    <t>Bács-Kiskun Megyei Kormányhivatal (Petőfi tér 1. , Petőfi tér 3.)</t>
  </si>
  <si>
    <t>Bács-Kiskun Megyei Katasztrófavédelmi Igazgatóság (Petőfi tér 3.)</t>
  </si>
  <si>
    <t>11.</t>
  </si>
  <si>
    <t>1., 2., 3., 4., 5., 6., 7., 8., 9., 10. és 11. ÖSSZESEN</t>
  </si>
  <si>
    <t>Kiskőrös Városért Alapítvány (Pozsonyi utca 2.)</t>
  </si>
  <si>
    <t>Országos Petőfi Sándor Társaság (Pozsonyi utca 2.)</t>
  </si>
  <si>
    <t>Kiskőrös Városi Polgárőrség Bűnmegelőzési és Önvédelmi Egyesület (Árpád utca 8.)</t>
  </si>
  <si>
    <t>Állampusztai OBV Intézet (Árpád utca 8.)</t>
  </si>
  <si>
    <t>Bácskomplex S.R.L. Kft (Árpád utca 8.)</t>
  </si>
  <si>
    <t>4. kimutatás: KISKŐRÖS VÁROS 2016. évet követő három év tervezett bevételei és kiadásai</t>
  </si>
  <si>
    <t xml:space="preserve">2016. </t>
  </si>
  <si>
    <t>VAGYONKIMUTATÁS TAGOLÁSA A KÖNYVVITELI MÉRLEGBEN SZEREPLŐ ADATOK ALAPJÁN - 2016. év</t>
  </si>
  <si>
    <t>1. melléklet a 8/2017. (V.25.) önk. rendelethez</t>
  </si>
  <si>
    <t>2. melléklet a 8/2017. (V.25.) önk. rendelethez</t>
  </si>
  <si>
    <t>3. melléklet a 8/2017. (V.25.) önk. rendelethez</t>
  </si>
  <si>
    <t>4. melléklet a 8/2017. (V.25.) önk. rendelethez</t>
  </si>
  <si>
    <t>5. melléklet a 8/2017. (V.25.) önk. rendelethez</t>
  </si>
  <si>
    <t>6. melléklet a 8/2017. (V.25.) önk. rendelethez</t>
  </si>
  <si>
    <t xml:space="preserve"> 7. melléklet a 8/2017. (V.25.) önk. rendelethez</t>
  </si>
  <si>
    <t>8. melléklet a 8/2017. (V.25.) önk. rendelethez</t>
  </si>
  <si>
    <t>9. melléklet a 8/2017. (V.25.) önk. rendelethez</t>
  </si>
  <si>
    <t>10. melléklet a 8/2017. (V.25.) önk. rendelethez</t>
  </si>
  <si>
    <t>11. melléklet a 8/2017. (V.25.) önk. rendelethez</t>
  </si>
  <si>
    <t>12. melléklet a 8/2017. (V.25.) önk. Rendelethez</t>
  </si>
  <si>
    <t>13/B. melléklet a 8/2017. (V.25.) önk. rendelethez</t>
  </si>
  <si>
    <t>13/A. melléklet a 8/2017. (V.25.) önk. rendelethez</t>
  </si>
  <si>
    <t>13/C. melléklet a 8/2017. (V.25.) önk. rendelethez</t>
  </si>
  <si>
    <t>13/D. melléklet a 8/2017. (V.25.) önk. rendelethez</t>
  </si>
  <si>
    <t>14/A. melléklet a 8/2017. (V.25.) önk. rendelethez</t>
  </si>
  <si>
    <t>14/B. melléklet a 8/2017. (V.25.) önk. rendelethez</t>
  </si>
  <si>
    <t>15. melléklet a 8/2017. (V.25.) önk. rendelethez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</si>
</sst>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00000"/>
    <numFmt numFmtId="170" formatCode="0.0%"/>
    <numFmt numFmtId="171" formatCode="_-* #,##0.000\ &quot;Ft&quot;_-;\-* #,##0.000\ &quot;Ft&quot;_-;_-* &quot;-&quot;??\ &quot;Ft&quot;_-;_-@_-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  <numFmt numFmtId="174" formatCode="0.000"/>
    <numFmt numFmtId="175" formatCode="#,##0.000"/>
    <numFmt numFmtId="176" formatCode="#,##0.0000"/>
    <numFmt numFmtId="177" formatCode="00"/>
    <numFmt numFmtId="178" formatCode="0000000"/>
    <numFmt numFmtId="179" formatCode="0.000000"/>
    <numFmt numFmtId="180" formatCode="0.00000"/>
    <numFmt numFmtId="181" formatCode="0.0000"/>
    <numFmt numFmtId="182" formatCode="_-* #,##0.0\ _F_t_-;\-* #,##0.0\ _F_t_-;_-* &quot;-&quot;??\ _F_t_-;_-@_-"/>
    <numFmt numFmtId="183" formatCode="_-* #,##0\ _F_t_-;\-* #,##0\ _F_t_-;_-* &quot;-&quot;??\ _F_t_-;_-@_-"/>
    <numFmt numFmtId="184" formatCode="#,##0.00;[Red]\-#,##0.00"/>
    <numFmt numFmtId="185" formatCode="#,##0;[Red]\-#,##0"/>
    <numFmt numFmtId="186" formatCode="&quot;H-&quot;0000"/>
    <numFmt numFmtId="187" formatCode="[$¥€-2]\ #\ ##,000_);[Red]\([$€-2]\ #\ ##,000\)"/>
  </numFmts>
  <fonts count="1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"/>
      <family val="1"/>
    </font>
    <font>
      <b/>
      <sz val="10"/>
      <color indexed="8"/>
      <name val="Times New Roman CE"/>
      <family val="1"/>
    </font>
    <font>
      <sz val="8"/>
      <color indexed="8"/>
      <name val="Times New Roman"/>
      <family val="1"/>
    </font>
    <font>
      <sz val="9"/>
      <name val="Tahoma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sz val="10"/>
      <name val="Tahoma"/>
      <family val="2"/>
    </font>
    <font>
      <sz val="10"/>
      <color indexed="10"/>
      <name val="Tahoma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color indexed="8"/>
      <name val="Tahoma"/>
      <family val="2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Tahoma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sz val="8"/>
      <name val="Arial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u val="single"/>
      <sz val="9"/>
      <name val="Times New Roman CE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u val="single"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i/>
      <sz val="11"/>
      <name val="Times New Roman CE"/>
      <family val="1"/>
    </font>
    <font>
      <sz val="11"/>
      <name val="Times New Roman CE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 CE"/>
      <family val="0"/>
    </font>
    <font>
      <sz val="11"/>
      <name val="Tahoma"/>
      <family val="2"/>
    </font>
    <font>
      <b/>
      <sz val="11"/>
      <name val="Times New Roman CE"/>
      <family val="1"/>
    </font>
    <font>
      <b/>
      <sz val="10"/>
      <color indexed="10"/>
      <name val="Arial"/>
      <family val="2"/>
    </font>
    <font>
      <sz val="11"/>
      <color indexed="8"/>
      <name val="Times New Roman"/>
      <family val="1"/>
    </font>
    <font>
      <sz val="9"/>
      <color indexed="10"/>
      <name val="Arial"/>
      <family val="2"/>
    </font>
    <font>
      <i/>
      <sz val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sz val="9"/>
      <color indexed="63"/>
      <name val="Times New Roman CE"/>
      <family val="1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b/>
      <sz val="12"/>
      <name val="Times New Roman CE"/>
      <family val="1"/>
    </font>
    <font>
      <i/>
      <sz val="8"/>
      <name val="Tahoma"/>
      <family val="2"/>
    </font>
    <font>
      <i/>
      <sz val="10"/>
      <color indexed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name val="Calibri"/>
      <family val="2"/>
    </font>
    <font>
      <sz val="12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6"/>
      <color indexed="10"/>
      <name val="Arial CE"/>
      <family val="0"/>
    </font>
    <font>
      <sz val="10"/>
      <color indexed="8"/>
      <name val="Arial CE"/>
      <family val="0"/>
    </font>
    <font>
      <sz val="10"/>
      <color indexed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 CE"/>
      <family val="0"/>
    </font>
    <font>
      <sz val="7"/>
      <color indexed="8"/>
      <name val="Arial CE"/>
      <family val="0"/>
    </font>
    <font>
      <b/>
      <sz val="8"/>
      <color indexed="8"/>
      <name val="Arial CE"/>
      <family val="0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6"/>
      <color rgb="FFFF0000"/>
      <name val="Arial CE"/>
      <family val="0"/>
    </font>
    <font>
      <sz val="10"/>
      <color theme="1"/>
      <name val="Arial CE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b/>
      <sz val="10"/>
      <color theme="1"/>
      <name val="Arial CE"/>
      <family val="0"/>
    </font>
    <font>
      <b/>
      <sz val="10"/>
      <color rgb="FFFF0000"/>
      <name val="Arial"/>
      <family val="2"/>
    </font>
    <font>
      <b/>
      <sz val="8"/>
      <name val="Arial CE"/>
      <family val="2"/>
    </font>
  </fonts>
  <fills count="5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hair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double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4" fillId="4" borderId="0" applyNumberFormat="0" applyBorder="0" applyAlignment="0" applyProtection="0"/>
    <xf numFmtId="0" fontId="67" fillId="4" borderId="0" applyNumberFormat="0" applyBorder="0" applyAlignment="0" applyProtection="0"/>
    <xf numFmtId="0" fontId="124" fillId="5" borderId="0" applyNumberFormat="0" applyBorder="0" applyAlignment="0" applyProtection="0"/>
    <xf numFmtId="0" fontId="67" fillId="5" borderId="0" applyNumberFormat="0" applyBorder="0" applyAlignment="0" applyProtection="0"/>
    <xf numFmtId="0" fontId="124" fillId="6" borderId="0" applyNumberFormat="0" applyBorder="0" applyAlignment="0" applyProtection="0"/>
    <xf numFmtId="0" fontId="67" fillId="6" borderId="0" applyNumberFormat="0" applyBorder="0" applyAlignment="0" applyProtection="0"/>
    <xf numFmtId="0" fontId="124" fillId="7" borderId="0" applyNumberFormat="0" applyBorder="0" applyAlignment="0" applyProtection="0"/>
    <xf numFmtId="0" fontId="67" fillId="7" borderId="0" applyNumberFormat="0" applyBorder="0" applyAlignment="0" applyProtection="0"/>
    <xf numFmtId="0" fontId="124" fillId="8" borderId="0" applyNumberFormat="0" applyBorder="0" applyAlignment="0" applyProtection="0"/>
    <xf numFmtId="0" fontId="67" fillId="9" borderId="0" applyNumberFormat="0" applyBorder="0" applyAlignment="0" applyProtection="0"/>
    <xf numFmtId="0" fontId="124" fillId="10" borderId="0" applyNumberFormat="0" applyBorder="0" applyAlignment="0" applyProtection="0"/>
    <xf numFmtId="0" fontId="67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67" fillId="15" borderId="0" applyNumberFormat="0" applyBorder="0" applyAlignment="0" applyProtection="0"/>
    <xf numFmtId="0" fontId="124" fillId="16" borderId="0" applyNumberFormat="0" applyBorder="0" applyAlignment="0" applyProtection="0"/>
    <xf numFmtId="0" fontId="67" fillId="17" borderId="0" applyNumberFormat="0" applyBorder="0" applyAlignment="0" applyProtection="0"/>
    <xf numFmtId="0" fontId="124" fillId="18" borderId="0" applyNumberFormat="0" applyBorder="0" applyAlignment="0" applyProtection="0"/>
    <xf numFmtId="0" fontId="67" fillId="18" borderId="0" applyNumberFormat="0" applyBorder="0" applyAlignment="0" applyProtection="0"/>
    <xf numFmtId="0" fontId="124" fillId="19" borderId="0" applyNumberFormat="0" applyBorder="0" applyAlignment="0" applyProtection="0"/>
    <xf numFmtId="0" fontId="67" fillId="7" borderId="0" applyNumberFormat="0" applyBorder="0" applyAlignment="0" applyProtection="0"/>
    <xf numFmtId="0" fontId="124" fillId="20" borderId="0" applyNumberFormat="0" applyBorder="0" applyAlignment="0" applyProtection="0"/>
    <xf numFmtId="0" fontId="67" fillId="15" borderId="0" applyNumberFormat="0" applyBorder="0" applyAlignment="0" applyProtection="0"/>
    <xf numFmtId="0" fontId="124" fillId="21" borderId="0" applyNumberFormat="0" applyBorder="0" applyAlignment="0" applyProtection="0"/>
    <xf numFmtId="0" fontId="67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66" fillId="26" borderId="0" applyNumberFormat="0" applyBorder="0" applyAlignment="0" applyProtection="0"/>
    <xf numFmtId="0" fontId="123" fillId="27" borderId="0" applyNumberFormat="0" applyBorder="0" applyAlignment="0" applyProtection="0"/>
    <xf numFmtId="0" fontId="66" fillId="17" borderId="0" applyNumberFormat="0" applyBorder="0" applyAlignment="0" applyProtection="0"/>
    <xf numFmtId="0" fontId="123" fillId="18" borderId="0" applyNumberFormat="0" applyBorder="0" applyAlignment="0" applyProtection="0"/>
    <xf numFmtId="0" fontId="66" fillId="18" borderId="0" applyNumberFormat="0" applyBorder="0" applyAlignment="0" applyProtection="0"/>
    <xf numFmtId="0" fontId="123" fillId="28" borderId="0" applyNumberFormat="0" applyBorder="0" applyAlignment="0" applyProtection="0"/>
    <xf numFmtId="0" fontId="66" fillId="28" borderId="0" applyNumberFormat="0" applyBorder="0" applyAlignment="0" applyProtection="0"/>
    <xf numFmtId="0" fontId="123" fillId="29" borderId="0" applyNumberFormat="0" applyBorder="0" applyAlignment="0" applyProtection="0"/>
    <xf numFmtId="0" fontId="66" fillId="30" borderId="0" applyNumberFormat="0" applyBorder="0" applyAlignment="0" applyProtection="0"/>
    <xf numFmtId="0" fontId="123" fillId="31" borderId="0" applyNumberFormat="0" applyBorder="0" applyAlignment="0" applyProtection="0"/>
    <xf numFmtId="0" fontId="66" fillId="31" borderId="0" applyNumberFormat="0" applyBorder="0" applyAlignment="0" applyProtection="0"/>
    <xf numFmtId="0" fontId="125" fillId="32" borderId="1" applyNumberFormat="0" applyAlignment="0" applyProtection="0"/>
    <xf numFmtId="0" fontId="68" fillId="11" borderId="2" applyNumberFormat="0" applyAlignment="0" applyProtection="0"/>
    <xf numFmtId="0" fontId="12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7" fillId="0" borderId="3" applyNumberFormat="0" applyFill="0" applyAlignment="0" applyProtection="0"/>
    <xf numFmtId="0" fontId="70" fillId="0" borderId="4" applyNumberFormat="0" applyFill="0" applyAlignment="0" applyProtection="0"/>
    <xf numFmtId="0" fontId="128" fillId="0" borderId="5" applyNumberFormat="0" applyFill="0" applyAlignment="0" applyProtection="0"/>
    <xf numFmtId="0" fontId="71" fillId="0" borderId="6" applyNumberFormat="0" applyFill="0" applyAlignment="0" applyProtection="0"/>
    <xf numFmtId="0" fontId="129" fillId="0" borderId="7" applyNumberFormat="0" applyFill="0" applyAlignment="0" applyProtection="0"/>
    <xf numFmtId="0" fontId="72" fillId="0" borderId="8" applyNumberFormat="0" applyFill="0" applyAlignment="0" applyProtection="0"/>
    <xf numFmtId="0" fontId="12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0" fillId="33" borderId="9" applyNumberFormat="0" applyAlignment="0" applyProtection="0"/>
    <xf numFmtId="0" fontId="73" fillId="34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2" fillId="0" borderId="11" applyNumberFormat="0" applyFill="0" applyAlignment="0" applyProtection="0"/>
    <xf numFmtId="0" fontId="75" fillId="0" borderId="12" applyNumberFormat="0" applyFill="0" applyAlignment="0" applyProtection="0"/>
    <xf numFmtId="0" fontId="0" fillId="35" borderId="13" applyNumberFormat="0" applyFont="0" applyAlignment="0" applyProtection="0"/>
    <xf numFmtId="0" fontId="0" fillId="36" borderId="14" applyNumberFormat="0" applyFont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30" borderId="0" applyNumberFormat="0" applyBorder="0" applyAlignment="0" applyProtection="0"/>
    <xf numFmtId="0" fontId="66" fillId="40" borderId="0" applyNumberFormat="0" applyBorder="0" applyAlignment="0" applyProtection="0"/>
    <xf numFmtId="0" fontId="133" fillId="41" borderId="0" applyNumberFormat="0" applyBorder="0" applyAlignment="0" applyProtection="0"/>
    <xf numFmtId="0" fontId="76" fillId="6" borderId="0" applyNumberFormat="0" applyBorder="0" applyAlignment="0" applyProtection="0"/>
    <xf numFmtId="0" fontId="134" fillId="42" borderId="15" applyNumberFormat="0" applyAlignment="0" applyProtection="0"/>
    <xf numFmtId="0" fontId="77" fillId="43" borderId="16" applyNumberFormat="0" applyAlignment="0" applyProtection="0"/>
    <xf numFmtId="0" fontId="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1" fillId="0" borderId="0">
      <alignment/>
      <protection/>
    </xf>
    <xf numFmtId="0" fontId="12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6" fillId="0" borderId="17" applyNumberFormat="0" applyFill="0" applyAlignment="0" applyProtection="0"/>
    <xf numFmtId="0" fontId="79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44" borderId="0" applyNumberFormat="0" applyBorder="0" applyAlignment="0" applyProtection="0"/>
    <xf numFmtId="0" fontId="80" fillId="5" borderId="0" applyNumberFormat="0" applyBorder="0" applyAlignment="0" applyProtection="0"/>
    <xf numFmtId="0" fontId="138" fillId="45" borderId="0" applyNumberFormat="0" applyBorder="0" applyAlignment="0" applyProtection="0"/>
    <xf numFmtId="0" fontId="81" fillId="46" borderId="0" applyNumberFormat="0" applyBorder="0" applyAlignment="0" applyProtection="0"/>
    <xf numFmtId="0" fontId="139" fillId="42" borderId="1" applyNumberFormat="0" applyAlignment="0" applyProtection="0"/>
    <xf numFmtId="0" fontId="82" fillId="43" borderId="2" applyNumberFormat="0" applyAlignment="0" applyProtection="0"/>
    <xf numFmtId="9" fontId="0" fillId="0" borderId="0" applyFont="0" applyFill="0" applyBorder="0" applyAlignment="0" applyProtection="0"/>
  </cellStyleXfs>
  <cellXfs count="1948">
    <xf numFmtId="0" fontId="0" fillId="0" borderId="0" xfId="0" applyAlignment="1">
      <alignment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shrinkToFit="1"/>
    </xf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 shrinkToFit="1"/>
    </xf>
    <xf numFmtId="0" fontId="14" fillId="0" borderId="0" xfId="0" applyFont="1" applyFill="1" applyBorder="1" applyAlignment="1">
      <alignment horizontal="justify" vertical="center" shrinkToFit="1"/>
    </xf>
    <xf numFmtId="0" fontId="13" fillId="0" borderId="0" xfId="0" applyFont="1" applyFill="1" applyBorder="1" applyAlignment="1">
      <alignment vertical="center" shrinkToFit="1"/>
    </xf>
    <xf numFmtId="49" fontId="17" fillId="0" borderId="19" xfId="0" applyNumberFormat="1" applyFont="1" applyFill="1" applyBorder="1" applyAlignment="1">
      <alignment vertical="center" shrinkToFit="1"/>
    </xf>
    <xf numFmtId="49" fontId="17" fillId="0" borderId="20" xfId="0" applyNumberFormat="1" applyFont="1" applyFill="1" applyBorder="1" applyAlignment="1">
      <alignment horizontal="justify" vertical="center" shrinkToFit="1"/>
    </xf>
    <xf numFmtId="3" fontId="11" fillId="0" borderId="0" xfId="106" applyNumberFormat="1" applyFont="1" applyFill="1" applyAlignment="1">
      <alignment vertical="center"/>
      <protection/>
    </xf>
    <xf numFmtId="3" fontId="12" fillId="0" borderId="0" xfId="106" applyNumberFormat="1" applyFont="1" applyFill="1" applyAlignment="1">
      <alignment vertical="center"/>
      <protection/>
    </xf>
    <xf numFmtId="49" fontId="17" fillId="0" borderId="20" xfId="0" applyNumberFormat="1" applyFont="1" applyFill="1" applyBorder="1" applyAlignment="1">
      <alignment vertical="center" shrinkToFit="1"/>
    </xf>
    <xf numFmtId="0" fontId="15" fillId="0" borderId="0" xfId="0" applyFont="1" applyAlignment="1">
      <alignment/>
    </xf>
    <xf numFmtId="0" fontId="17" fillId="0" borderId="19" xfId="0" applyFont="1" applyBorder="1" applyAlignment="1">
      <alignment/>
    </xf>
    <xf numFmtId="3" fontId="22" fillId="0" borderId="0" xfId="106" applyNumberFormat="1" applyFont="1" applyFill="1" applyAlignment="1">
      <alignment vertical="center"/>
      <protection/>
    </xf>
    <xf numFmtId="3" fontId="21" fillId="0" borderId="0" xfId="0" applyNumberFormat="1" applyFont="1" applyFill="1" applyAlignment="1">
      <alignment vertical="center"/>
    </xf>
    <xf numFmtId="3" fontId="23" fillId="0" borderId="0" xfId="106" applyNumberFormat="1" applyFont="1" applyFill="1" applyAlignment="1">
      <alignment vertical="center"/>
      <protection/>
    </xf>
    <xf numFmtId="49" fontId="17" fillId="0" borderId="19" xfId="0" applyNumberFormat="1" applyFont="1" applyFill="1" applyBorder="1" applyAlignment="1">
      <alignment horizontal="justify" vertical="center" shrinkToFit="1"/>
    </xf>
    <xf numFmtId="0" fontId="25" fillId="0" borderId="0" xfId="0" applyFont="1" applyFill="1" applyBorder="1" applyAlignment="1">
      <alignment vertical="center" shrinkToFit="1"/>
    </xf>
    <xf numFmtId="49" fontId="17" fillId="0" borderId="20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center" shrinkToFit="1"/>
    </xf>
    <xf numFmtId="0" fontId="27" fillId="0" borderId="0" xfId="0" applyFont="1" applyAlignment="1">
      <alignment/>
    </xf>
    <xf numFmtId="0" fontId="26" fillId="0" borderId="0" xfId="0" applyFont="1" applyFill="1" applyAlignment="1">
      <alignment vertical="center" shrinkToFit="1"/>
    </xf>
    <xf numFmtId="3" fontId="17" fillId="0" borderId="20" xfId="0" applyNumberFormat="1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 horizontal="right" vertical="center" shrinkToFit="1"/>
    </xf>
    <xf numFmtId="3" fontId="18" fillId="0" borderId="20" xfId="0" applyNumberFormat="1" applyFont="1" applyFill="1" applyBorder="1" applyAlignment="1">
      <alignment horizontal="right" vertical="center" shrinkToFit="1"/>
    </xf>
    <xf numFmtId="3" fontId="16" fillId="0" borderId="22" xfId="106" applyNumberFormat="1" applyFont="1" applyFill="1" applyBorder="1" applyAlignment="1">
      <alignment horizontal="center" vertical="center"/>
      <protection/>
    </xf>
    <xf numFmtId="3" fontId="16" fillId="0" borderId="23" xfId="106" applyNumberFormat="1" applyFont="1" applyFill="1" applyBorder="1" applyAlignment="1">
      <alignment horizontal="center" vertical="center"/>
      <protection/>
    </xf>
    <xf numFmtId="3" fontId="16" fillId="0" borderId="22" xfId="106" applyNumberFormat="1" applyFont="1" applyFill="1" applyBorder="1" applyAlignment="1">
      <alignment horizontal="center" vertical="center" wrapText="1"/>
      <protection/>
    </xf>
    <xf numFmtId="3" fontId="16" fillId="0" borderId="21" xfId="106" applyNumberFormat="1" applyFont="1" applyFill="1" applyBorder="1" applyAlignment="1">
      <alignment horizontal="center" vertical="center" wrapText="1"/>
      <protection/>
    </xf>
    <xf numFmtId="3" fontId="16" fillId="0" borderId="21" xfId="106" applyNumberFormat="1" applyFont="1" applyFill="1" applyBorder="1" applyAlignment="1">
      <alignment horizontal="center" vertical="center"/>
      <protection/>
    </xf>
    <xf numFmtId="3" fontId="16" fillId="0" borderId="23" xfId="106" applyNumberFormat="1" applyFont="1" applyFill="1" applyBorder="1" applyAlignment="1">
      <alignment horizontal="center" vertical="center" wrapText="1"/>
      <protection/>
    </xf>
    <xf numFmtId="3" fontId="18" fillId="0" borderId="24" xfId="0" applyNumberFormat="1" applyFont="1" applyFill="1" applyBorder="1" applyAlignment="1">
      <alignment horizontal="center" vertical="center"/>
    </xf>
    <xf numFmtId="3" fontId="18" fillId="0" borderId="2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2" fontId="17" fillId="0" borderId="0" xfId="0" applyNumberFormat="1" applyFont="1" applyFill="1" applyAlignment="1">
      <alignment shrinkToFit="1"/>
    </xf>
    <xf numFmtId="0" fontId="17" fillId="0" borderId="26" xfId="0" applyFont="1" applyFill="1" applyBorder="1" applyAlignment="1">
      <alignment horizontal="center" shrinkToFit="1"/>
    </xf>
    <xf numFmtId="2" fontId="17" fillId="0" borderId="27" xfId="0" applyNumberFormat="1" applyFont="1" applyFill="1" applyBorder="1" applyAlignment="1">
      <alignment shrinkToFit="1"/>
    </xf>
    <xf numFmtId="0" fontId="17" fillId="0" borderId="22" xfId="0" applyFont="1" applyFill="1" applyBorder="1" applyAlignment="1">
      <alignment horizontal="justify" shrinkToFit="1"/>
    </xf>
    <xf numFmtId="0" fontId="17" fillId="0" borderId="28" xfId="0" applyFont="1" applyFill="1" applyBorder="1" applyAlignment="1">
      <alignment horizont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shrinkToFit="1"/>
    </xf>
    <xf numFmtId="0" fontId="17" fillId="0" borderId="30" xfId="0" applyFont="1" applyFill="1" applyBorder="1" applyAlignment="1">
      <alignment horizontal="center" shrinkToFit="1"/>
    </xf>
    <xf numFmtId="2" fontId="17" fillId="0" borderId="31" xfId="0" applyNumberFormat="1" applyFont="1" applyFill="1" applyBorder="1" applyAlignment="1">
      <alignment shrinkToFit="1"/>
    </xf>
    <xf numFmtId="0" fontId="28" fillId="0" borderId="23" xfId="0" applyFont="1" applyFill="1" applyBorder="1" applyAlignment="1">
      <alignment horizontal="justify" shrinkToFit="1"/>
    </xf>
    <xf numFmtId="0" fontId="28" fillId="0" borderId="32" xfId="0" applyFont="1" applyFill="1" applyBorder="1" applyAlignment="1">
      <alignment horizontal="center" shrinkToFit="1"/>
    </xf>
    <xf numFmtId="2" fontId="18" fillId="0" borderId="33" xfId="0" applyNumberFormat="1" applyFont="1" applyFill="1" applyBorder="1" applyAlignment="1">
      <alignment vertical="center" wrapText="1"/>
    </xf>
    <xf numFmtId="3" fontId="17" fillId="0" borderId="20" xfId="106" applyNumberFormat="1" applyFont="1" applyFill="1" applyBorder="1" applyAlignment="1" quotePrefix="1">
      <alignment horizontal="center" vertical="center"/>
      <protection/>
    </xf>
    <xf numFmtId="3" fontId="17" fillId="0" borderId="34" xfId="0" applyNumberFormat="1" applyFont="1" applyFill="1" applyBorder="1" applyAlignment="1">
      <alignment horizontal="right" vertical="center" shrinkToFit="1"/>
    </xf>
    <xf numFmtId="3" fontId="18" fillId="0" borderId="35" xfId="0" applyNumberFormat="1" applyFont="1" applyFill="1" applyBorder="1" applyAlignment="1">
      <alignment horizontal="right" vertical="center" shrinkToFit="1"/>
    </xf>
    <xf numFmtId="2" fontId="24" fillId="0" borderId="20" xfId="0" applyNumberFormat="1" applyFont="1" applyFill="1" applyBorder="1" applyAlignment="1" quotePrefix="1">
      <alignment horizontal="left" vertical="center" indent="1" shrinkToFit="1"/>
    </xf>
    <xf numFmtId="3" fontId="24" fillId="0" borderId="20" xfId="0" applyNumberFormat="1" applyFont="1" applyFill="1" applyBorder="1" applyAlignment="1">
      <alignment horizontal="right" vertical="center" shrinkToFit="1"/>
    </xf>
    <xf numFmtId="3" fontId="24" fillId="0" borderId="20" xfId="106" applyNumberFormat="1" applyFont="1" applyFill="1" applyBorder="1" applyAlignment="1" quotePrefix="1">
      <alignment horizontal="center" vertical="center"/>
      <protection/>
    </xf>
    <xf numFmtId="2" fontId="18" fillId="0" borderId="20" xfId="0" applyNumberFormat="1" applyFont="1" applyFill="1" applyBorder="1" applyAlignment="1">
      <alignment vertical="center" wrapText="1"/>
    </xf>
    <xf numFmtId="0" fontId="17" fillId="0" borderId="29" xfId="0" applyFont="1" applyFill="1" applyBorder="1" applyAlignment="1">
      <alignment horizontal="center" shrinkToFit="1"/>
    </xf>
    <xf numFmtId="2" fontId="17" fillId="0" borderId="34" xfId="0" applyNumberFormat="1" applyFont="1" applyFill="1" applyBorder="1" applyAlignment="1">
      <alignment shrinkToFit="1"/>
    </xf>
    <xf numFmtId="3" fontId="17" fillId="0" borderId="34" xfId="0" applyNumberFormat="1" applyFont="1" applyFill="1" applyBorder="1" applyAlignment="1">
      <alignment horizontal="right" shrinkToFit="1"/>
    </xf>
    <xf numFmtId="2" fontId="17" fillId="0" borderId="20" xfId="0" applyNumberFormat="1" applyFont="1" applyFill="1" applyBorder="1" applyAlignment="1">
      <alignment shrinkToFit="1"/>
    </xf>
    <xf numFmtId="3" fontId="17" fillId="0" borderId="20" xfId="0" applyNumberFormat="1" applyFont="1" applyFill="1" applyBorder="1" applyAlignment="1">
      <alignment horizontal="right" shrinkToFit="1"/>
    </xf>
    <xf numFmtId="3" fontId="18" fillId="0" borderId="36" xfId="0" applyNumberFormat="1" applyFont="1" applyFill="1" applyBorder="1" applyAlignment="1">
      <alignment horizontal="right" vertical="center" shrinkToFit="1"/>
    </xf>
    <xf numFmtId="3" fontId="17" fillId="0" borderId="21" xfId="0" applyNumberFormat="1" applyFont="1" applyFill="1" applyBorder="1" applyAlignment="1">
      <alignment horizontal="right" shrinkToFit="1"/>
    </xf>
    <xf numFmtId="2" fontId="18" fillId="0" borderId="24" xfId="0" applyNumberFormat="1" applyFont="1" applyFill="1" applyBorder="1" applyAlignment="1">
      <alignment horizontal="center" shrinkToFit="1"/>
    </xf>
    <xf numFmtId="2" fontId="18" fillId="0" borderId="37" xfId="0" applyNumberFormat="1" applyFont="1" applyFill="1" applyBorder="1" applyAlignment="1">
      <alignment horizontal="center" shrinkToFit="1"/>
    </xf>
    <xf numFmtId="3" fontId="18" fillId="0" borderId="20" xfId="0" applyNumberFormat="1" applyFont="1" applyFill="1" applyBorder="1" applyAlignment="1">
      <alignment horizontal="right" shrinkToFit="1"/>
    </xf>
    <xf numFmtId="3" fontId="18" fillId="0" borderId="38" xfId="0" applyNumberFormat="1" applyFont="1" applyFill="1" applyBorder="1" applyAlignment="1">
      <alignment horizontal="right" shrinkToFit="1"/>
    </xf>
    <xf numFmtId="2" fontId="18" fillId="0" borderId="39" xfId="0" applyNumberFormat="1" applyFont="1" applyFill="1" applyBorder="1" applyAlignment="1">
      <alignment horizontal="center" shrinkToFit="1"/>
    </xf>
    <xf numFmtId="2" fontId="18" fillId="0" borderId="29" xfId="0" applyNumberFormat="1" applyFont="1" applyFill="1" applyBorder="1" applyAlignment="1">
      <alignment horizontal="center" vertical="center" shrinkToFit="1"/>
    </xf>
    <xf numFmtId="3" fontId="18" fillId="0" borderId="38" xfId="0" applyNumberFormat="1" applyFont="1" applyFill="1" applyBorder="1" applyAlignment="1">
      <alignment horizontal="right" vertical="center" shrinkToFit="1"/>
    </xf>
    <xf numFmtId="2" fontId="18" fillId="0" borderId="39" xfId="0" applyNumberFormat="1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3" fontId="17" fillId="0" borderId="40" xfId="106" applyNumberFormat="1" applyFont="1" applyFill="1" applyBorder="1" applyAlignment="1" quotePrefix="1">
      <alignment horizontal="center" vertical="center"/>
      <protection/>
    </xf>
    <xf numFmtId="2" fontId="17" fillId="0" borderId="41" xfId="0" applyNumberFormat="1" applyFont="1" applyFill="1" applyBorder="1" applyAlignment="1">
      <alignment shrinkToFit="1"/>
    </xf>
    <xf numFmtId="2" fontId="18" fillId="0" borderId="21" xfId="0" applyNumberFormat="1" applyFont="1" applyFill="1" applyBorder="1" applyAlignment="1">
      <alignment vertical="center" shrinkToFit="1"/>
    </xf>
    <xf numFmtId="3" fontId="18" fillId="0" borderId="35" xfId="0" applyNumberFormat="1" applyFont="1" applyFill="1" applyBorder="1" applyAlignment="1">
      <alignment horizontal="right" shrinkToFit="1"/>
    </xf>
    <xf numFmtId="2" fontId="18" fillId="0" borderId="29" xfId="0" applyNumberFormat="1" applyFont="1" applyFill="1" applyBorder="1" applyAlignment="1">
      <alignment horizontal="center" shrinkToFit="1"/>
    </xf>
    <xf numFmtId="3" fontId="18" fillId="0" borderId="36" xfId="0" applyNumberFormat="1" applyFont="1" applyFill="1" applyBorder="1" applyAlignment="1">
      <alignment horizontal="right" shrinkToFit="1"/>
    </xf>
    <xf numFmtId="3" fontId="18" fillId="0" borderId="42" xfId="0" applyNumberFormat="1" applyFont="1" applyFill="1" applyBorder="1" applyAlignment="1">
      <alignment horizontal="right" shrinkToFit="1"/>
    </xf>
    <xf numFmtId="2" fontId="18" fillId="0" borderId="43" xfId="0" applyNumberFormat="1" applyFont="1" applyFill="1" applyBorder="1" applyAlignment="1">
      <alignment vertical="center" shrinkToFit="1"/>
    </xf>
    <xf numFmtId="0" fontId="18" fillId="0" borderId="24" xfId="0" applyFont="1" applyFill="1" applyBorder="1" applyAlignment="1">
      <alignment horizontal="center" shrinkToFit="1"/>
    </xf>
    <xf numFmtId="2" fontId="18" fillId="0" borderId="43" xfId="0" applyNumberFormat="1" applyFont="1" applyFill="1" applyBorder="1" applyAlignment="1">
      <alignment shrinkToFit="1"/>
    </xf>
    <xf numFmtId="0" fontId="18" fillId="0" borderId="37" xfId="0" applyFont="1" applyFill="1" applyBorder="1" applyAlignment="1">
      <alignment horizontal="center" shrinkToFit="1"/>
    </xf>
    <xf numFmtId="0" fontId="18" fillId="0" borderId="39" xfId="0" applyFont="1" applyFill="1" applyBorder="1" applyAlignment="1">
      <alignment horizontal="center" shrinkToFit="1"/>
    </xf>
    <xf numFmtId="0" fontId="18" fillId="0" borderId="29" xfId="0" applyFont="1" applyFill="1" applyBorder="1" applyAlignment="1">
      <alignment horizontal="center" shrinkToFit="1"/>
    </xf>
    <xf numFmtId="2" fontId="18" fillId="0" borderId="20" xfId="0" applyNumberFormat="1" applyFont="1" applyFill="1" applyBorder="1" applyAlignment="1">
      <alignment shrinkToFit="1"/>
    </xf>
    <xf numFmtId="3" fontId="17" fillId="0" borderId="33" xfId="106" applyNumberFormat="1" applyFont="1" applyFill="1" applyBorder="1" applyAlignment="1" quotePrefix="1">
      <alignment horizontal="center" vertical="center"/>
      <protection/>
    </xf>
    <xf numFmtId="3" fontId="18" fillId="0" borderId="44" xfId="0" applyNumberFormat="1" applyFont="1" applyFill="1" applyBorder="1" applyAlignment="1">
      <alignment horizontal="right" shrinkToFit="1"/>
    </xf>
    <xf numFmtId="3" fontId="17" fillId="0" borderId="45" xfId="106" applyNumberFormat="1" applyFont="1" applyFill="1" applyBorder="1" applyAlignment="1" quotePrefix="1">
      <alignment horizontal="center" vertical="center"/>
      <protection/>
    </xf>
    <xf numFmtId="0" fontId="18" fillId="0" borderId="30" xfId="0" applyFont="1" applyFill="1" applyBorder="1" applyAlignment="1">
      <alignment horizontal="center" vertical="center" shrinkToFit="1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3" fontId="17" fillId="0" borderId="41" xfId="0" applyNumberFormat="1" applyFont="1" applyFill="1" applyBorder="1" applyAlignment="1">
      <alignment vertical="center"/>
    </xf>
    <xf numFmtId="3" fontId="17" fillId="0" borderId="41" xfId="0" applyNumberFormat="1" applyFont="1" applyFill="1" applyBorder="1" applyAlignment="1">
      <alignment horizontal="left" vertical="center"/>
    </xf>
    <xf numFmtId="3" fontId="18" fillId="0" borderId="21" xfId="0" applyNumberFormat="1" applyFont="1" applyFill="1" applyBorder="1" applyAlignment="1">
      <alignment horizontal="center" vertical="center"/>
    </xf>
    <xf numFmtId="3" fontId="17" fillId="0" borderId="46" xfId="0" applyNumberFormat="1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 horizontal="right" vertical="center"/>
    </xf>
    <xf numFmtId="3" fontId="17" fillId="0" borderId="20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3" fontId="18" fillId="0" borderId="39" xfId="0" applyNumberFormat="1" applyFont="1" applyFill="1" applyBorder="1" applyAlignment="1">
      <alignment horizontal="center" vertical="center"/>
    </xf>
    <xf numFmtId="3" fontId="18" fillId="0" borderId="47" xfId="0" applyNumberFormat="1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vertical="center"/>
    </xf>
    <xf numFmtId="3" fontId="18" fillId="0" borderId="46" xfId="0" applyNumberFormat="1" applyFont="1" applyFill="1" applyBorder="1" applyAlignment="1">
      <alignment horizontal="center" vertical="center"/>
    </xf>
    <xf numFmtId="3" fontId="18" fillId="0" borderId="46" xfId="0" applyNumberFormat="1" applyFont="1" applyFill="1" applyBorder="1" applyAlignment="1">
      <alignment vertical="center"/>
    </xf>
    <xf numFmtId="3" fontId="17" fillId="0" borderId="20" xfId="0" applyNumberFormat="1" applyFont="1" applyFill="1" applyBorder="1" applyAlignment="1">
      <alignment horizontal="left" vertical="center"/>
    </xf>
    <xf numFmtId="3" fontId="24" fillId="0" borderId="29" xfId="0" applyNumberFormat="1" applyFont="1" applyFill="1" applyBorder="1" applyAlignment="1">
      <alignment horizontal="center" vertical="center"/>
    </xf>
    <xf numFmtId="3" fontId="24" fillId="0" borderId="46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left" vertical="center" indent="1"/>
    </xf>
    <xf numFmtId="3" fontId="24" fillId="0" borderId="20" xfId="0" applyNumberFormat="1" applyFont="1" applyFill="1" applyBorder="1" applyAlignment="1">
      <alignment horizontal="right" vertical="center"/>
    </xf>
    <xf numFmtId="3" fontId="18" fillId="0" borderId="48" xfId="0" applyNumberFormat="1" applyFont="1" applyFill="1" applyBorder="1" applyAlignment="1">
      <alignment horizontal="right" vertical="center"/>
    </xf>
    <xf numFmtId="3" fontId="18" fillId="0" borderId="38" xfId="0" applyNumberFormat="1" applyFont="1" applyFill="1" applyBorder="1" applyAlignment="1">
      <alignment horizontal="right" vertical="center"/>
    </xf>
    <xf numFmtId="3" fontId="17" fillId="0" borderId="34" xfId="0" applyNumberFormat="1" applyFont="1" applyFill="1" applyBorder="1" applyAlignment="1">
      <alignment horizontal="right" vertical="center"/>
    </xf>
    <xf numFmtId="3" fontId="17" fillId="0" borderId="34" xfId="0" applyNumberFormat="1" applyFont="1" applyFill="1" applyBorder="1" applyAlignment="1">
      <alignment vertical="center"/>
    </xf>
    <xf numFmtId="3" fontId="17" fillId="0" borderId="19" xfId="0" applyNumberFormat="1" applyFont="1" applyFill="1" applyBorder="1" applyAlignment="1">
      <alignment horizontal="right" vertical="center"/>
    </xf>
    <xf numFmtId="49" fontId="17" fillId="0" borderId="20" xfId="0" applyNumberFormat="1" applyFont="1" applyFill="1" applyBorder="1" applyAlignment="1">
      <alignment horizontal="left" shrinkToFit="1"/>
    </xf>
    <xf numFmtId="3" fontId="18" fillId="0" borderId="34" xfId="0" applyNumberFormat="1" applyFont="1" applyFill="1" applyBorder="1" applyAlignment="1">
      <alignment horizontal="right" vertical="center"/>
    </xf>
    <xf numFmtId="3" fontId="18" fillId="0" borderId="49" xfId="0" applyNumberFormat="1" applyFont="1" applyFill="1" applyBorder="1" applyAlignment="1">
      <alignment horizontal="right" vertical="center"/>
    </xf>
    <xf numFmtId="3" fontId="18" fillId="0" borderId="5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vertical="center"/>
    </xf>
    <xf numFmtId="3" fontId="18" fillId="0" borderId="44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right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3" fontId="17" fillId="0" borderId="51" xfId="106" applyNumberFormat="1" applyFont="1" applyFill="1" applyBorder="1" applyAlignment="1" quotePrefix="1">
      <alignment horizontal="center" vertical="center"/>
      <protection/>
    </xf>
    <xf numFmtId="3" fontId="17" fillId="0" borderId="52" xfId="106" applyNumberFormat="1" applyFont="1" applyFill="1" applyBorder="1" applyAlignment="1" quotePrefix="1">
      <alignment horizontal="center" vertical="center"/>
      <protection/>
    </xf>
    <xf numFmtId="3" fontId="17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8" fillId="0" borderId="5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 vertical="center" wrapText="1"/>
    </xf>
    <xf numFmtId="3" fontId="18" fillId="0" borderId="50" xfId="0" applyNumberFormat="1" applyFont="1" applyBorder="1" applyAlignment="1">
      <alignment vertical="center" wrapText="1"/>
    </xf>
    <xf numFmtId="3" fontId="17" fillId="0" borderId="20" xfId="0" applyNumberFormat="1" applyFont="1" applyBorder="1" applyAlignment="1">
      <alignment vertical="center" wrapText="1"/>
    </xf>
    <xf numFmtId="3" fontId="17" fillId="0" borderId="55" xfId="106" applyNumberFormat="1" applyFont="1" applyFill="1" applyBorder="1" applyAlignment="1" quotePrefix="1">
      <alignment horizontal="center" vertical="center"/>
      <protection/>
    </xf>
    <xf numFmtId="0" fontId="17" fillId="0" borderId="37" xfId="0" applyFont="1" applyBorder="1" applyAlignment="1">
      <alignment vertical="center" wrapText="1"/>
    </xf>
    <xf numFmtId="3" fontId="17" fillId="0" borderId="56" xfId="106" applyNumberFormat="1" applyFont="1" applyFill="1" applyBorder="1" applyAlignment="1" quotePrefix="1">
      <alignment horizontal="center" vertical="center"/>
      <protection/>
    </xf>
    <xf numFmtId="3" fontId="18" fillId="0" borderId="46" xfId="0" applyNumberFormat="1" applyFont="1" applyBorder="1" applyAlignment="1">
      <alignment vertical="center" wrapText="1"/>
    </xf>
    <xf numFmtId="0" fontId="17" fillId="0" borderId="57" xfId="0" applyFont="1" applyBorder="1" applyAlignment="1">
      <alignment vertical="center" wrapText="1"/>
    </xf>
    <xf numFmtId="3" fontId="18" fillId="0" borderId="56" xfId="0" applyNumberFormat="1" applyFont="1" applyBorder="1" applyAlignment="1">
      <alignment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vertical="center" wrapText="1"/>
    </xf>
    <xf numFmtId="3" fontId="17" fillId="0" borderId="59" xfId="0" applyNumberFormat="1" applyFont="1" applyBorder="1" applyAlignment="1">
      <alignment/>
    </xf>
    <xf numFmtId="3" fontId="17" fillId="0" borderId="59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0" fontId="17" fillId="0" borderId="61" xfId="0" applyFont="1" applyBorder="1" applyAlignment="1">
      <alignment/>
    </xf>
    <xf numFmtId="3" fontId="17" fillId="0" borderId="33" xfId="0" applyNumberFormat="1" applyFont="1" applyBorder="1" applyAlignment="1">
      <alignment/>
    </xf>
    <xf numFmtId="3" fontId="17" fillId="0" borderId="33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0" fontId="17" fillId="0" borderId="63" xfId="0" applyFont="1" applyBorder="1" applyAlignment="1">
      <alignment/>
    </xf>
    <xf numFmtId="3" fontId="17" fillId="0" borderId="20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0" fontId="17" fillId="0" borderId="64" xfId="0" applyFont="1" applyBorder="1" applyAlignment="1">
      <alignment/>
    </xf>
    <xf numFmtId="3" fontId="17" fillId="0" borderId="45" xfId="0" applyNumberFormat="1" applyFont="1" applyBorder="1" applyAlignment="1">
      <alignment/>
    </xf>
    <xf numFmtId="3" fontId="17" fillId="0" borderId="45" xfId="0" applyNumberFormat="1" applyFont="1" applyBorder="1" applyAlignment="1">
      <alignment/>
    </xf>
    <xf numFmtId="3" fontId="18" fillId="0" borderId="65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3" fontId="17" fillId="0" borderId="41" xfId="0" applyNumberFormat="1" applyFont="1" applyFill="1" applyBorder="1" applyAlignment="1">
      <alignment horizontal="right" vertical="center"/>
    </xf>
    <xf numFmtId="3" fontId="18" fillId="0" borderId="0" xfId="106" applyNumberFormat="1" applyFont="1" applyFill="1" applyAlignment="1">
      <alignment horizontal="center" vertical="center"/>
      <protection/>
    </xf>
    <xf numFmtId="3" fontId="17" fillId="0" borderId="0" xfId="106" applyNumberFormat="1" applyFont="1" applyFill="1" applyAlignment="1">
      <alignment vertical="center"/>
      <protection/>
    </xf>
    <xf numFmtId="1" fontId="28" fillId="0" borderId="0" xfId="106" applyNumberFormat="1" applyFont="1" applyFill="1" applyAlignment="1">
      <alignment horizontal="right" vertical="center"/>
      <protection/>
    </xf>
    <xf numFmtId="3" fontId="28" fillId="0" borderId="0" xfId="106" applyNumberFormat="1" applyFont="1" applyFill="1" applyAlignment="1">
      <alignment vertical="center"/>
      <protection/>
    </xf>
    <xf numFmtId="3" fontId="31" fillId="0" borderId="0" xfId="106" applyNumberFormat="1" applyFont="1" applyFill="1" applyBorder="1" applyAlignment="1">
      <alignment vertical="center"/>
      <protection/>
    </xf>
    <xf numFmtId="3" fontId="28" fillId="0" borderId="0" xfId="106" applyNumberFormat="1" applyFont="1" applyFill="1" applyBorder="1" applyAlignment="1">
      <alignment vertical="center"/>
      <protection/>
    </xf>
    <xf numFmtId="3" fontId="18" fillId="0" borderId="22" xfId="106" applyNumberFormat="1" applyFont="1" applyFill="1" applyBorder="1" applyAlignment="1">
      <alignment horizontal="center" vertical="center"/>
      <protection/>
    </xf>
    <xf numFmtId="3" fontId="18" fillId="0" borderId="22" xfId="106" applyNumberFormat="1" applyFont="1" applyFill="1" applyBorder="1" applyAlignment="1">
      <alignment horizontal="center" vertical="center" wrapText="1"/>
      <protection/>
    </xf>
    <xf numFmtId="3" fontId="18" fillId="0" borderId="29" xfId="106" applyNumberFormat="1" applyFont="1" applyFill="1" applyBorder="1" applyAlignment="1">
      <alignment horizontal="center" vertical="center"/>
      <protection/>
    </xf>
    <xf numFmtId="3" fontId="18" fillId="0" borderId="21" xfId="106" applyNumberFormat="1" applyFont="1" applyFill="1" applyBorder="1" applyAlignment="1">
      <alignment horizontal="center" vertical="center"/>
      <protection/>
    </xf>
    <xf numFmtId="3" fontId="18" fillId="0" borderId="21" xfId="106" applyNumberFormat="1" applyFont="1" applyFill="1" applyBorder="1" applyAlignment="1">
      <alignment horizontal="center" vertical="center" wrapText="1"/>
      <protection/>
    </xf>
    <xf numFmtId="3" fontId="18" fillId="0" borderId="23" xfId="106" applyNumberFormat="1" applyFont="1" applyFill="1" applyBorder="1" applyAlignment="1">
      <alignment horizontal="center" vertical="center"/>
      <protection/>
    </xf>
    <xf numFmtId="3" fontId="18" fillId="0" borderId="66" xfId="106" applyNumberFormat="1" applyFont="1" applyFill="1" applyBorder="1" applyAlignment="1">
      <alignment horizontal="center" vertical="center"/>
      <protection/>
    </xf>
    <xf numFmtId="3" fontId="17" fillId="0" borderId="55" xfId="106" applyNumberFormat="1" applyFont="1" applyFill="1" applyBorder="1" applyAlignment="1">
      <alignment vertical="center"/>
      <protection/>
    </xf>
    <xf numFmtId="1" fontId="17" fillId="0" borderId="55" xfId="106" applyNumberFormat="1" applyFont="1" applyFill="1" applyBorder="1" applyAlignment="1">
      <alignment horizontal="right" vertical="center"/>
      <protection/>
    </xf>
    <xf numFmtId="3" fontId="17" fillId="0" borderId="55" xfId="106" applyNumberFormat="1" applyFont="1" applyFill="1" applyBorder="1" applyAlignment="1">
      <alignment horizontal="left" vertical="center" indent="1"/>
      <protection/>
    </xf>
    <xf numFmtId="3" fontId="17" fillId="0" borderId="56" xfId="106" applyNumberFormat="1" applyFont="1" applyFill="1" applyBorder="1" applyAlignment="1">
      <alignment horizontal="right" vertical="center"/>
      <protection/>
    </xf>
    <xf numFmtId="3" fontId="17" fillId="0" borderId="55" xfId="106" applyNumberFormat="1" applyFont="1" applyFill="1" applyBorder="1" applyAlignment="1">
      <alignment horizontal="right" vertical="center"/>
      <protection/>
    </xf>
    <xf numFmtId="3" fontId="17" fillId="0" borderId="55" xfId="106" applyNumberFormat="1" applyFont="1" applyFill="1" applyBorder="1" applyAlignment="1">
      <alignment horizontal="center" vertical="center"/>
      <protection/>
    </xf>
    <xf numFmtId="3" fontId="18" fillId="0" borderId="55" xfId="106" applyNumberFormat="1" applyFont="1" applyFill="1" applyBorder="1" applyAlignment="1">
      <alignment vertical="center"/>
      <protection/>
    </xf>
    <xf numFmtId="3" fontId="17" fillId="0" borderId="21" xfId="106" applyNumberFormat="1" applyFont="1" applyFill="1" applyBorder="1" applyAlignment="1">
      <alignment horizontal="center" vertical="center"/>
      <protection/>
    </xf>
    <xf numFmtId="1" fontId="17" fillId="0" borderId="21" xfId="106" applyNumberFormat="1" applyFont="1" applyFill="1" applyBorder="1" applyAlignment="1">
      <alignment horizontal="right" vertical="center"/>
      <protection/>
    </xf>
    <xf numFmtId="3" fontId="17" fillId="0" borderId="21" xfId="106" applyNumberFormat="1" applyFont="1" applyFill="1" applyBorder="1" applyAlignment="1">
      <alignment horizontal="right" vertical="center"/>
      <protection/>
    </xf>
    <xf numFmtId="3" fontId="17" fillId="0" borderId="21" xfId="106" applyNumberFormat="1" applyFont="1" applyFill="1" applyBorder="1" applyAlignment="1">
      <alignment vertical="center"/>
      <protection/>
    </xf>
    <xf numFmtId="3" fontId="18" fillId="0" borderId="57" xfId="106" applyNumberFormat="1" applyFont="1" applyFill="1" applyBorder="1" applyAlignment="1">
      <alignment horizontal="center" vertical="center"/>
      <protection/>
    </xf>
    <xf numFmtId="3" fontId="17" fillId="0" borderId="56" xfId="106" applyNumberFormat="1" applyFont="1" applyFill="1" applyBorder="1" applyAlignment="1">
      <alignment horizontal="center" vertical="center"/>
      <protection/>
    </xf>
    <xf numFmtId="1" fontId="17" fillId="0" borderId="56" xfId="106" applyNumberFormat="1" applyFont="1" applyFill="1" applyBorder="1" applyAlignment="1">
      <alignment horizontal="right" vertical="center"/>
      <protection/>
    </xf>
    <xf numFmtId="3" fontId="17" fillId="0" borderId="56" xfId="106" applyNumberFormat="1" applyFont="1" applyFill="1" applyBorder="1" applyAlignment="1">
      <alignment vertical="center"/>
      <protection/>
    </xf>
    <xf numFmtId="3" fontId="17" fillId="0" borderId="51" xfId="106" applyNumberFormat="1" applyFont="1" applyFill="1" applyBorder="1" applyAlignment="1">
      <alignment horizontal="center" vertical="center"/>
      <protection/>
    </xf>
    <xf numFmtId="3" fontId="17" fillId="0" borderId="21" xfId="106" applyNumberFormat="1" applyFont="1" applyFill="1" applyBorder="1" applyAlignment="1" quotePrefix="1">
      <alignment horizontal="center" vertical="center"/>
      <protection/>
    </xf>
    <xf numFmtId="3" fontId="17" fillId="0" borderId="51" xfId="106" applyNumberFormat="1" applyFont="1" applyFill="1" applyBorder="1" applyAlignment="1">
      <alignment horizontal="right" vertical="center"/>
      <protection/>
    </xf>
    <xf numFmtId="3" fontId="18" fillId="0" borderId="21" xfId="106" applyNumberFormat="1" applyFont="1" applyFill="1" applyBorder="1" applyAlignment="1">
      <alignment vertical="center"/>
      <protection/>
    </xf>
    <xf numFmtId="3" fontId="18" fillId="0" borderId="59" xfId="106" applyNumberFormat="1" applyFont="1" applyFill="1" applyBorder="1" applyAlignment="1">
      <alignment horizontal="right" vertical="center"/>
      <protection/>
    </xf>
    <xf numFmtId="3" fontId="18" fillId="0" borderId="26" xfId="106" applyNumberFormat="1" applyFont="1" applyFill="1" applyBorder="1" applyAlignment="1">
      <alignment horizontal="center" vertical="center"/>
      <protection/>
    </xf>
    <xf numFmtId="3" fontId="18" fillId="0" borderId="67" xfId="106" applyNumberFormat="1" applyFont="1" applyFill="1" applyBorder="1" applyAlignment="1">
      <alignment horizontal="center" vertical="center"/>
      <protection/>
    </xf>
    <xf numFmtId="3" fontId="18" fillId="0" borderId="22" xfId="106" applyNumberFormat="1" applyFont="1" applyFill="1" applyBorder="1" applyAlignment="1">
      <alignment horizontal="right" vertical="center"/>
      <protection/>
    </xf>
    <xf numFmtId="3" fontId="18" fillId="0" borderId="68" xfId="106" applyNumberFormat="1" applyFont="1" applyFill="1" applyBorder="1" applyAlignment="1">
      <alignment horizontal="center" vertical="center"/>
      <protection/>
    </xf>
    <xf numFmtId="3" fontId="18" fillId="0" borderId="56" xfId="106" applyNumberFormat="1" applyFont="1" applyFill="1" applyBorder="1" applyAlignment="1">
      <alignment horizontal="center" vertical="center"/>
      <protection/>
    </xf>
    <xf numFmtId="3" fontId="18" fillId="0" borderId="69" xfId="106" applyNumberFormat="1" applyFont="1" applyFill="1" applyBorder="1" applyAlignment="1">
      <alignment horizontal="center" vertical="center"/>
      <protection/>
    </xf>
    <xf numFmtId="3" fontId="18" fillId="0" borderId="56" xfId="106" applyNumberFormat="1" applyFont="1" applyFill="1" applyBorder="1" applyAlignment="1">
      <alignment horizontal="right" vertical="center"/>
      <protection/>
    </xf>
    <xf numFmtId="3" fontId="18" fillId="0" borderId="0" xfId="106" applyNumberFormat="1" applyFont="1" applyFill="1" applyBorder="1" applyAlignment="1">
      <alignment horizontal="center" vertical="center"/>
      <protection/>
    </xf>
    <xf numFmtId="3" fontId="18" fillId="0" borderId="21" xfId="106" applyNumberFormat="1" applyFont="1" applyFill="1" applyBorder="1" applyAlignment="1">
      <alignment horizontal="right" vertical="center"/>
      <protection/>
    </xf>
    <xf numFmtId="1" fontId="17" fillId="0" borderId="70" xfId="106" applyNumberFormat="1" applyFont="1" applyFill="1" applyBorder="1" applyAlignment="1">
      <alignment horizontal="right" vertical="center"/>
      <protection/>
    </xf>
    <xf numFmtId="3" fontId="18" fillId="0" borderId="70" xfId="106" applyNumberFormat="1" applyFont="1" applyFill="1" applyBorder="1" applyAlignment="1">
      <alignment horizontal="right" vertical="center"/>
      <protection/>
    </xf>
    <xf numFmtId="3" fontId="17" fillId="0" borderId="57" xfId="106" applyNumberFormat="1" applyFont="1" applyFill="1" applyBorder="1" applyAlignment="1">
      <alignment horizontal="center" vertical="center"/>
      <protection/>
    </xf>
    <xf numFmtId="3" fontId="17" fillId="0" borderId="71" xfId="106" applyNumberFormat="1" applyFont="1" applyFill="1" applyBorder="1" applyAlignment="1">
      <alignment horizontal="center" vertical="center"/>
      <protection/>
    </xf>
    <xf numFmtId="3" fontId="17" fillId="0" borderId="72" xfId="106" applyNumberFormat="1" applyFont="1" applyFill="1" applyBorder="1" applyAlignment="1">
      <alignment horizontal="center" vertical="center"/>
      <protection/>
    </xf>
    <xf numFmtId="3" fontId="18" fillId="0" borderId="37" xfId="106" applyNumberFormat="1" applyFont="1" applyFill="1" applyBorder="1" applyAlignment="1">
      <alignment horizontal="center" vertical="center"/>
      <protection/>
    </xf>
    <xf numFmtId="3" fontId="17" fillId="0" borderId="21" xfId="106" applyNumberFormat="1" applyFont="1" applyFill="1" applyBorder="1" applyAlignment="1">
      <alignment horizontal="left" vertical="center"/>
      <protection/>
    </xf>
    <xf numFmtId="1" fontId="28" fillId="0" borderId="21" xfId="106" applyNumberFormat="1" applyFont="1" applyFill="1" applyBorder="1" applyAlignment="1">
      <alignment horizontal="right" vertical="center"/>
      <protection/>
    </xf>
    <xf numFmtId="3" fontId="18" fillId="0" borderId="21" xfId="106" applyNumberFormat="1" applyFont="1" applyFill="1" applyBorder="1" applyAlignment="1">
      <alignment horizontal="left" vertical="center"/>
      <protection/>
    </xf>
    <xf numFmtId="3" fontId="17" fillId="0" borderId="56" xfId="106" applyNumberFormat="1" applyFont="1" applyFill="1" applyBorder="1" applyAlignment="1">
      <alignment horizontal="left" vertical="center"/>
      <protection/>
    </xf>
    <xf numFmtId="1" fontId="28" fillId="0" borderId="56" xfId="106" applyNumberFormat="1" applyFont="1" applyFill="1" applyBorder="1" applyAlignment="1">
      <alignment horizontal="right" vertical="center"/>
      <protection/>
    </xf>
    <xf numFmtId="3" fontId="17" fillId="0" borderId="57" xfId="106" applyNumberFormat="1" applyFont="1" applyFill="1" applyBorder="1" applyAlignment="1">
      <alignment horizontal="left" vertical="center"/>
      <protection/>
    </xf>
    <xf numFmtId="3" fontId="17" fillId="0" borderId="56" xfId="106" applyNumberFormat="1" applyFont="1" applyFill="1" applyBorder="1" applyAlignment="1">
      <alignment horizontal="left" vertical="center" indent="1"/>
      <protection/>
    </xf>
    <xf numFmtId="3" fontId="28" fillId="0" borderId="56" xfId="106" applyNumberFormat="1" applyFont="1" applyFill="1" applyBorder="1" applyAlignment="1">
      <alignment horizontal="right" vertical="center"/>
      <protection/>
    </xf>
    <xf numFmtId="3" fontId="28" fillId="0" borderId="21" xfId="106" applyNumberFormat="1" applyFont="1" applyFill="1" applyBorder="1" applyAlignment="1">
      <alignment horizontal="right" vertical="center"/>
      <protection/>
    </xf>
    <xf numFmtId="3" fontId="18" fillId="0" borderId="53" xfId="106" applyNumberFormat="1" applyFont="1" applyFill="1" applyBorder="1" applyAlignment="1">
      <alignment horizontal="center" vertical="center"/>
      <protection/>
    </xf>
    <xf numFmtId="3" fontId="17" fillId="0" borderId="22" xfId="106" applyNumberFormat="1" applyFont="1" applyFill="1" applyBorder="1" applyAlignment="1">
      <alignment horizontal="center" vertical="center"/>
      <protection/>
    </xf>
    <xf numFmtId="1" fontId="17" fillId="0" borderId="22" xfId="106" applyNumberFormat="1" applyFont="1" applyFill="1" applyBorder="1" applyAlignment="1">
      <alignment horizontal="right" vertical="center"/>
      <protection/>
    </xf>
    <xf numFmtId="3" fontId="18" fillId="0" borderId="22" xfId="106" applyNumberFormat="1" applyFont="1" applyFill="1" applyBorder="1" applyAlignment="1">
      <alignment vertical="center"/>
      <protection/>
    </xf>
    <xf numFmtId="1" fontId="18" fillId="0" borderId="22" xfId="106" applyNumberFormat="1" applyFont="1" applyFill="1" applyBorder="1" applyAlignment="1">
      <alignment horizontal="right" vertical="center"/>
      <protection/>
    </xf>
    <xf numFmtId="3" fontId="18" fillId="0" borderId="56" xfId="106" applyNumberFormat="1" applyFont="1" applyFill="1" applyBorder="1" applyAlignment="1">
      <alignment vertical="center"/>
      <protection/>
    </xf>
    <xf numFmtId="3" fontId="18" fillId="0" borderId="71" xfId="106" applyNumberFormat="1" applyFont="1" applyFill="1" applyBorder="1" applyAlignment="1">
      <alignment horizontal="center" vertical="center"/>
      <protection/>
    </xf>
    <xf numFmtId="1" fontId="17" fillId="0" borderId="72" xfId="106" applyNumberFormat="1" applyFont="1" applyFill="1" applyBorder="1" applyAlignment="1">
      <alignment horizontal="right" vertical="center"/>
      <protection/>
    </xf>
    <xf numFmtId="3" fontId="17" fillId="0" borderId="72" xfId="106" applyNumberFormat="1" applyFont="1" applyFill="1" applyBorder="1" applyAlignment="1" quotePrefix="1">
      <alignment horizontal="center" vertical="center"/>
      <protection/>
    </xf>
    <xf numFmtId="3" fontId="17" fillId="0" borderId="72" xfId="106" applyNumberFormat="1" applyFont="1" applyFill="1" applyBorder="1" applyAlignment="1">
      <alignment horizontal="right" vertical="center"/>
      <protection/>
    </xf>
    <xf numFmtId="3" fontId="18" fillId="0" borderId="72" xfId="106" applyNumberFormat="1" applyFont="1" applyFill="1" applyBorder="1" applyAlignment="1">
      <alignment horizontal="right" vertical="center"/>
      <protection/>
    </xf>
    <xf numFmtId="1" fontId="18" fillId="0" borderId="21" xfId="106" applyNumberFormat="1" applyFont="1" applyFill="1" applyBorder="1" applyAlignment="1">
      <alignment horizontal="right" vertical="center"/>
      <protection/>
    </xf>
    <xf numFmtId="1" fontId="17" fillId="0" borderId="56" xfId="106" applyNumberFormat="1" applyFont="1" applyFill="1" applyBorder="1" applyAlignment="1">
      <alignment horizontal="center" vertical="center"/>
      <protection/>
    </xf>
    <xf numFmtId="3" fontId="17" fillId="0" borderId="56" xfId="106" applyNumberFormat="1" applyFont="1" applyFill="1" applyBorder="1" applyAlignment="1">
      <alignment horizontal="left" vertical="center" wrapText="1" indent="1"/>
      <protection/>
    </xf>
    <xf numFmtId="3" fontId="18" fillId="0" borderId="73" xfId="106" applyNumberFormat="1" applyFont="1" applyFill="1" applyBorder="1" applyAlignment="1">
      <alignment horizontal="right" vertical="center"/>
      <protection/>
    </xf>
    <xf numFmtId="3" fontId="18" fillId="0" borderId="74" xfId="106" applyNumberFormat="1" applyFont="1" applyFill="1" applyBorder="1" applyAlignment="1">
      <alignment vertical="center"/>
      <protection/>
    </xf>
    <xf numFmtId="3" fontId="18" fillId="0" borderId="75" xfId="106" applyNumberFormat="1" applyFont="1" applyFill="1" applyBorder="1" applyAlignment="1">
      <alignment horizontal="center" vertical="center"/>
      <protection/>
    </xf>
    <xf numFmtId="3" fontId="18" fillId="0" borderId="76" xfId="106" applyNumberFormat="1" applyFont="1" applyFill="1" applyBorder="1" applyAlignment="1">
      <alignment horizontal="center" vertical="center"/>
      <protection/>
    </xf>
    <xf numFmtId="3" fontId="17" fillId="0" borderId="70" xfId="106" applyNumberFormat="1" applyFont="1" applyFill="1" applyBorder="1" applyAlignment="1">
      <alignment horizontal="center" vertical="center"/>
      <protection/>
    </xf>
    <xf numFmtId="3" fontId="18" fillId="0" borderId="70" xfId="106" applyNumberFormat="1" applyFont="1" applyFill="1" applyBorder="1" applyAlignment="1">
      <alignment vertical="center"/>
      <protection/>
    </xf>
    <xf numFmtId="1" fontId="18" fillId="0" borderId="56" xfId="106" applyNumberFormat="1" applyFont="1" applyFill="1" applyBorder="1" applyAlignment="1">
      <alignment horizontal="right" vertical="center"/>
      <protection/>
    </xf>
    <xf numFmtId="3" fontId="18" fillId="0" borderId="22" xfId="106" applyNumberFormat="1" applyFont="1" applyFill="1" applyBorder="1" applyAlignment="1">
      <alignment horizontal="left" vertical="center"/>
      <protection/>
    </xf>
    <xf numFmtId="3" fontId="18" fillId="0" borderId="72" xfId="106" applyNumberFormat="1" applyFont="1" applyFill="1" applyBorder="1" applyAlignment="1">
      <alignment horizontal="center" vertical="center"/>
      <protection/>
    </xf>
    <xf numFmtId="1" fontId="18" fillId="0" borderId="72" xfId="106" applyNumberFormat="1" applyFont="1" applyFill="1" applyBorder="1" applyAlignment="1">
      <alignment horizontal="right" vertical="center"/>
      <protection/>
    </xf>
    <xf numFmtId="3" fontId="18" fillId="0" borderId="72" xfId="106" applyNumberFormat="1" applyFont="1" applyFill="1" applyBorder="1" applyAlignment="1">
      <alignment vertical="center"/>
      <protection/>
    </xf>
    <xf numFmtId="3" fontId="18" fillId="0" borderId="77" xfId="106" applyNumberFormat="1" applyFont="1" applyFill="1" applyBorder="1" applyAlignment="1">
      <alignment horizontal="center" vertical="center"/>
      <protection/>
    </xf>
    <xf numFmtId="3" fontId="17" fillId="0" borderId="70" xfId="106" applyNumberFormat="1" applyFont="1" applyFill="1" applyBorder="1" applyAlignment="1">
      <alignment vertical="center"/>
      <protection/>
    </xf>
    <xf numFmtId="3" fontId="17" fillId="0" borderId="56" xfId="106" applyNumberFormat="1" applyFont="1" applyFill="1" applyBorder="1" applyAlignment="1">
      <alignment vertical="center" shrinkToFit="1"/>
      <protection/>
    </xf>
    <xf numFmtId="3" fontId="18" fillId="0" borderId="78" xfId="106" applyNumberFormat="1" applyFont="1" applyFill="1" applyBorder="1" applyAlignment="1">
      <alignment horizontal="center" vertical="center"/>
      <protection/>
    </xf>
    <xf numFmtId="1" fontId="17" fillId="0" borderId="51" xfId="106" applyNumberFormat="1" applyFont="1" applyFill="1" applyBorder="1" applyAlignment="1">
      <alignment horizontal="center" vertical="center"/>
      <protection/>
    </xf>
    <xf numFmtId="1" fontId="17" fillId="0" borderId="51" xfId="106" applyNumberFormat="1" applyFont="1" applyFill="1" applyBorder="1" applyAlignment="1">
      <alignment horizontal="right" vertical="center"/>
      <protection/>
    </xf>
    <xf numFmtId="3" fontId="17" fillId="0" borderId="51" xfId="106" applyNumberFormat="1" applyFont="1" applyFill="1" applyBorder="1" applyAlignment="1">
      <alignment vertical="center"/>
      <protection/>
    </xf>
    <xf numFmtId="3" fontId="18" fillId="0" borderId="51" xfId="106" applyNumberFormat="1" applyFont="1" applyFill="1" applyBorder="1" applyAlignment="1">
      <alignment horizontal="right" vertical="center"/>
      <protection/>
    </xf>
    <xf numFmtId="3" fontId="18" fillId="0" borderId="51" xfId="106" applyNumberFormat="1" applyFont="1" applyFill="1" applyBorder="1" applyAlignment="1">
      <alignment vertical="center"/>
      <protection/>
    </xf>
    <xf numFmtId="3" fontId="18" fillId="0" borderId="55" xfId="106" applyNumberFormat="1" applyFont="1" applyFill="1" applyBorder="1" applyAlignment="1">
      <alignment horizontal="right" vertical="center"/>
      <protection/>
    </xf>
    <xf numFmtId="1" fontId="28" fillId="0" borderId="70" xfId="106" applyNumberFormat="1" applyFont="1" applyFill="1" applyBorder="1" applyAlignment="1">
      <alignment horizontal="right" vertical="center"/>
      <protection/>
    </xf>
    <xf numFmtId="164" fontId="17" fillId="0" borderId="56" xfId="106" applyNumberFormat="1" applyFont="1" applyFill="1" applyBorder="1" applyAlignment="1">
      <alignment horizontal="center" vertical="center"/>
      <protection/>
    </xf>
    <xf numFmtId="164" fontId="17" fillId="0" borderId="72" xfId="106" applyNumberFormat="1" applyFont="1" applyFill="1" applyBorder="1" applyAlignment="1">
      <alignment horizontal="center" vertical="center"/>
      <protection/>
    </xf>
    <xf numFmtId="3" fontId="17" fillId="0" borderId="72" xfId="106" applyNumberFormat="1" applyFont="1" applyFill="1" applyBorder="1" applyAlignment="1">
      <alignment vertical="center"/>
      <protection/>
    </xf>
    <xf numFmtId="3" fontId="17" fillId="0" borderId="37" xfId="106" applyNumberFormat="1" applyFont="1" applyFill="1" applyBorder="1" applyAlignment="1">
      <alignment horizontal="center" vertical="center"/>
      <protection/>
    </xf>
    <xf numFmtId="3" fontId="18" fillId="0" borderId="54" xfId="106" applyNumberFormat="1" applyFont="1" applyFill="1" applyBorder="1" applyAlignment="1">
      <alignment horizontal="center" vertical="center"/>
      <protection/>
    </xf>
    <xf numFmtId="3" fontId="17" fillId="0" borderId="23" xfId="106" applyNumberFormat="1" applyFont="1" applyFill="1" applyBorder="1" applyAlignment="1">
      <alignment horizontal="center" vertical="center"/>
      <protection/>
    </xf>
    <xf numFmtId="1" fontId="17" fillId="0" borderId="23" xfId="106" applyNumberFormat="1" applyFont="1" applyFill="1" applyBorder="1" applyAlignment="1">
      <alignment horizontal="right" vertical="center"/>
      <protection/>
    </xf>
    <xf numFmtId="3" fontId="17" fillId="0" borderId="23" xfId="106" applyNumberFormat="1" applyFont="1" applyFill="1" applyBorder="1" applyAlignment="1">
      <alignment horizontal="right" vertical="center"/>
      <protection/>
    </xf>
    <xf numFmtId="3" fontId="31" fillId="0" borderId="70" xfId="106" applyNumberFormat="1" applyFont="1" applyFill="1" applyBorder="1" applyAlignment="1">
      <alignment horizontal="right" vertical="center"/>
      <protection/>
    </xf>
    <xf numFmtId="1" fontId="18" fillId="0" borderId="70" xfId="106" applyNumberFormat="1" applyFont="1" applyFill="1" applyBorder="1" applyAlignment="1">
      <alignment horizontal="right" vertical="center"/>
      <protection/>
    </xf>
    <xf numFmtId="3" fontId="31" fillId="0" borderId="56" xfId="106" applyNumberFormat="1" applyFont="1" applyFill="1" applyBorder="1" applyAlignment="1">
      <alignment horizontal="right" vertical="center"/>
      <protection/>
    </xf>
    <xf numFmtId="3" fontId="31" fillId="0" borderId="21" xfId="106" applyNumberFormat="1" applyFont="1" applyFill="1" applyBorder="1" applyAlignment="1">
      <alignment horizontal="right" vertical="center"/>
      <protection/>
    </xf>
    <xf numFmtId="3" fontId="18" fillId="0" borderId="23" xfId="106" applyNumberFormat="1" applyFont="1" applyFill="1" applyBorder="1" applyAlignment="1">
      <alignment horizontal="right" vertical="center"/>
      <protection/>
    </xf>
    <xf numFmtId="3" fontId="18" fillId="0" borderId="23" xfId="106" applyNumberFormat="1" applyFont="1" applyFill="1" applyBorder="1" applyAlignment="1">
      <alignment vertical="center"/>
      <protection/>
    </xf>
    <xf numFmtId="3" fontId="28" fillId="0" borderId="56" xfId="106" applyNumberFormat="1" applyFont="1" applyFill="1" applyBorder="1" applyAlignment="1">
      <alignment vertical="center"/>
      <protection/>
    </xf>
    <xf numFmtId="3" fontId="17" fillId="0" borderId="51" xfId="106" applyNumberFormat="1" applyFont="1" applyFill="1" applyBorder="1" applyAlignment="1">
      <alignment horizontal="left" vertical="center" indent="1"/>
      <protection/>
    </xf>
    <xf numFmtId="3" fontId="17" fillId="0" borderId="23" xfId="106" applyNumberFormat="1" applyFont="1" applyFill="1" applyBorder="1" applyAlignment="1">
      <alignment vertical="center"/>
      <protection/>
    </xf>
    <xf numFmtId="3" fontId="31" fillId="0" borderId="22" xfId="106" applyNumberFormat="1" applyFont="1" applyFill="1" applyBorder="1" applyAlignment="1">
      <alignment horizontal="right" vertical="center"/>
      <protection/>
    </xf>
    <xf numFmtId="1" fontId="17" fillId="0" borderId="79" xfId="106" applyNumberFormat="1" applyFont="1" applyFill="1" applyBorder="1" applyAlignment="1">
      <alignment horizontal="right" vertical="center"/>
      <protection/>
    </xf>
    <xf numFmtId="3" fontId="31" fillId="0" borderId="23" xfId="106" applyNumberFormat="1" applyFont="1" applyFill="1" applyBorder="1" applyAlignment="1">
      <alignment horizontal="right" vertical="center"/>
      <protection/>
    </xf>
    <xf numFmtId="1" fontId="28" fillId="0" borderId="55" xfId="106" applyNumberFormat="1" applyFont="1" applyFill="1" applyBorder="1" applyAlignment="1">
      <alignment horizontal="right" vertical="center"/>
      <protection/>
    </xf>
    <xf numFmtId="3" fontId="17" fillId="0" borderId="21" xfId="106" applyNumberFormat="1" applyFont="1" applyFill="1" applyBorder="1" applyAlignment="1">
      <alignment horizontal="left" vertical="center" indent="1"/>
      <protection/>
    </xf>
    <xf numFmtId="164" fontId="17" fillId="0" borderId="55" xfId="106" applyNumberFormat="1" applyFont="1" applyFill="1" applyBorder="1" applyAlignment="1">
      <alignment horizontal="center" vertical="center"/>
      <protection/>
    </xf>
    <xf numFmtId="3" fontId="18" fillId="0" borderId="30" xfId="106" applyNumberFormat="1" applyFont="1" applyFill="1" applyBorder="1" applyAlignment="1">
      <alignment horizontal="center" vertical="center"/>
      <protection/>
    </xf>
    <xf numFmtId="3" fontId="18" fillId="0" borderId="67" xfId="106" applyNumberFormat="1" applyFont="1" applyFill="1" applyBorder="1" applyAlignment="1">
      <alignment horizontal="left" vertical="center"/>
      <protection/>
    </xf>
    <xf numFmtId="3" fontId="18" fillId="0" borderId="80" xfId="106" applyNumberFormat="1" applyFont="1" applyFill="1" applyBorder="1" applyAlignment="1">
      <alignment horizontal="right" vertical="center"/>
      <protection/>
    </xf>
    <xf numFmtId="3" fontId="18" fillId="0" borderId="81" xfId="106" applyNumberFormat="1" applyFont="1" applyFill="1" applyBorder="1" applyAlignment="1">
      <alignment horizontal="center" vertical="center"/>
      <protection/>
    </xf>
    <xf numFmtId="3" fontId="18" fillId="0" borderId="82" xfId="106" applyNumberFormat="1" applyFont="1" applyFill="1" applyBorder="1" applyAlignment="1">
      <alignment horizontal="center" vertical="center"/>
      <protection/>
    </xf>
    <xf numFmtId="3" fontId="18" fillId="0" borderId="83" xfId="106" applyNumberFormat="1" applyFont="1" applyFill="1" applyBorder="1" applyAlignment="1">
      <alignment horizontal="center" vertical="center"/>
      <protection/>
    </xf>
    <xf numFmtId="3" fontId="18" fillId="0" borderId="84" xfId="106" applyNumberFormat="1" applyFont="1" applyFill="1" applyBorder="1" applyAlignment="1">
      <alignment horizontal="center" vertical="center"/>
      <protection/>
    </xf>
    <xf numFmtId="3" fontId="18" fillId="0" borderId="51" xfId="106" applyNumberFormat="1" applyFont="1" applyFill="1" applyBorder="1" applyAlignment="1">
      <alignment horizontal="center" vertical="center"/>
      <protection/>
    </xf>
    <xf numFmtId="3" fontId="18" fillId="0" borderId="85" xfId="106" applyNumberFormat="1" applyFont="1" applyFill="1" applyBorder="1" applyAlignment="1">
      <alignment horizontal="center" vertical="center"/>
      <protection/>
    </xf>
    <xf numFmtId="3" fontId="18" fillId="0" borderId="51" xfId="106" applyNumberFormat="1" applyFont="1" applyFill="1" applyBorder="1" applyAlignment="1">
      <alignment horizontal="left" vertical="center" indent="1"/>
      <protection/>
    </xf>
    <xf numFmtId="3" fontId="18" fillId="0" borderId="29" xfId="106" applyNumberFormat="1" applyFont="1" applyFill="1" applyBorder="1" applyAlignment="1">
      <alignment horizontal="center" vertical="center" wrapText="1"/>
      <protection/>
    </xf>
    <xf numFmtId="3" fontId="18" fillId="0" borderId="0" xfId="106" applyNumberFormat="1" applyFont="1" applyFill="1" applyBorder="1" applyAlignment="1">
      <alignment horizontal="center" vertical="center" wrapText="1"/>
      <protection/>
    </xf>
    <xf numFmtId="3" fontId="18" fillId="0" borderId="68" xfId="106" applyNumberFormat="1" applyFont="1" applyFill="1" applyBorder="1" applyAlignment="1">
      <alignment horizontal="center" vertical="center" wrapText="1"/>
      <protection/>
    </xf>
    <xf numFmtId="3" fontId="18" fillId="0" borderId="56" xfId="106" applyNumberFormat="1" applyFont="1" applyFill="1" applyBorder="1" applyAlignment="1">
      <alignment horizontal="center" vertical="center" wrapText="1"/>
      <protection/>
    </xf>
    <xf numFmtId="3" fontId="18" fillId="0" borderId="69" xfId="106" applyNumberFormat="1" applyFont="1" applyFill="1" applyBorder="1" applyAlignment="1">
      <alignment horizontal="center" vertical="center" wrapText="1"/>
      <protection/>
    </xf>
    <xf numFmtId="1" fontId="28" fillId="0" borderId="72" xfId="106" applyNumberFormat="1" applyFont="1" applyFill="1" applyBorder="1" applyAlignment="1">
      <alignment horizontal="right" vertical="center"/>
      <protection/>
    </xf>
    <xf numFmtId="3" fontId="17" fillId="0" borderId="23" xfId="106" applyNumberFormat="1" applyFont="1" applyFill="1" applyBorder="1" applyAlignment="1" quotePrefix="1">
      <alignment horizontal="center" vertical="center"/>
      <protection/>
    </xf>
    <xf numFmtId="3" fontId="31" fillId="0" borderId="0" xfId="106" applyNumberFormat="1" applyFont="1" applyFill="1" applyAlignment="1">
      <alignment vertical="center"/>
      <protection/>
    </xf>
    <xf numFmtId="3" fontId="9" fillId="0" borderId="0" xfId="106" applyNumberFormat="1" applyFont="1" applyFill="1" applyBorder="1" applyAlignment="1">
      <alignment horizontal="center" vertical="center"/>
      <protection/>
    </xf>
    <xf numFmtId="0" fontId="17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86" xfId="0" applyNumberFormat="1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3" fontId="18" fillId="0" borderId="80" xfId="0" applyNumberFormat="1" applyFont="1" applyBorder="1" applyAlignment="1">
      <alignment horizontal="center" vertical="center" wrapText="1"/>
    </xf>
    <xf numFmtId="3" fontId="18" fillId="0" borderId="87" xfId="0" applyNumberFormat="1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/>
    </xf>
    <xf numFmtId="0" fontId="17" fillId="0" borderId="66" xfId="0" applyNumberFormat="1" applyFont="1" applyBorder="1" applyAlignment="1">
      <alignment horizontal="center" vertical="center" wrapText="1"/>
    </xf>
    <xf numFmtId="0" fontId="17" fillId="0" borderId="55" xfId="0" applyFont="1" applyBorder="1" applyAlignment="1">
      <alignment vertical="center" wrapText="1"/>
    </xf>
    <xf numFmtId="3" fontId="17" fillId="0" borderId="55" xfId="0" applyNumberFormat="1" applyFont="1" applyBorder="1" applyAlignment="1">
      <alignment vertical="center"/>
    </xf>
    <xf numFmtId="3" fontId="17" fillId="0" borderId="89" xfId="0" applyNumberFormat="1" applyFont="1" applyBorder="1" applyAlignment="1">
      <alignment vertical="center"/>
    </xf>
    <xf numFmtId="0" fontId="17" fillId="0" borderId="90" xfId="0" applyFont="1" applyBorder="1" applyAlignment="1">
      <alignment horizontal="center" vertical="center"/>
    </xf>
    <xf numFmtId="0" fontId="17" fillId="0" borderId="57" xfId="0" applyNumberFormat="1" applyFont="1" applyBorder="1" applyAlignment="1">
      <alignment horizontal="center" vertical="center" wrapText="1"/>
    </xf>
    <xf numFmtId="0" fontId="17" fillId="0" borderId="56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51" xfId="0" applyFont="1" applyBorder="1" applyAlignment="1">
      <alignment vertical="center" wrapText="1"/>
    </xf>
    <xf numFmtId="3" fontId="17" fillId="0" borderId="21" xfId="0" applyNumberFormat="1" applyFont="1" applyBorder="1" applyAlignment="1">
      <alignment vertical="center"/>
    </xf>
    <xf numFmtId="3" fontId="17" fillId="0" borderId="92" xfId="0" applyNumberFormat="1" applyFont="1" applyBorder="1" applyAlignment="1">
      <alignment vertical="center"/>
    </xf>
    <xf numFmtId="0" fontId="17" fillId="0" borderId="48" xfId="0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0" fontId="17" fillId="0" borderId="72" xfId="0" applyFont="1" applyBorder="1" applyAlignment="1">
      <alignment vertical="center" wrapText="1"/>
    </xf>
    <xf numFmtId="3" fontId="17" fillId="0" borderId="72" xfId="0" applyNumberFormat="1" applyFont="1" applyBorder="1" applyAlignment="1">
      <alignment vertical="center"/>
    </xf>
    <xf numFmtId="3" fontId="17" fillId="0" borderId="93" xfId="0" applyNumberFormat="1" applyFont="1" applyBorder="1" applyAlignment="1">
      <alignment vertical="center"/>
    </xf>
    <xf numFmtId="0" fontId="17" fillId="0" borderId="94" xfId="0" applyFont="1" applyBorder="1" applyAlignment="1">
      <alignment horizontal="center" vertical="center" wrapText="1"/>
    </xf>
    <xf numFmtId="0" fontId="17" fillId="43" borderId="95" xfId="0" applyNumberFormat="1" applyFont="1" applyFill="1" applyBorder="1" applyAlignment="1">
      <alignment horizontal="center" vertical="center" wrapText="1"/>
    </xf>
    <xf numFmtId="0" fontId="18" fillId="0" borderId="96" xfId="0" applyFont="1" applyBorder="1" applyAlignment="1">
      <alignment horizontal="left" vertical="center" wrapText="1"/>
    </xf>
    <xf numFmtId="3" fontId="18" fillId="0" borderId="95" xfId="0" applyNumberFormat="1" applyFont="1" applyBorder="1" applyAlignment="1">
      <alignment horizontal="right" vertical="center" wrapText="1"/>
    </xf>
    <xf numFmtId="3" fontId="18" fillId="0" borderId="96" xfId="0" applyNumberFormat="1" applyFont="1" applyBorder="1" applyAlignment="1">
      <alignment horizontal="right" vertical="center" wrapText="1"/>
    </xf>
    <xf numFmtId="0" fontId="17" fillId="43" borderId="96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3" fontId="18" fillId="0" borderId="55" xfId="106" applyNumberFormat="1" applyFont="1" applyFill="1" applyBorder="1" applyAlignment="1">
      <alignment horizontal="center" vertical="center"/>
      <protection/>
    </xf>
    <xf numFmtId="3" fontId="18" fillId="0" borderId="70" xfId="106" applyNumberFormat="1" applyFont="1" applyFill="1" applyBorder="1" applyAlignment="1">
      <alignment horizontal="left" vertical="center"/>
      <protection/>
    </xf>
    <xf numFmtId="3" fontId="18" fillId="0" borderId="60" xfId="0" applyNumberFormat="1" applyFont="1" applyFill="1" applyBorder="1" applyAlignment="1">
      <alignment horizontal="right" vertical="center" shrinkToFit="1"/>
    </xf>
    <xf numFmtId="3" fontId="17" fillId="0" borderId="44" xfId="106" applyNumberFormat="1" applyFont="1" applyFill="1" applyBorder="1" applyAlignment="1" quotePrefix="1">
      <alignment horizontal="center" vertical="center"/>
      <protection/>
    </xf>
    <xf numFmtId="4" fontId="17" fillId="0" borderId="0" xfId="106" applyNumberFormat="1" applyFont="1" applyFill="1" applyAlignment="1">
      <alignment vertical="center"/>
      <protection/>
    </xf>
    <xf numFmtId="3" fontId="18" fillId="0" borderId="70" xfId="106" applyNumberFormat="1" applyFont="1" applyFill="1" applyBorder="1" applyAlignment="1">
      <alignment vertical="center" shrinkToFit="1"/>
      <protection/>
    </xf>
    <xf numFmtId="3" fontId="31" fillId="0" borderId="72" xfId="106" applyNumberFormat="1" applyFont="1" applyFill="1" applyBorder="1" applyAlignment="1">
      <alignment horizontal="right" vertical="center"/>
      <protection/>
    </xf>
    <xf numFmtId="3" fontId="28" fillId="0" borderId="55" xfId="106" applyNumberFormat="1" applyFont="1" applyFill="1" applyBorder="1" applyAlignment="1">
      <alignment vertical="center"/>
      <protection/>
    </xf>
    <xf numFmtId="3" fontId="28" fillId="0" borderId="55" xfId="106" applyNumberFormat="1" applyFont="1" applyFill="1" applyBorder="1" applyAlignment="1">
      <alignment horizontal="right" vertical="center"/>
      <protection/>
    </xf>
    <xf numFmtId="3" fontId="31" fillId="0" borderId="55" xfId="106" applyNumberFormat="1" applyFont="1" applyFill="1" applyBorder="1" applyAlignment="1">
      <alignment horizontal="right" vertical="center"/>
      <protection/>
    </xf>
    <xf numFmtId="3" fontId="28" fillId="0" borderId="70" xfId="106" applyNumberFormat="1" applyFont="1" applyFill="1" applyBorder="1" applyAlignment="1">
      <alignment horizontal="right" vertical="center"/>
      <protection/>
    </xf>
    <xf numFmtId="3" fontId="31" fillId="0" borderId="74" xfId="106" applyNumberFormat="1" applyFont="1" applyFill="1" applyBorder="1" applyAlignment="1">
      <alignment horizontal="right" vertical="center"/>
      <protection/>
    </xf>
    <xf numFmtId="3" fontId="31" fillId="0" borderId="51" xfId="106" applyNumberFormat="1" applyFont="1" applyFill="1" applyBorder="1" applyAlignment="1">
      <alignment horizontal="right" vertical="center"/>
      <protection/>
    </xf>
    <xf numFmtId="3" fontId="31" fillId="0" borderId="80" xfId="106" applyNumberFormat="1" applyFont="1" applyFill="1" applyBorder="1" applyAlignment="1">
      <alignment horizontal="right" vertical="center"/>
      <protection/>
    </xf>
    <xf numFmtId="3" fontId="28" fillId="0" borderId="70" xfId="106" applyNumberFormat="1" applyFont="1" applyFill="1" applyBorder="1" applyAlignment="1">
      <alignment vertical="center"/>
      <protection/>
    </xf>
    <xf numFmtId="2" fontId="18" fillId="0" borderId="90" xfId="106" applyNumberFormat="1" applyFont="1" applyFill="1" applyBorder="1" applyAlignment="1">
      <alignment horizontal="right" vertical="center"/>
      <protection/>
    </xf>
    <xf numFmtId="2" fontId="18" fillId="0" borderId="90" xfId="106" applyNumberFormat="1" applyFont="1" applyFill="1" applyBorder="1" applyAlignment="1">
      <alignment vertical="center"/>
      <protection/>
    </xf>
    <xf numFmtId="2" fontId="18" fillId="0" borderId="97" xfId="106" applyNumberFormat="1" applyFont="1" applyFill="1" applyBorder="1" applyAlignment="1">
      <alignment horizontal="right" vertical="center"/>
      <protection/>
    </xf>
    <xf numFmtId="164" fontId="17" fillId="0" borderId="55" xfId="106" applyNumberFormat="1" applyFont="1" applyFill="1" applyBorder="1" applyAlignment="1">
      <alignment horizontal="left" vertical="center" indent="1"/>
      <protection/>
    </xf>
    <xf numFmtId="3" fontId="18" fillId="0" borderId="57" xfId="106" applyNumberFormat="1" applyFont="1" applyFill="1" applyBorder="1" applyAlignment="1">
      <alignment horizontal="left" vertical="center"/>
      <protection/>
    </xf>
    <xf numFmtId="3" fontId="18" fillId="0" borderId="56" xfId="106" applyNumberFormat="1" applyFont="1" applyFill="1" applyBorder="1" applyAlignment="1">
      <alignment horizontal="left" vertical="center"/>
      <protection/>
    </xf>
    <xf numFmtId="3" fontId="18" fillId="0" borderId="55" xfId="106" applyNumberFormat="1" applyFont="1" applyFill="1" applyBorder="1" applyAlignment="1" quotePrefix="1">
      <alignment horizontal="center" vertical="center"/>
      <protection/>
    </xf>
    <xf numFmtId="3" fontId="18" fillId="0" borderId="37" xfId="106" applyNumberFormat="1" applyFont="1" applyFill="1" applyBorder="1" applyAlignment="1">
      <alignment horizontal="left" vertical="center"/>
      <protection/>
    </xf>
    <xf numFmtId="3" fontId="18" fillId="0" borderId="21" xfId="106" applyNumberFormat="1" applyFont="1" applyFill="1" applyBorder="1" applyAlignment="1" quotePrefix="1">
      <alignment horizontal="center" vertical="center"/>
      <protection/>
    </xf>
    <xf numFmtId="1" fontId="17" fillId="0" borderId="56" xfId="106" applyNumberFormat="1" applyFont="1" applyFill="1" applyBorder="1" applyAlignment="1" quotePrefix="1">
      <alignment horizontal="center" vertical="center"/>
      <protection/>
    </xf>
    <xf numFmtId="1" fontId="18" fillId="0" borderId="56" xfId="106" applyNumberFormat="1" applyFont="1" applyFill="1" applyBorder="1" applyAlignment="1">
      <alignment horizontal="center" vertical="center"/>
      <protection/>
    </xf>
    <xf numFmtId="3" fontId="18" fillId="0" borderId="56" xfId="106" applyNumberFormat="1" applyFont="1" applyFill="1" applyBorder="1" applyAlignment="1" quotePrefix="1">
      <alignment horizontal="center" vertical="center"/>
      <protection/>
    </xf>
    <xf numFmtId="3" fontId="24" fillId="0" borderId="57" xfId="106" applyNumberFormat="1" applyFont="1" applyFill="1" applyBorder="1" applyAlignment="1">
      <alignment horizontal="left" vertical="center"/>
      <protection/>
    </xf>
    <xf numFmtId="3" fontId="24" fillId="0" borderId="56" xfId="106" applyNumberFormat="1" applyFont="1" applyFill="1" applyBorder="1" applyAlignment="1">
      <alignment horizontal="center" vertical="center"/>
      <protection/>
    </xf>
    <xf numFmtId="1" fontId="24" fillId="0" borderId="56" xfId="106" applyNumberFormat="1" applyFont="1" applyFill="1" applyBorder="1" applyAlignment="1">
      <alignment horizontal="right" vertical="center"/>
      <protection/>
    </xf>
    <xf numFmtId="3" fontId="30" fillId="0" borderId="55" xfId="106" applyNumberFormat="1" applyFont="1" applyFill="1" applyBorder="1" applyAlignment="1">
      <alignment horizontal="left" vertical="center" indent="2"/>
      <protection/>
    </xf>
    <xf numFmtId="3" fontId="24" fillId="0" borderId="56" xfId="106" applyNumberFormat="1" applyFont="1" applyFill="1" applyBorder="1" applyAlignment="1">
      <alignment horizontal="right" vertical="center"/>
      <protection/>
    </xf>
    <xf numFmtId="3" fontId="29" fillId="0" borderId="56" xfId="106" applyNumberFormat="1" applyFont="1" applyFill="1" applyBorder="1" applyAlignment="1">
      <alignment horizontal="right" vertical="center"/>
      <protection/>
    </xf>
    <xf numFmtId="3" fontId="24" fillId="0" borderId="55" xfId="106" applyNumberFormat="1" applyFont="1" applyFill="1" applyBorder="1" applyAlignment="1" quotePrefix="1">
      <alignment horizontal="center" vertical="center"/>
      <protection/>
    </xf>
    <xf numFmtId="3" fontId="24" fillId="0" borderId="21" xfId="106" applyNumberFormat="1" applyFont="1" applyFill="1" applyBorder="1" applyAlignment="1" quotePrefix="1">
      <alignment horizontal="center" vertical="center"/>
      <protection/>
    </xf>
    <xf numFmtId="3" fontId="29" fillId="0" borderId="66" xfId="106" applyNumberFormat="1" applyFont="1" applyFill="1" applyBorder="1" applyAlignment="1">
      <alignment horizontal="center" vertical="center"/>
      <protection/>
    </xf>
    <xf numFmtId="3" fontId="24" fillId="0" borderId="55" xfId="106" applyNumberFormat="1" applyFont="1" applyFill="1" applyBorder="1" applyAlignment="1">
      <alignment horizontal="center" vertical="center"/>
      <protection/>
    </xf>
    <xf numFmtId="1" fontId="24" fillId="0" borderId="55" xfId="106" applyNumberFormat="1" applyFont="1" applyFill="1" applyBorder="1" applyAlignment="1">
      <alignment horizontal="right" vertical="center"/>
      <protection/>
    </xf>
    <xf numFmtId="3" fontId="24" fillId="0" borderId="55" xfId="106" applyNumberFormat="1" applyFont="1" applyFill="1" applyBorder="1" applyAlignment="1">
      <alignment vertical="center"/>
      <protection/>
    </xf>
    <xf numFmtId="3" fontId="24" fillId="0" borderId="55" xfId="106" applyNumberFormat="1" applyFont="1" applyFill="1" applyBorder="1" applyAlignment="1">
      <alignment horizontal="right" vertical="center"/>
      <protection/>
    </xf>
    <xf numFmtId="3" fontId="29" fillId="0" borderId="55" xfId="106" applyNumberFormat="1" applyFont="1" applyFill="1" applyBorder="1" applyAlignment="1">
      <alignment vertical="center"/>
      <protection/>
    </xf>
    <xf numFmtId="3" fontId="24" fillId="0" borderId="55" xfId="106" applyNumberFormat="1" applyFont="1" applyFill="1" applyBorder="1" applyAlignment="1">
      <alignment horizontal="left" vertical="center" indent="2"/>
      <protection/>
    </xf>
    <xf numFmtId="2" fontId="29" fillId="0" borderId="90" xfId="106" applyNumberFormat="1" applyFont="1" applyFill="1" applyBorder="1" applyAlignment="1">
      <alignment horizontal="right" vertical="center"/>
      <protection/>
    </xf>
    <xf numFmtId="2" fontId="29" fillId="0" borderId="98" xfId="106" applyNumberFormat="1" applyFont="1" applyFill="1" applyBorder="1" applyAlignment="1">
      <alignment horizontal="right" vertical="center"/>
      <protection/>
    </xf>
    <xf numFmtId="3" fontId="29" fillId="0" borderId="57" xfId="106" applyNumberFormat="1" applyFont="1" applyFill="1" applyBorder="1" applyAlignment="1">
      <alignment horizontal="center" vertical="center"/>
      <protection/>
    </xf>
    <xf numFmtId="3" fontId="30" fillId="0" borderId="56" xfId="106" applyNumberFormat="1" applyFont="1" applyFill="1" applyBorder="1" applyAlignment="1">
      <alignment horizontal="left" vertical="center" indent="2"/>
      <protection/>
    </xf>
    <xf numFmtId="3" fontId="29" fillId="0" borderId="56" xfId="106" applyNumberFormat="1" applyFont="1" applyFill="1" applyBorder="1" applyAlignment="1">
      <alignment vertical="center"/>
      <protection/>
    </xf>
    <xf numFmtId="3" fontId="24" fillId="0" borderId="56" xfId="106" applyNumberFormat="1" applyFont="1" applyFill="1" applyBorder="1" applyAlignment="1" quotePrefix="1">
      <alignment horizontal="center" vertical="center"/>
      <protection/>
    </xf>
    <xf numFmtId="3" fontId="24" fillId="0" borderId="56" xfId="106" applyNumberFormat="1" applyFont="1" applyFill="1" applyBorder="1" applyAlignment="1">
      <alignment horizontal="left" vertical="center" indent="2"/>
      <protection/>
    </xf>
    <xf numFmtId="3" fontId="24" fillId="0" borderId="56" xfId="106" applyNumberFormat="1" applyFont="1" applyFill="1" applyBorder="1" applyAlignment="1">
      <alignment vertical="center"/>
      <protection/>
    </xf>
    <xf numFmtId="3" fontId="22" fillId="0" borderId="56" xfId="106" applyNumberFormat="1" applyFont="1" applyFill="1" applyBorder="1" applyAlignment="1">
      <alignment vertical="center"/>
      <protection/>
    </xf>
    <xf numFmtId="1" fontId="24" fillId="0" borderId="56" xfId="106" applyNumberFormat="1" applyFont="1" applyFill="1" applyBorder="1" applyAlignment="1">
      <alignment horizontal="center" vertical="center"/>
      <protection/>
    </xf>
    <xf numFmtId="3" fontId="17" fillId="0" borderId="79" xfId="106" applyNumberFormat="1" applyFont="1" applyFill="1" applyBorder="1" applyAlignment="1">
      <alignment horizontal="left" vertical="center" indent="1"/>
      <protection/>
    </xf>
    <xf numFmtId="3" fontId="18" fillId="0" borderId="43" xfId="0" applyNumberFormat="1" applyFont="1" applyFill="1" applyBorder="1" applyAlignment="1">
      <alignment horizontal="right" vertical="center" shrinkToFit="1"/>
    </xf>
    <xf numFmtId="2" fontId="18" fillId="0" borderId="50" xfId="106" applyNumberFormat="1" applyFont="1" applyFill="1" applyBorder="1" applyAlignment="1">
      <alignment vertical="center"/>
      <protection/>
    </xf>
    <xf numFmtId="2" fontId="18" fillId="0" borderId="91" xfId="106" applyNumberFormat="1" applyFont="1" applyFill="1" applyBorder="1" applyAlignment="1">
      <alignment vertical="center"/>
      <protection/>
    </xf>
    <xf numFmtId="0" fontId="17" fillId="0" borderId="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6" xfId="0" applyFont="1" applyBorder="1" applyAlignment="1">
      <alignment vertical="center" wrapText="1"/>
    </xf>
    <xf numFmtId="0" fontId="17" fillId="0" borderId="81" xfId="0" applyFont="1" applyBorder="1" applyAlignment="1">
      <alignment vertical="center" wrapText="1"/>
    </xf>
    <xf numFmtId="0" fontId="17" fillId="0" borderId="99" xfId="0" applyFont="1" applyFill="1" applyBorder="1" applyAlignment="1">
      <alignment horizontal="center" vertical="center" wrapText="1"/>
    </xf>
    <xf numFmtId="0" fontId="17" fillId="0" borderId="100" xfId="0" applyFont="1" applyBorder="1" applyAlignment="1">
      <alignment/>
    </xf>
    <xf numFmtId="0" fontId="17" fillId="0" borderId="101" xfId="0" applyFont="1" applyBorder="1" applyAlignment="1">
      <alignment/>
    </xf>
    <xf numFmtId="0" fontId="17" fillId="0" borderId="102" xfId="0" applyFont="1" applyBorder="1" applyAlignment="1">
      <alignment/>
    </xf>
    <xf numFmtId="0" fontId="24" fillId="0" borderId="3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3" fontId="24" fillId="0" borderId="20" xfId="0" applyNumberFormat="1" applyFont="1" applyBorder="1" applyAlignment="1">
      <alignment vertical="center" wrapText="1"/>
    </xf>
    <xf numFmtId="3" fontId="29" fillId="0" borderId="38" xfId="0" applyNumberFormat="1" applyFont="1" applyBorder="1" applyAlignment="1">
      <alignment vertical="center" wrapText="1"/>
    </xf>
    <xf numFmtId="0" fontId="34" fillId="0" borderId="0" xfId="0" applyFont="1" applyAlignment="1">
      <alignment/>
    </xf>
    <xf numFmtId="0" fontId="24" fillId="0" borderId="46" xfId="0" applyFont="1" applyBorder="1" applyAlignment="1">
      <alignment horizontal="center" vertical="center" wrapText="1"/>
    </xf>
    <xf numFmtId="3" fontId="24" fillId="0" borderId="44" xfId="106" applyNumberFormat="1" applyFont="1" applyFill="1" applyBorder="1" applyAlignment="1">
      <alignment horizontal="center" vertical="center"/>
      <protection/>
    </xf>
    <xf numFmtId="0" fontId="17" fillId="0" borderId="80" xfId="0" applyFont="1" applyBorder="1" applyAlignment="1">
      <alignment vertical="center" wrapText="1"/>
    </xf>
    <xf numFmtId="0" fontId="17" fillId="0" borderId="103" xfId="0" applyFont="1" applyBorder="1" applyAlignment="1">
      <alignment horizontal="center" vertical="center" wrapText="1"/>
    </xf>
    <xf numFmtId="3" fontId="18" fillId="0" borderId="103" xfId="0" applyNumberFormat="1" applyFont="1" applyBorder="1" applyAlignment="1">
      <alignment vertical="center" wrapText="1"/>
    </xf>
    <xf numFmtId="3" fontId="18" fillId="0" borderId="88" xfId="0" applyNumberFormat="1" applyFont="1" applyBorder="1" applyAlignment="1">
      <alignment vertical="center" wrapText="1"/>
    </xf>
    <xf numFmtId="0" fontId="17" fillId="0" borderId="86" xfId="0" applyFont="1" applyBorder="1" applyAlignment="1">
      <alignment vertical="center" wrapText="1"/>
    </xf>
    <xf numFmtId="3" fontId="17" fillId="0" borderId="21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justify" vertical="center"/>
    </xf>
    <xf numFmtId="3" fontId="18" fillId="0" borderId="43" xfId="0" applyNumberFormat="1" applyFont="1" applyFill="1" applyBorder="1" applyAlignment="1">
      <alignment horizontal="center" vertical="center"/>
    </xf>
    <xf numFmtId="3" fontId="18" fillId="0" borderId="52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 quotePrefix="1">
      <alignment horizontal="left" vertical="center" indent="1"/>
    </xf>
    <xf numFmtId="3" fontId="12" fillId="0" borderId="0" xfId="0" applyNumberFormat="1" applyFont="1" applyFill="1" applyBorder="1" applyAlignment="1">
      <alignment horizontal="left" vertical="center"/>
    </xf>
    <xf numFmtId="3" fontId="17" fillId="0" borderId="101" xfId="0" applyNumberFormat="1" applyFont="1" applyFill="1" applyBorder="1" applyAlignment="1">
      <alignment vertical="center" wrapText="1"/>
    </xf>
    <xf numFmtId="3" fontId="17" fillId="0" borderId="104" xfId="106" applyNumberFormat="1" applyFont="1" applyFill="1" applyBorder="1" applyAlignment="1" quotePrefix="1">
      <alignment horizontal="center" vertical="center"/>
      <protection/>
    </xf>
    <xf numFmtId="3" fontId="18" fillId="0" borderId="105" xfId="106" applyNumberFormat="1" applyFont="1" applyFill="1" applyBorder="1" applyAlignment="1">
      <alignment horizontal="center" vertical="center"/>
      <protection/>
    </xf>
    <xf numFmtId="3" fontId="18" fillId="0" borderId="70" xfId="106" applyNumberFormat="1" applyFont="1" applyFill="1" applyBorder="1" applyAlignment="1">
      <alignment horizontal="center" vertical="center"/>
      <protection/>
    </xf>
    <xf numFmtId="3" fontId="18" fillId="0" borderId="42" xfId="0" applyNumberFormat="1" applyFont="1" applyFill="1" applyBorder="1" applyAlignment="1">
      <alignment horizontal="right" vertical="center"/>
    </xf>
    <xf numFmtId="3" fontId="18" fillId="0" borderId="106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1" fontId="15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shrinkToFit="1"/>
    </xf>
    <xf numFmtId="0" fontId="15" fillId="0" borderId="27" xfId="0" applyFont="1" applyFill="1" applyBorder="1" applyAlignment="1">
      <alignment horizontal="center" vertical="center" shrinkToFit="1"/>
    </xf>
    <xf numFmtId="49" fontId="15" fillId="0" borderId="46" xfId="0" applyNumberFormat="1" applyFont="1" applyFill="1" applyBorder="1" applyAlignment="1">
      <alignment horizontal="left" vertical="center" indent="1" shrinkToFit="1"/>
    </xf>
    <xf numFmtId="1" fontId="15" fillId="0" borderId="0" xfId="0" applyNumberFormat="1" applyFont="1" applyFill="1" applyBorder="1" applyAlignment="1" quotePrefix="1">
      <alignment horizontal="center" vertical="center" shrinkToFit="1"/>
    </xf>
    <xf numFmtId="3" fontId="24" fillId="0" borderId="34" xfId="0" applyNumberFormat="1" applyFont="1" applyFill="1" applyBorder="1" applyAlignment="1">
      <alignment horizontal="right" vertical="center"/>
    </xf>
    <xf numFmtId="3" fontId="18" fillId="0" borderId="107" xfId="0" applyNumberFormat="1" applyFont="1" applyFill="1" applyBorder="1" applyAlignment="1">
      <alignment horizontal="right" vertical="center"/>
    </xf>
    <xf numFmtId="3" fontId="18" fillId="0" borderId="22" xfId="0" applyNumberFormat="1" applyFont="1" applyFill="1" applyBorder="1" applyAlignment="1">
      <alignment horizontal="right" vertical="center"/>
    </xf>
    <xf numFmtId="3" fontId="18" fillId="0" borderId="22" xfId="0" applyNumberFormat="1" applyFont="1" applyFill="1" applyBorder="1" applyAlignment="1">
      <alignment horizontal="right" shrinkToFit="1"/>
    </xf>
    <xf numFmtId="3" fontId="18" fillId="0" borderId="21" xfId="0" applyNumberFormat="1" applyFont="1" applyFill="1" applyBorder="1" applyAlignment="1">
      <alignment horizontal="right" shrinkToFit="1"/>
    </xf>
    <xf numFmtId="3" fontId="18" fillId="0" borderId="43" xfId="0" applyNumberFormat="1" applyFont="1" applyFill="1" applyBorder="1" applyAlignment="1">
      <alignment horizontal="right" shrinkToFit="1"/>
    </xf>
    <xf numFmtId="3" fontId="18" fillId="0" borderId="40" xfId="0" applyNumberFormat="1" applyFont="1" applyFill="1" applyBorder="1" applyAlignment="1">
      <alignment horizontal="right" vertical="center"/>
    </xf>
    <xf numFmtId="2" fontId="18" fillId="0" borderId="91" xfId="106" applyNumberFormat="1" applyFont="1" applyFill="1" applyBorder="1" applyAlignment="1">
      <alignment horizontal="right" vertical="center"/>
      <protection/>
    </xf>
    <xf numFmtId="3" fontId="18" fillId="0" borderId="72" xfId="106" applyNumberFormat="1" applyFont="1" applyFill="1" applyBorder="1" applyAlignment="1" quotePrefix="1">
      <alignment horizontal="center" vertical="center"/>
      <protection/>
    </xf>
    <xf numFmtId="2" fontId="18" fillId="0" borderId="94" xfId="106" applyNumberFormat="1" applyFont="1" applyFill="1" applyBorder="1" applyAlignment="1">
      <alignment horizontal="right" vertical="center"/>
      <protection/>
    </xf>
    <xf numFmtId="3" fontId="18" fillId="0" borderId="51" xfId="106" applyNumberFormat="1" applyFont="1" applyFill="1" applyBorder="1" applyAlignment="1" quotePrefix="1">
      <alignment horizontal="center" vertical="center"/>
      <protection/>
    </xf>
    <xf numFmtId="2" fontId="18" fillId="0" borderId="108" xfId="106" applyNumberFormat="1" applyFont="1" applyFill="1" applyBorder="1" applyAlignment="1">
      <alignment horizontal="right" vertical="center"/>
      <protection/>
    </xf>
    <xf numFmtId="3" fontId="18" fillId="0" borderId="109" xfId="106" applyNumberFormat="1" applyFont="1" applyFill="1" applyBorder="1" applyAlignment="1">
      <alignment horizontal="center" vertical="center"/>
      <protection/>
    </xf>
    <xf numFmtId="3" fontId="18" fillId="0" borderId="73" xfId="106" applyNumberFormat="1" applyFont="1" applyFill="1" applyBorder="1" applyAlignment="1">
      <alignment horizontal="center" vertical="center"/>
      <protection/>
    </xf>
    <xf numFmtId="3" fontId="18" fillId="0" borderId="52" xfId="106" applyNumberFormat="1" applyFont="1" applyFill="1" applyBorder="1" applyAlignment="1" quotePrefix="1">
      <alignment horizontal="center" vertical="center"/>
      <protection/>
    </xf>
    <xf numFmtId="2" fontId="18" fillId="0" borderId="110" xfId="106" applyNumberFormat="1" applyFont="1" applyFill="1" applyBorder="1" applyAlignment="1">
      <alignment horizontal="right" vertical="center"/>
      <protection/>
    </xf>
    <xf numFmtId="3" fontId="18" fillId="0" borderId="39" xfId="106" applyNumberFormat="1" applyFont="1" applyFill="1" applyBorder="1" applyAlignment="1">
      <alignment horizontal="center" vertical="center"/>
      <protection/>
    </xf>
    <xf numFmtId="3" fontId="18" fillId="0" borderId="47" xfId="106" applyNumberFormat="1" applyFont="1" applyFill="1" applyBorder="1" applyAlignment="1">
      <alignment horizontal="center" vertical="center"/>
      <protection/>
    </xf>
    <xf numFmtId="3" fontId="17" fillId="0" borderId="20" xfId="0" applyNumberFormat="1" applyFont="1" applyFill="1" applyBorder="1" applyAlignment="1">
      <alignment horizontal="justify" vertical="center" shrinkToFit="1"/>
    </xf>
    <xf numFmtId="2" fontId="18" fillId="0" borderId="50" xfId="106" applyNumberFormat="1" applyFont="1" applyFill="1" applyBorder="1" applyAlignment="1">
      <alignment horizontal="right" vertical="center"/>
      <protection/>
    </xf>
    <xf numFmtId="2" fontId="18" fillId="0" borderId="98" xfId="106" applyNumberFormat="1" applyFont="1" applyFill="1" applyBorder="1" applyAlignment="1">
      <alignment horizontal="right" vertical="center"/>
      <protection/>
    </xf>
    <xf numFmtId="2" fontId="29" fillId="0" borderId="50" xfId="106" applyNumberFormat="1" applyFont="1" applyFill="1" applyBorder="1" applyAlignment="1">
      <alignment horizontal="right" vertical="center"/>
      <protection/>
    </xf>
    <xf numFmtId="2" fontId="18" fillId="0" borderId="111" xfId="106" applyNumberFormat="1" applyFont="1" applyFill="1" applyBorder="1" applyAlignment="1">
      <alignment horizontal="right" vertical="center"/>
      <protection/>
    </xf>
    <xf numFmtId="2" fontId="18" fillId="0" borderId="108" xfId="106" applyNumberFormat="1" applyFont="1" applyFill="1" applyBorder="1" applyAlignment="1">
      <alignment vertical="center"/>
      <protection/>
    </xf>
    <xf numFmtId="2" fontId="18" fillId="0" borderId="0" xfId="106" applyNumberFormat="1" applyFont="1" applyFill="1" applyBorder="1" applyAlignment="1">
      <alignment horizontal="right" vertical="center"/>
      <protection/>
    </xf>
    <xf numFmtId="2" fontId="18" fillId="0" borderId="41" xfId="106" applyNumberFormat="1" applyFont="1" applyFill="1" applyBorder="1" applyAlignment="1">
      <alignment horizontal="right" vertical="center"/>
      <protection/>
    </xf>
    <xf numFmtId="2" fontId="16" fillId="0" borderId="97" xfId="106" applyNumberFormat="1" applyFont="1" applyFill="1" applyBorder="1" applyAlignment="1">
      <alignment horizontal="center" vertical="center"/>
      <protection/>
    </xf>
    <xf numFmtId="2" fontId="16" fillId="0" borderId="50" xfId="106" applyNumberFormat="1" applyFont="1" applyFill="1" applyBorder="1" applyAlignment="1">
      <alignment horizontal="center" vertical="center"/>
      <protection/>
    </xf>
    <xf numFmtId="2" fontId="16" fillId="0" borderId="108" xfId="106" applyNumberFormat="1" applyFont="1" applyFill="1" applyBorder="1" applyAlignment="1">
      <alignment horizontal="right" vertical="center"/>
      <protection/>
    </xf>
    <xf numFmtId="2" fontId="18" fillId="0" borderId="60" xfId="106" applyNumberFormat="1" applyFont="1" applyFill="1" applyBorder="1" applyAlignment="1">
      <alignment horizontal="right" vertical="center"/>
      <protection/>
    </xf>
    <xf numFmtId="2" fontId="18" fillId="0" borderId="112" xfId="106" applyNumberFormat="1" applyFont="1" applyFill="1" applyBorder="1" applyAlignment="1">
      <alignment horizontal="right" vertical="center"/>
      <protection/>
    </xf>
    <xf numFmtId="2" fontId="17" fillId="0" borderId="91" xfId="106" applyNumberFormat="1" applyFont="1" applyFill="1" applyBorder="1" applyAlignment="1">
      <alignment horizontal="right" vertical="center"/>
      <protection/>
    </xf>
    <xf numFmtId="2" fontId="33" fillId="0" borderId="91" xfId="106" applyNumberFormat="1" applyFont="1" applyFill="1" applyBorder="1" applyAlignment="1">
      <alignment horizontal="right" vertical="center"/>
      <protection/>
    </xf>
    <xf numFmtId="2" fontId="29" fillId="0" borderId="91" xfId="106" applyNumberFormat="1" applyFont="1" applyFill="1" applyBorder="1" applyAlignment="1">
      <alignment horizontal="right" vertical="center"/>
      <protection/>
    </xf>
    <xf numFmtId="2" fontId="18" fillId="0" borderId="113" xfId="106" applyNumberFormat="1" applyFont="1" applyFill="1" applyBorder="1" applyAlignment="1">
      <alignment horizontal="right" vertical="center"/>
      <protection/>
    </xf>
    <xf numFmtId="2" fontId="18" fillId="0" borderId="48" xfId="106" applyNumberFormat="1" applyFont="1" applyFill="1" applyBorder="1" applyAlignment="1">
      <alignment horizontal="right" vertical="center"/>
      <protection/>
    </xf>
    <xf numFmtId="2" fontId="18" fillId="0" borderId="88" xfId="106" applyNumberFormat="1" applyFont="1" applyFill="1" applyBorder="1" applyAlignment="1">
      <alignment horizontal="right" vertical="center"/>
      <protection/>
    </xf>
    <xf numFmtId="2" fontId="29" fillId="0" borderId="98" xfId="106" applyNumberFormat="1" applyFont="1" applyFill="1" applyBorder="1" applyAlignment="1">
      <alignment vertical="center"/>
      <protection/>
    </xf>
    <xf numFmtId="2" fontId="18" fillId="0" borderId="98" xfId="106" applyNumberFormat="1" applyFont="1" applyFill="1" applyBorder="1" applyAlignment="1">
      <alignment vertical="center"/>
      <protection/>
    </xf>
    <xf numFmtId="2" fontId="18" fillId="0" borderId="0" xfId="106" applyNumberFormat="1" applyFont="1" applyFill="1" applyAlignment="1">
      <alignment horizontal="right" vertical="center"/>
      <protection/>
    </xf>
    <xf numFmtId="3" fontId="18" fillId="0" borderId="43" xfId="0" applyNumberFormat="1" applyFont="1" applyFill="1" applyBorder="1" applyAlignment="1">
      <alignment horizontal="right" vertical="center"/>
    </xf>
    <xf numFmtId="3" fontId="18" fillId="0" borderId="112" xfId="0" applyNumberFormat="1" applyFont="1" applyFill="1" applyBorder="1" applyAlignment="1">
      <alignment horizontal="right" vertical="center"/>
    </xf>
    <xf numFmtId="3" fontId="18" fillId="0" borderId="114" xfId="0" applyNumberFormat="1" applyFont="1" applyFill="1" applyBorder="1" applyAlignment="1">
      <alignment horizontal="right" vertical="center"/>
    </xf>
    <xf numFmtId="3" fontId="18" fillId="0" borderId="115" xfId="0" applyNumberFormat="1" applyFont="1" applyFill="1" applyBorder="1" applyAlignment="1">
      <alignment horizontal="right" shrinkToFit="1"/>
    </xf>
    <xf numFmtId="3" fontId="18" fillId="0" borderId="115" xfId="0" applyNumberFormat="1" applyFont="1" applyFill="1" applyBorder="1" applyAlignment="1">
      <alignment horizontal="right" vertical="center" shrinkToFit="1"/>
    </xf>
    <xf numFmtId="3" fontId="18" fillId="0" borderId="116" xfId="0" applyNumberFormat="1" applyFont="1" applyFill="1" applyBorder="1" applyAlignment="1">
      <alignment horizontal="right" shrinkToFit="1"/>
    </xf>
    <xf numFmtId="3" fontId="18" fillId="0" borderId="117" xfId="0" applyNumberFormat="1" applyFont="1" applyFill="1" applyBorder="1" applyAlignment="1">
      <alignment horizontal="right" shrinkToFit="1"/>
    </xf>
    <xf numFmtId="3" fontId="18" fillId="0" borderId="112" xfId="0" applyNumberFormat="1" applyFont="1" applyFill="1" applyBorder="1" applyAlignment="1">
      <alignment horizontal="right" shrinkToFit="1"/>
    </xf>
    <xf numFmtId="3" fontId="18" fillId="0" borderId="50" xfId="0" applyNumberFormat="1" applyFont="1" applyFill="1" applyBorder="1" applyAlignment="1">
      <alignment horizontal="right" shrinkToFit="1"/>
    </xf>
    <xf numFmtId="3" fontId="18" fillId="0" borderId="52" xfId="0" applyNumberFormat="1" applyFont="1" applyFill="1" applyBorder="1" applyAlignment="1">
      <alignment horizontal="right" shrinkToFit="1"/>
    </xf>
    <xf numFmtId="3" fontId="18" fillId="0" borderId="59" xfId="0" applyNumberFormat="1" applyFont="1" applyFill="1" applyBorder="1" applyAlignment="1">
      <alignment horizontal="right" vertical="center" shrinkToFit="1"/>
    </xf>
    <xf numFmtId="3" fontId="18" fillId="0" borderId="118" xfId="0" applyNumberFormat="1" applyFont="1" applyFill="1" applyBorder="1" applyAlignment="1">
      <alignment horizontal="right" vertical="center" shrinkToFit="1"/>
    </xf>
    <xf numFmtId="3" fontId="24" fillId="0" borderId="19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shrinkToFit="1"/>
    </xf>
    <xf numFmtId="3" fontId="18" fillId="0" borderId="119" xfId="0" applyNumberFormat="1" applyFont="1" applyFill="1" applyBorder="1" applyAlignment="1">
      <alignment horizontal="right" vertical="center"/>
    </xf>
    <xf numFmtId="3" fontId="18" fillId="0" borderId="120" xfId="0" applyNumberFormat="1" applyFont="1" applyFill="1" applyBorder="1" applyAlignment="1">
      <alignment horizontal="right" vertical="center"/>
    </xf>
    <xf numFmtId="3" fontId="18" fillId="0" borderId="52" xfId="0" applyNumberFormat="1" applyFont="1" applyFill="1" applyBorder="1" applyAlignment="1">
      <alignment horizontal="right" vertical="center" shrinkToFit="1"/>
    </xf>
    <xf numFmtId="3" fontId="18" fillId="0" borderId="116" xfId="0" applyNumberFormat="1" applyFont="1" applyFill="1" applyBorder="1" applyAlignment="1">
      <alignment horizontal="right" vertical="center" shrinkToFit="1"/>
    </xf>
    <xf numFmtId="3" fontId="18" fillId="0" borderId="45" xfId="0" applyNumberFormat="1" applyFont="1" applyFill="1" applyBorder="1" applyAlignment="1">
      <alignment horizontal="right" vertical="center" shrinkToFit="1"/>
    </xf>
    <xf numFmtId="3" fontId="18" fillId="0" borderId="117" xfId="0" applyNumberFormat="1" applyFont="1" applyFill="1" applyBorder="1" applyAlignment="1">
      <alignment horizontal="right" vertical="center" shrinkToFi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7" fillId="0" borderId="10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3" fontId="16" fillId="0" borderId="121" xfId="106" applyNumberFormat="1" applyFont="1" applyFill="1" applyBorder="1" applyAlignment="1">
      <alignment horizontal="center" vertical="center"/>
      <protection/>
    </xf>
    <xf numFmtId="3" fontId="16" fillId="0" borderId="92" xfId="106" applyNumberFormat="1" applyFont="1" applyFill="1" applyBorder="1" applyAlignment="1">
      <alignment horizontal="center" vertical="center"/>
      <protection/>
    </xf>
    <xf numFmtId="3" fontId="16" fillId="0" borderId="122" xfId="106" applyNumberFormat="1" applyFont="1" applyFill="1" applyBorder="1" applyAlignment="1">
      <alignment horizontal="center" vertical="center"/>
      <protection/>
    </xf>
    <xf numFmtId="3" fontId="17" fillId="0" borderId="0" xfId="106" applyNumberFormat="1" applyFont="1" applyFill="1" applyBorder="1" applyAlignment="1">
      <alignment horizontal="right" vertical="center"/>
      <protection/>
    </xf>
    <xf numFmtId="3" fontId="24" fillId="0" borderId="0" xfId="106" applyNumberFormat="1" applyFont="1" applyFill="1" applyBorder="1" applyAlignment="1">
      <alignment horizontal="right" vertical="center"/>
      <protection/>
    </xf>
    <xf numFmtId="3" fontId="17" fillId="0" borderId="55" xfId="106" applyNumberFormat="1" applyFont="1" applyFill="1" applyBorder="1" applyAlignment="1" quotePrefix="1">
      <alignment horizontal="left" vertical="top" indent="1"/>
      <protection/>
    </xf>
    <xf numFmtId="3" fontId="17" fillId="0" borderId="56" xfId="106" applyNumberFormat="1" applyFont="1" applyFill="1" applyBorder="1" applyAlignment="1" quotePrefix="1">
      <alignment horizontal="left" vertical="top" indent="1"/>
      <protection/>
    </xf>
    <xf numFmtId="3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40" fillId="0" borderId="0" xfId="0" applyNumberFormat="1" applyFont="1" applyFill="1" applyBorder="1" applyAlignment="1">
      <alignment horizontal="left" vertical="center"/>
    </xf>
    <xf numFmtId="3" fontId="11" fillId="0" borderId="41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2" fillId="0" borderId="67" xfId="0" applyNumberFormat="1" applyFont="1" applyFill="1" applyBorder="1" applyAlignment="1">
      <alignment vertical="center"/>
    </xf>
    <xf numFmtId="3" fontId="12" fillId="0" borderId="30" xfId="0" applyNumberFormat="1" applyFont="1" applyFill="1" applyBorder="1" applyAlignment="1">
      <alignment vertical="center"/>
    </xf>
    <xf numFmtId="3" fontId="12" fillId="0" borderId="41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11" fillId="0" borderId="67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7" fillId="0" borderId="123" xfId="0" applyNumberFormat="1" applyFont="1" applyFill="1" applyBorder="1" applyAlignment="1">
      <alignment vertical="center"/>
    </xf>
    <xf numFmtId="3" fontId="140" fillId="0" borderId="123" xfId="0" applyNumberFormat="1" applyFont="1" applyFill="1" applyBorder="1" applyAlignment="1">
      <alignment horizontal="left" vertical="center"/>
    </xf>
    <xf numFmtId="3" fontId="140" fillId="0" borderId="35" xfId="0" applyNumberFormat="1" applyFont="1" applyFill="1" applyBorder="1" applyAlignment="1">
      <alignment horizontal="left" vertical="center"/>
    </xf>
    <xf numFmtId="3" fontId="11" fillId="0" borderId="124" xfId="0" applyNumberFormat="1" applyFont="1" applyFill="1" applyBorder="1" applyAlignment="1">
      <alignment horizontal="center" vertical="center"/>
    </xf>
    <xf numFmtId="3" fontId="11" fillId="0" borderId="125" xfId="0" applyNumberFormat="1" applyFont="1" applyFill="1" applyBorder="1" applyAlignment="1">
      <alignment horizontal="center" vertical="center"/>
    </xf>
    <xf numFmtId="3" fontId="22" fillId="0" borderId="29" xfId="0" applyNumberFormat="1" applyFont="1" applyFill="1" applyBorder="1" applyAlignment="1">
      <alignment horizontal="center" vertical="center"/>
    </xf>
    <xf numFmtId="3" fontId="22" fillId="0" borderId="46" xfId="0" applyNumberFormat="1" applyFont="1" applyFill="1" applyBorder="1" applyAlignment="1">
      <alignment horizontal="center" vertical="center"/>
    </xf>
    <xf numFmtId="3" fontId="11" fillId="0" borderId="46" xfId="0" applyNumberFormat="1" applyFont="1" applyFill="1" applyBorder="1" applyAlignment="1">
      <alignment horizontal="center" vertical="center"/>
    </xf>
    <xf numFmtId="3" fontId="24" fillId="0" borderId="44" xfId="0" applyNumberFormat="1" applyFont="1" applyFill="1" applyBorder="1" applyAlignment="1">
      <alignment horizontal="right" vertical="center"/>
    </xf>
    <xf numFmtId="3" fontId="22" fillId="0" borderId="126" xfId="0" applyNumberFormat="1" applyFont="1" applyFill="1" applyBorder="1" applyAlignment="1">
      <alignment horizontal="center" vertical="center"/>
    </xf>
    <xf numFmtId="3" fontId="22" fillId="0" borderId="127" xfId="0" applyNumberFormat="1" applyFont="1" applyFill="1" applyBorder="1" applyAlignment="1">
      <alignment horizontal="center" vertical="center"/>
    </xf>
    <xf numFmtId="3" fontId="11" fillId="0" borderId="127" xfId="0" applyNumberFormat="1" applyFont="1" applyFill="1" applyBorder="1" applyAlignment="1">
      <alignment horizontal="center" vertical="center"/>
    </xf>
    <xf numFmtId="3" fontId="18" fillId="0" borderId="116" xfId="0" applyNumberFormat="1" applyFont="1" applyFill="1" applyBorder="1" applyAlignment="1">
      <alignment horizontal="right" vertical="center"/>
    </xf>
    <xf numFmtId="3" fontId="18" fillId="0" borderId="128" xfId="0" applyNumberFormat="1" applyFont="1" applyFill="1" applyBorder="1" applyAlignment="1">
      <alignment horizontal="right" vertical="center"/>
    </xf>
    <xf numFmtId="3" fontId="18" fillId="0" borderId="117" xfId="0" applyNumberFormat="1" applyFont="1" applyFill="1" applyBorder="1" applyAlignment="1">
      <alignment horizontal="right" vertical="center"/>
    </xf>
    <xf numFmtId="3" fontId="22" fillId="0" borderId="25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41" fillId="0" borderId="0" xfId="0" applyNumberFormat="1" applyFont="1" applyFill="1" applyBorder="1" applyAlignment="1">
      <alignment horizontal="right" vertical="center"/>
    </xf>
    <xf numFmtId="3" fontId="141" fillId="0" borderId="42" xfId="0" applyNumberFormat="1" applyFont="1" applyFill="1" applyBorder="1" applyAlignment="1">
      <alignment horizontal="right" vertical="center"/>
    </xf>
    <xf numFmtId="3" fontId="18" fillId="0" borderId="123" xfId="0" applyNumberFormat="1" applyFont="1" applyFill="1" applyBorder="1" applyAlignment="1">
      <alignment horizontal="left" vertical="center"/>
    </xf>
    <xf numFmtId="3" fontId="18" fillId="47" borderId="0" xfId="0" applyNumberFormat="1" applyFont="1" applyFill="1" applyBorder="1" applyAlignment="1">
      <alignment horizontal="left" vertical="center"/>
    </xf>
    <xf numFmtId="3" fontId="18" fillId="0" borderId="42" xfId="0" applyNumberFormat="1" applyFont="1" applyFill="1" applyBorder="1" applyAlignment="1">
      <alignment horizontal="left" vertical="center"/>
    </xf>
    <xf numFmtId="3" fontId="18" fillId="47" borderId="44" xfId="0" applyNumberFormat="1" applyFont="1" applyFill="1" applyBorder="1" applyAlignment="1">
      <alignment horizontal="right" vertical="center"/>
    </xf>
    <xf numFmtId="3" fontId="23" fillId="0" borderId="29" xfId="0" applyNumberFormat="1" applyFont="1" applyFill="1" applyBorder="1" applyAlignment="1">
      <alignment horizontal="center" vertical="center"/>
    </xf>
    <xf numFmtId="3" fontId="11" fillId="0" borderId="46" xfId="0" applyNumberFormat="1" applyFont="1" applyFill="1" applyBorder="1" applyAlignment="1">
      <alignment horizontal="center" vertical="center"/>
    </xf>
    <xf numFmtId="3" fontId="24" fillId="0" borderId="34" xfId="0" applyNumberFormat="1" applyFont="1" applyFill="1" applyBorder="1" applyAlignment="1" quotePrefix="1">
      <alignment horizontal="left" vertical="center" indent="1"/>
    </xf>
    <xf numFmtId="3" fontId="24" fillId="47" borderId="129" xfId="0" applyNumberFormat="1" applyFont="1" applyFill="1" applyBorder="1" applyAlignment="1">
      <alignment horizontal="right" vertical="center"/>
    </xf>
    <xf numFmtId="3" fontId="24" fillId="0" borderId="49" xfId="0" applyNumberFormat="1" applyFont="1" applyFill="1" applyBorder="1" applyAlignment="1">
      <alignment horizontal="right" vertical="center"/>
    </xf>
    <xf numFmtId="3" fontId="24" fillId="47" borderId="44" xfId="0" applyNumberFormat="1" applyFont="1" applyFill="1" applyBorder="1" applyAlignment="1">
      <alignment horizontal="right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7" fillId="47" borderId="130" xfId="0" applyNumberFormat="1" applyFont="1" applyFill="1" applyBorder="1" applyAlignment="1">
      <alignment horizontal="right" vertical="center"/>
    </xf>
    <xf numFmtId="3" fontId="17" fillId="0" borderId="131" xfId="0" applyNumberFormat="1" applyFont="1" applyFill="1" applyBorder="1" applyAlignment="1">
      <alignment horizontal="right" vertical="center"/>
    </xf>
    <xf numFmtId="3" fontId="24" fillId="47" borderId="92" xfId="0" applyNumberFormat="1" applyFont="1" applyFill="1" applyBorder="1" applyAlignment="1">
      <alignment horizontal="right" vertical="center"/>
    </xf>
    <xf numFmtId="49" fontId="11" fillId="0" borderId="46" xfId="0" applyNumberFormat="1" applyFont="1" applyFill="1" applyBorder="1" applyAlignment="1">
      <alignment horizontal="center" vertical="center"/>
    </xf>
    <xf numFmtId="3" fontId="17" fillId="47" borderId="44" xfId="0" applyNumberFormat="1" applyFont="1" applyFill="1" applyBorder="1" applyAlignment="1">
      <alignment horizontal="right" vertical="center"/>
    </xf>
    <xf numFmtId="3" fontId="17" fillId="0" borderId="38" xfId="0" applyNumberFormat="1" applyFont="1" applyFill="1" applyBorder="1" applyAlignment="1">
      <alignment horizontal="right" vertical="center"/>
    </xf>
    <xf numFmtId="3" fontId="17" fillId="47" borderId="129" xfId="0" applyNumberFormat="1" applyFont="1" applyFill="1" applyBorder="1" applyAlignment="1">
      <alignment horizontal="right" vertical="center"/>
    </xf>
    <xf numFmtId="3" fontId="17" fillId="0" borderId="21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horizontal="center" vertical="center"/>
    </xf>
    <xf numFmtId="3" fontId="17" fillId="0" borderId="49" xfId="0" applyNumberFormat="1" applyFont="1" applyFill="1" applyBorder="1" applyAlignment="1">
      <alignment horizontal="right" vertical="center"/>
    </xf>
    <xf numFmtId="3" fontId="17" fillId="0" borderId="50" xfId="0" applyNumberFormat="1" applyFont="1" applyFill="1" applyBorder="1" applyAlignment="1">
      <alignment horizontal="right" vertical="center"/>
    </xf>
    <xf numFmtId="3" fontId="141" fillId="47" borderId="106" xfId="0" applyNumberFormat="1" applyFont="1" applyFill="1" applyBorder="1" applyAlignment="1">
      <alignment horizontal="right" vertical="center"/>
    </xf>
    <xf numFmtId="3" fontId="18" fillId="0" borderId="132" xfId="0" applyNumberFormat="1" applyFont="1" applyFill="1" applyBorder="1" applyAlignment="1">
      <alignment horizontal="right" vertical="center"/>
    </xf>
    <xf numFmtId="3" fontId="18" fillId="0" borderId="124" xfId="0" applyNumberFormat="1" applyFont="1" applyFill="1" applyBorder="1" applyAlignment="1">
      <alignment horizontal="center" vertical="center"/>
    </xf>
    <xf numFmtId="3" fontId="17" fillId="0" borderId="133" xfId="0" applyNumberFormat="1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horizontal="center" vertical="center"/>
    </xf>
    <xf numFmtId="3" fontId="141" fillId="47" borderId="20" xfId="0" applyNumberFormat="1" applyFont="1" applyFill="1" applyBorder="1" applyAlignment="1">
      <alignment horizontal="right" vertical="center"/>
    </xf>
    <xf numFmtId="3" fontId="17" fillId="0" borderId="44" xfId="0" applyNumberFormat="1" applyFont="1" applyFill="1" applyBorder="1" applyAlignment="1">
      <alignment horizontal="right" vertical="center"/>
    </xf>
    <xf numFmtId="3" fontId="141" fillId="47" borderId="19" xfId="0" applyNumberFormat="1" applyFont="1" applyFill="1" applyBorder="1" applyAlignment="1">
      <alignment horizontal="right" vertical="center"/>
    </xf>
    <xf numFmtId="3" fontId="17" fillId="0" borderId="130" xfId="0" applyNumberFormat="1" applyFont="1" applyFill="1" applyBorder="1" applyAlignment="1">
      <alignment horizontal="right" vertical="center"/>
    </xf>
    <xf numFmtId="3" fontId="18" fillId="0" borderId="131" xfId="0" applyNumberFormat="1" applyFont="1" applyFill="1" applyBorder="1" applyAlignment="1">
      <alignment horizontal="right" vertical="center"/>
    </xf>
    <xf numFmtId="3" fontId="17" fillId="0" borderId="89" xfId="0" applyNumberFormat="1" applyFont="1" applyFill="1" applyBorder="1" applyAlignment="1">
      <alignment horizontal="right" vertical="center"/>
    </xf>
    <xf numFmtId="3" fontId="12" fillId="0" borderId="126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left" vertical="top" readingOrder="1"/>
    </xf>
    <xf numFmtId="3" fontId="12" fillId="0" borderId="29" xfId="0" applyNumberFormat="1" applyFont="1" applyFill="1" applyBorder="1" applyAlignment="1">
      <alignment horizontal="left" vertical="center"/>
    </xf>
    <xf numFmtId="3" fontId="18" fillId="0" borderId="92" xfId="0" applyNumberFormat="1" applyFont="1" applyFill="1" applyBorder="1" applyAlignment="1">
      <alignment horizontal="right" vertical="center"/>
    </xf>
    <xf numFmtId="3" fontId="17" fillId="0" borderId="44" xfId="0" applyNumberFormat="1" applyFont="1" applyFill="1" applyBorder="1" applyAlignment="1">
      <alignment vertical="center"/>
    </xf>
    <xf numFmtId="3" fontId="24" fillId="0" borderId="130" xfId="0" applyNumberFormat="1" applyFont="1" applyFill="1" applyBorder="1" applyAlignment="1">
      <alignment horizontal="right" vertical="center"/>
    </xf>
    <xf numFmtId="3" fontId="24" fillId="0" borderId="131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2" fillId="0" borderId="75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8" fillId="47" borderId="129" xfId="0" applyNumberFormat="1" applyFont="1" applyFill="1" applyBorder="1" applyAlignment="1">
      <alignment horizontal="right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horizontal="left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7" fillId="47" borderId="92" xfId="0" applyNumberFormat="1" applyFont="1" applyFill="1" applyBorder="1" applyAlignment="1">
      <alignment horizontal="right" vertical="center"/>
    </xf>
    <xf numFmtId="3" fontId="17" fillId="47" borderId="20" xfId="0" applyNumberFormat="1" applyFont="1" applyFill="1" applyBorder="1" applyAlignment="1">
      <alignment horizontal="right" vertical="center"/>
    </xf>
    <xf numFmtId="3" fontId="18" fillId="47" borderId="106" xfId="0" applyNumberFormat="1" applyFont="1" applyFill="1" applyBorder="1" applyAlignment="1">
      <alignment horizontal="right" vertical="center"/>
    </xf>
    <xf numFmtId="3" fontId="18" fillId="47" borderId="20" xfId="0" applyNumberFormat="1" applyFont="1" applyFill="1" applyBorder="1" applyAlignment="1">
      <alignment horizontal="right" vertical="center"/>
    </xf>
    <xf numFmtId="3" fontId="11" fillId="0" borderId="75" xfId="0" applyNumberFormat="1" applyFont="1" applyFill="1" applyBorder="1" applyAlignment="1">
      <alignment horizontal="center" vertical="center"/>
    </xf>
    <xf numFmtId="3" fontId="11" fillId="0" borderId="76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right" vertical="center"/>
    </xf>
    <xf numFmtId="3" fontId="29" fillId="0" borderId="92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29" fillId="0" borderId="20" xfId="0" applyNumberFormat="1" applyFont="1" applyFill="1" applyBorder="1" applyAlignment="1">
      <alignment horizontal="right" vertical="center"/>
    </xf>
    <xf numFmtId="3" fontId="29" fillId="0" borderId="44" xfId="0" applyNumberFormat="1" applyFont="1" applyFill="1" applyBorder="1" applyAlignment="1">
      <alignment horizontal="right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24" fillId="0" borderId="92" xfId="0" applyNumberFormat="1" applyFont="1" applyFill="1" applyBorder="1" applyAlignment="1">
      <alignment horizontal="right" vertical="center"/>
    </xf>
    <xf numFmtId="3" fontId="18" fillId="0" borderId="80" xfId="0" applyNumberFormat="1" applyFont="1" applyFill="1" applyBorder="1" applyAlignment="1">
      <alignment horizontal="right" vertical="center"/>
    </xf>
    <xf numFmtId="3" fontId="18" fillId="0" borderId="88" xfId="0" applyNumberFormat="1" applyFont="1" applyFill="1" applyBorder="1" applyAlignment="1">
      <alignment horizontal="right" vertical="center"/>
    </xf>
    <xf numFmtId="3" fontId="18" fillId="0" borderId="97" xfId="0" applyNumberFormat="1" applyFont="1" applyFill="1" applyBorder="1" applyAlignment="1">
      <alignment horizontal="right" vertical="center"/>
    </xf>
    <xf numFmtId="3" fontId="18" fillId="0" borderId="92" xfId="0" applyNumberFormat="1" applyFont="1" applyFill="1" applyBorder="1" applyAlignment="1">
      <alignment vertical="center"/>
    </xf>
    <xf numFmtId="3" fontId="141" fillId="0" borderId="21" xfId="0" applyNumberFormat="1" applyFont="1" applyFill="1" applyBorder="1" applyAlignment="1">
      <alignment horizontal="left" vertical="center"/>
    </xf>
    <xf numFmtId="3" fontId="141" fillId="0" borderId="92" xfId="0" applyNumberFormat="1" applyFont="1" applyFill="1" applyBorder="1" applyAlignment="1">
      <alignment horizontal="left" vertical="center"/>
    </xf>
    <xf numFmtId="3" fontId="141" fillId="0" borderId="50" xfId="0" applyNumberFormat="1" applyFont="1" applyFill="1" applyBorder="1" applyAlignment="1">
      <alignment horizontal="left" vertical="center"/>
    </xf>
    <xf numFmtId="3" fontId="18" fillId="0" borderId="73" xfId="0" applyNumberFormat="1" applyFont="1" applyFill="1" applyBorder="1" applyAlignment="1">
      <alignment horizontal="right" vertical="center"/>
    </xf>
    <xf numFmtId="3" fontId="18" fillId="47" borderId="134" xfId="0" applyNumberFormat="1" applyFont="1" applyFill="1" applyBorder="1" applyAlignment="1">
      <alignment horizontal="right" vertical="center"/>
    </xf>
    <xf numFmtId="3" fontId="18" fillId="0" borderId="110" xfId="0" applyNumberFormat="1" applyFont="1" applyFill="1" applyBorder="1" applyAlignment="1">
      <alignment horizontal="right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3" fontId="17" fillId="47" borderId="21" xfId="0" applyNumberFormat="1" applyFont="1" applyFill="1" applyBorder="1" applyAlignment="1">
      <alignment horizontal="right" vertical="center"/>
    </xf>
    <xf numFmtId="3" fontId="17" fillId="0" borderId="92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vertical="center"/>
    </xf>
    <xf numFmtId="3" fontId="140" fillId="0" borderId="0" xfId="0" applyNumberFormat="1" applyFont="1" applyFill="1" applyAlignment="1">
      <alignment horizontal="left" vertical="center"/>
    </xf>
    <xf numFmtId="3" fontId="11" fillId="0" borderId="52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justify" vertical="center"/>
    </xf>
    <xf numFmtId="0" fontId="36" fillId="0" borderId="0" xfId="0" applyFont="1" applyFill="1" applyAlignment="1">
      <alignment horizontal="center" shrinkToFit="1"/>
    </xf>
    <xf numFmtId="0" fontId="36" fillId="0" borderId="0" xfId="0" applyFont="1" applyFill="1" applyAlignment="1">
      <alignment horizontal="justify" shrinkToFit="1"/>
    </xf>
    <xf numFmtId="3" fontId="17" fillId="0" borderId="33" xfId="0" applyNumberFormat="1" applyFont="1" applyFill="1" applyBorder="1" applyAlignment="1">
      <alignment horizontal="right" vertical="center" shrinkToFit="1"/>
    </xf>
    <xf numFmtId="3" fontId="18" fillId="0" borderId="135" xfId="0" applyNumberFormat="1" applyFont="1" applyFill="1" applyBorder="1" applyAlignment="1">
      <alignment horizontal="right" vertical="center" shrinkToFit="1"/>
    </xf>
    <xf numFmtId="3" fontId="17" fillId="47" borderId="34" xfId="0" applyNumberFormat="1" applyFont="1" applyFill="1" applyBorder="1" applyAlignment="1">
      <alignment horizontal="right" shrinkToFit="1"/>
    </xf>
    <xf numFmtId="3" fontId="17" fillId="47" borderId="20" xfId="0" applyNumberFormat="1" applyFont="1" applyFill="1" applyBorder="1" applyAlignment="1">
      <alignment horizontal="right" shrinkToFit="1"/>
    </xf>
    <xf numFmtId="3" fontId="18" fillId="0" borderId="136" xfId="0" applyNumberFormat="1" applyFont="1" applyFill="1" applyBorder="1" applyAlignment="1">
      <alignment horizontal="right" vertical="center" shrinkToFit="1"/>
    </xf>
    <xf numFmtId="2" fontId="18" fillId="0" borderId="24" xfId="0" applyNumberFormat="1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28" fillId="0" borderId="21" xfId="0" applyFont="1" applyFill="1" applyBorder="1" applyAlignment="1">
      <alignment horizontal="justify" vertical="center" shrinkToFit="1"/>
    </xf>
    <xf numFmtId="0" fontId="28" fillId="47" borderId="21" xfId="0" applyFont="1" applyFill="1" applyBorder="1" applyAlignment="1">
      <alignment horizontal="justify" vertical="center" shrinkToFit="1"/>
    </xf>
    <xf numFmtId="0" fontId="28" fillId="0" borderId="42" xfId="0" applyFont="1" applyFill="1" applyBorder="1" applyAlignment="1">
      <alignment horizontal="center" vertical="center" shrinkToFit="1"/>
    </xf>
    <xf numFmtId="3" fontId="18" fillId="47" borderId="116" xfId="0" applyNumberFormat="1" applyFont="1" applyFill="1" applyBorder="1" applyAlignment="1">
      <alignment horizontal="right" shrinkToFit="1"/>
    </xf>
    <xf numFmtId="3" fontId="18" fillId="0" borderId="136" xfId="0" applyNumberFormat="1" applyFont="1" applyFill="1" applyBorder="1" applyAlignment="1">
      <alignment horizontal="right" shrinkToFit="1"/>
    </xf>
    <xf numFmtId="0" fontId="37" fillId="0" borderId="0" xfId="0" applyFont="1" applyFill="1" applyAlignment="1">
      <alignment horizontal="justify" shrinkToFit="1"/>
    </xf>
    <xf numFmtId="0" fontId="37" fillId="0" borderId="0" xfId="0" applyFont="1" applyFill="1" applyAlignment="1">
      <alignment horizontal="center" shrinkToFit="1"/>
    </xf>
    <xf numFmtId="3" fontId="18" fillId="0" borderId="0" xfId="0" applyNumberFormat="1" applyFont="1" applyFill="1" applyBorder="1" applyAlignment="1">
      <alignment horizontal="left" vertical="center"/>
    </xf>
    <xf numFmtId="3" fontId="24" fillId="47" borderId="13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left" vertical="center"/>
    </xf>
    <xf numFmtId="3" fontId="18" fillId="0" borderId="21" xfId="0" applyNumberFormat="1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left" vertical="center"/>
    </xf>
    <xf numFmtId="3" fontId="24" fillId="0" borderId="19" xfId="0" applyNumberFormat="1" applyFont="1" applyFill="1" applyBorder="1" applyAlignment="1">
      <alignment horizontal="left" vertical="center"/>
    </xf>
    <xf numFmtId="3" fontId="24" fillId="0" borderId="21" xfId="0" applyNumberFormat="1" applyFont="1" applyFill="1" applyBorder="1" applyAlignment="1">
      <alignment horizontal="left" vertical="center"/>
    </xf>
    <xf numFmtId="3" fontId="17" fillId="47" borderId="21" xfId="0" applyNumberFormat="1" applyFont="1" applyFill="1" applyBorder="1" applyAlignment="1">
      <alignment horizontal="right" shrinkToFit="1"/>
    </xf>
    <xf numFmtId="3" fontId="18" fillId="0" borderId="137" xfId="0" applyNumberFormat="1" applyFont="1" applyFill="1" applyBorder="1" applyAlignment="1">
      <alignment horizontal="right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3" fontId="18" fillId="0" borderId="23" xfId="0" applyNumberFormat="1" applyFont="1" applyFill="1" applyBorder="1" applyAlignment="1">
      <alignment horizontal="right" vertical="center" shrinkToFit="1"/>
    </xf>
    <xf numFmtId="3" fontId="141" fillId="47" borderId="34" xfId="0" applyNumberFormat="1" applyFont="1" applyFill="1" applyBorder="1" applyAlignment="1">
      <alignment horizontal="right" vertical="center"/>
    </xf>
    <xf numFmtId="3" fontId="18" fillId="0" borderId="129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left" vertical="center"/>
    </xf>
    <xf numFmtId="3" fontId="18" fillId="0" borderId="126" xfId="0" applyNumberFormat="1" applyFont="1" applyFill="1" applyBorder="1" applyAlignment="1">
      <alignment horizontal="center" vertical="center"/>
    </xf>
    <xf numFmtId="3" fontId="18" fillId="0" borderId="123" xfId="0" applyNumberFormat="1" applyFont="1" applyFill="1" applyBorder="1" applyAlignment="1">
      <alignment horizontal="center" vertical="center"/>
    </xf>
    <xf numFmtId="3" fontId="17" fillId="0" borderId="19" xfId="106" applyNumberFormat="1" applyFont="1" applyFill="1" applyBorder="1" applyAlignment="1" quotePrefix="1">
      <alignment horizontal="center" vertical="center"/>
      <protection/>
    </xf>
    <xf numFmtId="3" fontId="17" fillId="0" borderId="130" xfId="0" applyNumberFormat="1" applyFont="1" applyFill="1" applyBorder="1" applyAlignment="1">
      <alignment vertical="center"/>
    </xf>
    <xf numFmtId="3" fontId="17" fillId="0" borderId="46" xfId="0" applyNumberFormat="1" applyFont="1" applyFill="1" applyBorder="1" applyAlignment="1">
      <alignment horizontal="left" vertical="center"/>
    </xf>
    <xf numFmtId="3" fontId="11" fillId="0" borderId="76" xfId="0" applyNumberFormat="1" applyFont="1" applyFill="1" applyBorder="1" applyAlignment="1">
      <alignment horizontal="center" vertical="center"/>
    </xf>
    <xf numFmtId="3" fontId="17" fillId="0" borderId="90" xfId="0" applyNumberFormat="1" applyFont="1" applyFill="1" applyBorder="1" applyAlignment="1">
      <alignment horizontal="right" vertical="center"/>
    </xf>
    <xf numFmtId="3" fontId="11" fillId="0" borderId="123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left" vertical="center"/>
    </xf>
    <xf numFmtId="3" fontId="11" fillId="0" borderId="55" xfId="0" applyNumberFormat="1" applyFont="1" applyFill="1" applyBorder="1" applyAlignment="1">
      <alignment horizontal="center" vertical="center"/>
    </xf>
    <xf numFmtId="3" fontId="24" fillId="0" borderId="92" xfId="0" applyNumberFormat="1" applyFont="1" applyFill="1" applyBorder="1" applyAlignment="1">
      <alignment horizontal="left" vertical="center"/>
    </xf>
    <xf numFmtId="3" fontId="18" fillId="47" borderId="119" xfId="0" applyNumberFormat="1" applyFont="1" applyFill="1" applyBorder="1" applyAlignment="1">
      <alignment horizontal="right" vertical="center"/>
    </xf>
    <xf numFmtId="3" fontId="11" fillId="0" borderId="55" xfId="0" applyNumberFormat="1" applyFont="1" applyFill="1" applyBorder="1" applyAlignment="1">
      <alignment horizontal="center" vertical="center"/>
    </xf>
    <xf numFmtId="3" fontId="17" fillId="47" borderId="55" xfId="0" applyNumberFormat="1" applyFont="1" applyFill="1" applyBorder="1" applyAlignment="1">
      <alignment horizontal="right" vertical="center"/>
    </xf>
    <xf numFmtId="3" fontId="11" fillId="0" borderId="92" xfId="0" applyNumberFormat="1" applyFont="1" applyFill="1" applyBorder="1" applyAlignment="1">
      <alignment horizontal="center" vertical="center"/>
    </xf>
    <xf numFmtId="3" fontId="18" fillId="0" borderId="138" xfId="0" applyNumberFormat="1" applyFont="1" applyFill="1" applyBorder="1" applyAlignment="1">
      <alignment horizontal="right" vertical="center"/>
    </xf>
    <xf numFmtId="3" fontId="18" fillId="0" borderId="139" xfId="0" applyNumberFormat="1" applyFont="1" applyFill="1" applyBorder="1" applyAlignment="1">
      <alignment horizontal="right" vertical="center"/>
    </xf>
    <xf numFmtId="3" fontId="18" fillId="0" borderId="140" xfId="0" applyNumberFormat="1" applyFont="1" applyFill="1" applyBorder="1" applyAlignment="1">
      <alignment horizontal="right" vertical="center" shrinkToFit="1"/>
    </xf>
    <xf numFmtId="3" fontId="18" fillId="0" borderId="65" xfId="0" applyNumberFormat="1" applyFont="1" applyFill="1" applyBorder="1" applyAlignment="1">
      <alignment horizontal="right" vertical="center" shrinkToFit="1"/>
    </xf>
    <xf numFmtId="3" fontId="18" fillId="47" borderId="21" xfId="0" applyNumberFormat="1" applyFont="1" applyFill="1" applyBorder="1" applyAlignment="1">
      <alignment horizontal="right" shrinkToFit="1"/>
    </xf>
    <xf numFmtId="3" fontId="18" fillId="47" borderId="43" xfId="0" applyNumberFormat="1" applyFont="1" applyFill="1" applyBorder="1" applyAlignment="1">
      <alignment horizontal="right" shrinkToFit="1"/>
    </xf>
    <xf numFmtId="3" fontId="17" fillId="0" borderId="40" xfId="0" applyNumberFormat="1" applyFont="1" applyFill="1" applyBorder="1" applyAlignment="1">
      <alignment horizontal="right" shrinkToFit="1"/>
    </xf>
    <xf numFmtId="3" fontId="17" fillId="47" borderId="40" xfId="0" applyNumberFormat="1" applyFont="1" applyFill="1" applyBorder="1" applyAlignment="1">
      <alignment horizontal="right" shrinkToFit="1"/>
    </xf>
    <xf numFmtId="3" fontId="18" fillId="0" borderId="141" xfId="0" applyNumberFormat="1" applyFont="1" applyFill="1" applyBorder="1" applyAlignment="1">
      <alignment horizontal="right" shrinkToFit="1"/>
    </xf>
    <xf numFmtId="3" fontId="23" fillId="0" borderId="0" xfId="0" applyNumberFormat="1" applyFont="1" applyFill="1" applyBorder="1" applyAlignment="1">
      <alignment horizontal="center" vertical="center"/>
    </xf>
    <xf numFmtId="3" fontId="29" fillId="0" borderId="104" xfId="0" applyNumberFormat="1" applyFont="1" applyFill="1" applyBorder="1" applyAlignment="1">
      <alignment horizontal="right" vertical="center"/>
    </xf>
    <xf numFmtId="3" fontId="18" fillId="0" borderId="65" xfId="0" applyNumberFormat="1" applyFont="1" applyFill="1" applyBorder="1" applyAlignment="1">
      <alignment horizontal="right" vertical="center"/>
    </xf>
    <xf numFmtId="3" fontId="18" fillId="47" borderId="138" xfId="0" applyNumberFormat="1" applyFont="1" applyFill="1" applyBorder="1" applyAlignment="1">
      <alignment horizontal="right"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wrapText="1"/>
    </xf>
    <xf numFmtId="3" fontId="24" fillId="0" borderId="123" xfId="0" applyNumberFormat="1" applyFont="1" applyFill="1" applyBorder="1" applyAlignment="1">
      <alignment horizontal="right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24" fillId="0" borderId="29" xfId="0" applyNumberFormat="1" applyFont="1" applyFill="1" applyBorder="1" applyAlignment="1" quotePrefix="1">
      <alignment horizontal="center" vertical="center"/>
    </xf>
    <xf numFmtId="3" fontId="24" fillId="0" borderId="0" xfId="0" applyNumberFormat="1" applyFont="1" applyFill="1" applyBorder="1" applyAlignment="1" quotePrefix="1">
      <alignment horizontal="center" vertical="center"/>
    </xf>
    <xf numFmtId="3" fontId="24" fillId="0" borderId="46" xfId="0" applyNumberFormat="1" applyFont="1" applyFill="1" applyBorder="1" applyAlignment="1" quotePrefix="1">
      <alignment horizontal="center" vertical="center"/>
    </xf>
    <xf numFmtId="3" fontId="17" fillId="0" borderId="45" xfId="0" applyNumberFormat="1" applyFont="1" applyFill="1" applyBorder="1" applyAlignment="1">
      <alignment horizontal="right" vertical="center"/>
    </xf>
    <xf numFmtId="3" fontId="17" fillId="0" borderId="65" xfId="0" applyNumberFormat="1" applyFont="1" applyFill="1" applyBorder="1" applyAlignment="1">
      <alignment horizontal="right" vertical="center"/>
    </xf>
    <xf numFmtId="3" fontId="18" fillId="47" borderId="52" xfId="0" applyNumberFormat="1" applyFont="1" applyFill="1" applyBorder="1" applyAlignment="1">
      <alignment horizontal="right" vertical="center"/>
    </xf>
    <xf numFmtId="3" fontId="18" fillId="47" borderId="51" xfId="0" applyNumberFormat="1" applyFont="1" applyFill="1" applyBorder="1" applyAlignment="1">
      <alignment horizontal="right" vertical="center"/>
    </xf>
    <xf numFmtId="3" fontId="18" fillId="0" borderId="142" xfId="0" applyNumberFormat="1" applyFont="1" applyFill="1" applyBorder="1" applyAlignment="1">
      <alignment horizontal="right" vertical="center"/>
    </xf>
    <xf numFmtId="3" fontId="18" fillId="47" borderId="143" xfId="0" applyNumberFormat="1" applyFont="1" applyFill="1" applyBorder="1" applyAlignment="1">
      <alignment horizontal="right" vertical="center"/>
    </xf>
    <xf numFmtId="3" fontId="17" fillId="0" borderId="123" xfId="0" applyNumberFormat="1" applyFont="1" applyFill="1" applyBorder="1" applyAlignment="1">
      <alignment horizontal="right" vertical="center"/>
    </xf>
    <xf numFmtId="3" fontId="17" fillId="0" borderId="144" xfId="0" applyNumberFormat="1" applyFont="1" applyFill="1" applyBorder="1" applyAlignment="1">
      <alignment horizontal="right" vertical="center"/>
    </xf>
    <xf numFmtId="3" fontId="17" fillId="0" borderId="13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49" fontId="18" fillId="0" borderId="34" xfId="0" applyNumberFormat="1" applyFont="1" applyFill="1" applyBorder="1" applyAlignment="1">
      <alignment vertical="center" shrinkToFit="1"/>
    </xf>
    <xf numFmtId="2" fontId="18" fillId="0" borderId="145" xfId="0" applyNumberFormat="1" applyFont="1" applyFill="1" applyBorder="1" applyAlignment="1">
      <alignment horizontal="center" shrinkToFit="1"/>
    </xf>
    <xf numFmtId="3" fontId="18" fillId="47" borderId="20" xfId="0" applyNumberFormat="1" applyFont="1" applyFill="1" applyBorder="1" applyAlignment="1">
      <alignment horizontal="right" shrinkToFit="1"/>
    </xf>
    <xf numFmtId="0" fontId="36" fillId="0" borderId="29" xfId="0" applyFont="1" applyFill="1" applyBorder="1" applyAlignment="1">
      <alignment horizontal="center" shrinkToFit="1"/>
    </xf>
    <xf numFmtId="0" fontId="36" fillId="0" borderId="30" xfId="0" applyFont="1" applyFill="1" applyBorder="1" applyAlignment="1">
      <alignment horizontal="center" shrinkToFit="1"/>
    </xf>
    <xf numFmtId="3" fontId="18" fillId="0" borderId="0" xfId="0" applyNumberFormat="1" applyFont="1" applyFill="1" applyBorder="1" applyAlignment="1">
      <alignment horizontal="right" shrinkToFit="1"/>
    </xf>
    <xf numFmtId="3" fontId="18" fillId="0" borderId="97" xfId="0" applyNumberFormat="1" applyFont="1" applyFill="1" applyBorder="1" applyAlignment="1">
      <alignment horizontal="right" shrinkToFit="1"/>
    </xf>
    <xf numFmtId="3" fontId="18" fillId="0" borderId="146" xfId="0" applyNumberFormat="1" applyFont="1" applyFill="1" applyBorder="1" applyAlignment="1">
      <alignment horizontal="right" shrinkToFit="1"/>
    </xf>
    <xf numFmtId="3" fontId="18" fillId="0" borderId="45" xfId="0" applyNumberFormat="1" applyFont="1" applyFill="1" applyBorder="1" applyAlignment="1">
      <alignment horizontal="right" shrinkToFit="1"/>
    </xf>
    <xf numFmtId="3" fontId="18" fillId="0" borderId="65" xfId="0" applyNumberFormat="1" applyFont="1" applyFill="1" applyBorder="1" applyAlignment="1">
      <alignment horizontal="right" shrinkToFit="1"/>
    </xf>
    <xf numFmtId="0" fontId="17" fillId="0" borderId="39" xfId="0" applyFont="1" applyFill="1" applyBorder="1" applyAlignment="1">
      <alignment horizontal="center" shrinkToFit="1"/>
    </xf>
    <xf numFmtId="3" fontId="23" fillId="0" borderId="30" xfId="0" applyNumberFormat="1" applyFont="1" applyFill="1" applyBorder="1" applyAlignment="1">
      <alignment horizontal="center" vertical="center"/>
    </xf>
    <xf numFmtId="3" fontId="23" fillId="0" borderId="41" xfId="0" applyNumberFormat="1" applyFont="1" applyFill="1" applyBorder="1" applyAlignment="1">
      <alignment horizontal="center" vertical="center"/>
    </xf>
    <xf numFmtId="3" fontId="17" fillId="0" borderId="122" xfId="106" applyNumberFormat="1" applyFont="1" applyFill="1" applyBorder="1" applyAlignment="1" quotePrefix="1">
      <alignment horizontal="center" vertical="center"/>
      <protection/>
    </xf>
    <xf numFmtId="3" fontId="18" fillId="0" borderId="147" xfId="0" applyNumberFormat="1" applyFont="1" applyFill="1" applyBorder="1" applyAlignment="1">
      <alignment horizontal="right" vertical="center"/>
    </xf>
    <xf numFmtId="3" fontId="17" fillId="0" borderId="20" xfId="0" applyNumberFormat="1" applyFont="1" applyFill="1" applyBorder="1" applyAlignment="1">
      <alignment horizontal="right" vertical="center" shrinkToFit="1"/>
    </xf>
    <xf numFmtId="3" fontId="17" fillId="0" borderId="56" xfId="106" applyNumberFormat="1" applyFont="1" applyFill="1" applyBorder="1" applyAlignment="1" quotePrefix="1">
      <alignment horizontal="left" vertical="center" indent="1"/>
      <protection/>
    </xf>
    <xf numFmtId="3" fontId="12" fillId="0" borderId="46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3" fontId="17" fillId="0" borderId="20" xfId="106" applyNumberFormat="1" applyFont="1" applyFill="1" applyBorder="1" applyAlignment="1" quotePrefix="1">
      <alignment horizontal="left" vertical="center"/>
      <protection/>
    </xf>
    <xf numFmtId="3" fontId="18" fillId="47" borderId="34" xfId="0" applyNumberFormat="1" applyFont="1" applyFill="1" applyBorder="1" applyAlignment="1">
      <alignment horizontal="right" vertical="center"/>
    </xf>
    <xf numFmtId="3" fontId="17" fillId="0" borderId="129" xfId="0" applyNumberFormat="1" applyFont="1" applyFill="1" applyBorder="1" applyAlignment="1">
      <alignment horizontal="right" vertical="center"/>
    </xf>
    <xf numFmtId="2" fontId="17" fillId="0" borderId="20" xfId="0" applyNumberFormat="1" applyFont="1" applyFill="1" applyBorder="1" applyAlignment="1">
      <alignment horizontal="left" shrinkToFit="1"/>
    </xf>
    <xf numFmtId="3" fontId="18" fillId="0" borderId="0" xfId="106" applyNumberFormat="1" applyFont="1" applyFill="1" applyAlignment="1">
      <alignment vertical="center"/>
      <protection/>
    </xf>
    <xf numFmtId="3" fontId="18" fillId="0" borderId="74" xfId="106" applyNumberFormat="1" applyFont="1" applyFill="1" applyBorder="1" applyAlignment="1">
      <alignment horizontal="right" vertical="center"/>
      <protection/>
    </xf>
    <xf numFmtId="3" fontId="17" fillId="0" borderId="46" xfId="106" applyNumberFormat="1" applyFont="1" applyFill="1" applyBorder="1" applyAlignment="1" quotePrefix="1">
      <alignment horizontal="center" vertical="center"/>
      <protection/>
    </xf>
    <xf numFmtId="3" fontId="17" fillId="0" borderId="101" xfId="106" applyNumberFormat="1" applyFont="1" applyFill="1" applyBorder="1" applyAlignment="1" quotePrefix="1">
      <alignment horizontal="center" vertical="center"/>
      <protection/>
    </xf>
    <xf numFmtId="3" fontId="18" fillId="0" borderId="148" xfId="0" applyNumberFormat="1" applyFont="1" applyFill="1" applyBorder="1" applyAlignment="1">
      <alignment horizontal="right" vertical="center"/>
    </xf>
    <xf numFmtId="3" fontId="24" fillId="0" borderId="45" xfId="0" applyNumberFormat="1" applyFont="1" applyFill="1" applyBorder="1" applyAlignment="1">
      <alignment horizontal="right" vertical="center"/>
    </xf>
    <xf numFmtId="3" fontId="17" fillId="0" borderId="34" xfId="106" applyNumberFormat="1" applyFont="1" applyFill="1" applyBorder="1" applyAlignment="1" quotePrefix="1">
      <alignment horizontal="center" vertical="center"/>
      <protection/>
    </xf>
    <xf numFmtId="3" fontId="11" fillId="0" borderId="21" xfId="0" applyNumberFormat="1" applyFont="1" applyFill="1" applyBorder="1" applyAlignment="1">
      <alignment vertical="center"/>
    </xf>
    <xf numFmtId="3" fontId="17" fillId="0" borderId="0" xfId="0" applyNumberFormat="1" applyFont="1" applyAlignment="1">
      <alignment/>
    </xf>
    <xf numFmtId="3" fontId="36" fillId="0" borderId="0" xfId="0" applyNumberFormat="1" applyFont="1" applyFill="1" applyAlignment="1">
      <alignment horizontal="center" shrinkToFit="1"/>
    </xf>
    <xf numFmtId="3" fontId="6" fillId="0" borderId="0" xfId="0" applyNumberFormat="1" applyFont="1" applyFill="1" applyAlignment="1">
      <alignment shrinkToFit="1"/>
    </xf>
    <xf numFmtId="0" fontId="17" fillId="0" borderId="39" xfId="0" applyFont="1" applyFill="1" applyBorder="1" applyAlignment="1">
      <alignment horizontal="center" vertical="center" shrinkToFit="1"/>
    </xf>
    <xf numFmtId="3" fontId="18" fillId="0" borderId="40" xfId="0" applyNumberFormat="1" applyFont="1" applyFill="1" applyBorder="1" applyAlignment="1">
      <alignment horizontal="right" vertical="center" shrinkToFit="1"/>
    </xf>
    <xf numFmtId="3" fontId="18" fillId="0" borderId="141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shrinkToFit="1"/>
    </xf>
    <xf numFmtId="3" fontId="18" fillId="0" borderId="56" xfId="106" applyNumberFormat="1" applyFont="1" applyFill="1" applyBorder="1" applyAlignment="1" quotePrefix="1">
      <alignment horizontal="left" vertical="center" indent="1"/>
      <protection/>
    </xf>
    <xf numFmtId="3" fontId="12" fillId="0" borderId="123" xfId="0" applyNumberFormat="1" applyFont="1" applyFill="1" applyBorder="1" applyAlignment="1">
      <alignment horizontal="center" vertical="center"/>
    </xf>
    <xf numFmtId="3" fontId="12" fillId="0" borderId="124" xfId="0" applyNumberFormat="1" applyFont="1" applyFill="1" applyBorder="1" applyAlignment="1">
      <alignment horizontal="center" vertical="center"/>
    </xf>
    <xf numFmtId="3" fontId="17" fillId="0" borderId="79" xfId="106" applyNumberFormat="1" applyFont="1" applyFill="1" applyBorder="1" applyAlignment="1">
      <alignment vertical="center"/>
      <protection/>
    </xf>
    <xf numFmtId="3" fontId="17" fillId="0" borderId="69" xfId="106" applyNumberFormat="1" applyFont="1" applyFill="1" applyBorder="1" applyAlignment="1">
      <alignment vertical="center"/>
      <protection/>
    </xf>
    <xf numFmtId="3" fontId="17" fillId="0" borderId="81" xfId="106" applyNumberFormat="1" applyFont="1" applyFill="1" applyBorder="1" applyAlignment="1">
      <alignment vertical="center"/>
      <protection/>
    </xf>
    <xf numFmtId="3" fontId="17" fillId="0" borderId="0" xfId="0" applyNumberFormat="1" applyFont="1" applyAlignment="1">
      <alignment/>
    </xf>
    <xf numFmtId="3" fontId="12" fillId="0" borderId="127" xfId="0" applyNumberFormat="1" applyFont="1" applyFill="1" applyBorder="1" applyAlignment="1">
      <alignment horizontal="center" vertical="center"/>
    </xf>
    <xf numFmtId="3" fontId="11" fillId="0" borderId="125" xfId="0" applyNumberFormat="1" applyFont="1" applyFill="1" applyBorder="1" applyAlignment="1">
      <alignment horizontal="center" vertical="center"/>
    </xf>
    <xf numFmtId="3" fontId="12" fillId="0" borderId="133" xfId="0" applyNumberFormat="1" applyFont="1" applyFill="1" applyBorder="1" applyAlignment="1">
      <alignment horizontal="left" vertical="center"/>
    </xf>
    <xf numFmtId="3" fontId="12" fillId="0" borderId="46" xfId="0" applyNumberFormat="1" applyFont="1" applyFill="1" applyBorder="1" applyAlignment="1">
      <alignment horizontal="left" vertical="center"/>
    </xf>
    <xf numFmtId="3" fontId="17" fillId="0" borderId="85" xfId="106" applyNumberFormat="1" applyFont="1" applyFill="1" applyBorder="1" applyAlignment="1">
      <alignment horizontal="right" vertical="center"/>
      <protection/>
    </xf>
    <xf numFmtId="0" fontId="0" fillId="0" borderId="56" xfId="0" applyBorder="1" applyAlignment="1" quotePrefix="1">
      <alignment/>
    </xf>
    <xf numFmtId="0" fontId="0" fillId="0" borderId="56" xfId="0" applyBorder="1" applyAlignment="1">
      <alignment wrapText="1"/>
    </xf>
    <xf numFmtId="3" fontId="136" fillId="0" borderId="56" xfId="0" applyNumberFormat="1" applyFont="1" applyBorder="1" applyAlignment="1">
      <alignment/>
    </xf>
    <xf numFmtId="0" fontId="142" fillId="0" borderId="56" xfId="0" applyFont="1" applyBorder="1" applyAlignment="1">
      <alignment/>
    </xf>
    <xf numFmtId="0" fontId="142" fillId="0" borderId="56" xfId="0" applyFont="1" applyBorder="1" applyAlignment="1">
      <alignment wrapText="1"/>
    </xf>
    <xf numFmtId="3" fontId="143" fillId="0" borderId="56" xfId="0" applyNumberFormat="1" applyFont="1" applyBorder="1" applyAlignment="1">
      <alignment/>
    </xf>
    <xf numFmtId="0" fontId="136" fillId="0" borderId="56" xfId="0" applyFont="1" applyBorder="1" applyAlignment="1">
      <alignment/>
    </xf>
    <xf numFmtId="0" fontId="136" fillId="0" borderId="56" xfId="0" applyFont="1" applyBorder="1" applyAlignment="1">
      <alignment wrapText="1"/>
    </xf>
    <xf numFmtId="0" fontId="0" fillId="0" borderId="56" xfId="0" applyBorder="1" applyAlignment="1">
      <alignment/>
    </xf>
    <xf numFmtId="0" fontId="8" fillId="0" borderId="0" xfId="104" applyFont="1" applyFill="1" applyAlignment="1">
      <alignment/>
      <protection/>
    </xf>
    <xf numFmtId="0" fontId="41" fillId="0" borderId="0" xfId="104" applyFont="1" applyFill="1" applyAlignment="1">
      <alignment/>
      <protection/>
    </xf>
    <xf numFmtId="0" fontId="8" fillId="0" borderId="0" xfId="104" applyFont="1" applyFill="1" applyBorder="1" applyAlignment="1">
      <alignment vertical="center"/>
      <protection/>
    </xf>
    <xf numFmtId="0" fontId="8" fillId="0" borderId="0" xfId="104" applyFont="1" applyFill="1" applyBorder="1" applyAlignment="1">
      <alignment horizontal="center" vertical="center"/>
      <protection/>
    </xf>
    <xf numFmtId="0" fontId="8" fillId="0" borderId="0" xfId="104" applyFont="1" applyFill="1" applyAlignment="1">
      <alignment vertical="center"/>
      <protection/>
    </xf>
    <xf numFmtId="0" fontId="9" fillId="0" borderId="0" xfId="104" applyFont="1" applyFill="1" applyBorder="1" applyAlignment="1">
      <alignment horizontal="center" vertical="center"/>
      <protection/>
    </xf>
    <xf numFmtId="3" fontId="9" fillId="0" borderId="0" xfId="104" applyNumberFormat="1" applyFont="1" applyFill="1" applyBorder="1" applyAlignment="1">
      <alignment horizontal="right" vertical="center"/>
      <protection/>
    </xf>
    <xf numFmtId="3" fontId="8" fillId="0" borderId="0" xfId="104" applyNumberFormat="1" applyFont="1" applyFill="1" applyBorder="1" applyAlignment="1">
      <alignment vertical="center"/>
      <protection/>
    </xf>
    <xf numFmtId="3" fontId="9" fillId="0" borderId="0" xfId="104" applyNumberFormat="1" applyFont="1" applyFill="1" applyBorder="1" applyAlignment="1">
      <alignment vertical="center"/>
      <protection/>
    </xf>
    <xf numFmtId="3" fontId="42" fillId="0" borderId="46" xfId="104" applyNumberFormat="1" applyFont="1" applyFill="1" applyBorder="1" applyAlignment="1">
      <alignment vertical="center"/>
      <protection/>
    </xf>
    <xf numFmtId="0" fontId="21" fillId="0" borderId="0" xfId="104" applyFont="1" applyFill="1" applyBorder="1" applyAlignment="1">
      <alignment vertical="center"/>
      <protection/>
    </xf>
    <xf numFmtId="3" fontId="21" fillId="0" borderId="0" xfId="104" applyNumberFormat="1" applyFont="1" applyFill="1" applyBorder="1" applyAlignment="1">
      <alignment vertical="center"/>
      <protection/>
    </xf>
    <xf numFmtId="3" fontId="42" fillId="0" borderId="0" xfId="104" applyNumberFormat="1" applyFont="1" applyFill="1" applyBorder="1" applyAlignment="1">
      <alignment vertical="center"/>
      <protection/>
    </xf>
    <xf numFmtId="0" fontId="42" fillId="0" borderId="56" xfId="104" applyFont="1" applyFill="1" applyBorder="1" applyAlignment="1">
      <alignment horizontal="left" wrapText="1"/>
      <protection/>
    </xf>
    <xf numFmtId="0" fontId="42" fillId="0" borderId="92" xfId="104" applyFont="1" applyFill="1" applyBorder="1" applyAlignment="1">
      <alignment vertical="center"/>
      <protection/>
    </xf>
    <xf numFmtId="0" fontId="42" fillId="0" borderId="56" xfId="104" applyFont="1" applyFill="1" applyBorder="1" applyAlignment="1">
      <alignment horizontal="left" vertical="center" wrapText="1"/>
      <protection/>
    </xf>
    <xf numFmtId="0" fontId="42" fillId="0" borderId="56" xfId="104" applyFont="1" applyFill="1" applyBorder="1" applyAlignment="1">
      <alignment horizontal="left" vertical="center"/>
      <protection/>
    </xf>
    <xf numFmtId="3" fontId="42" fillId="0" borderId="56" xfId="104" applyNumberFormat="1" applyFont="1" applyFill="1" applyBorder="1" applyAlignment="1">
      <alignment horizontal="right" vertical="center"/>
      <protection/>
    </xf>
    <xf numFmtId="0" fontId="41" fillId="0" borderId="56" xfId="104" applyFont="1" applyFill="1" applyBorder="1" applyAlignment="1">
      <alignment horizontal="left" vertical="center"/>
      <protection/>
    </xf>
    <xf numFmtId="3" fontId="41" fillId="0" borderId="56" xfId="104" applyNumberFormat="1" applyFont="1" applyFill="1" applyBorder="1" applyAlignment="1">
      <alignment vertical="center"/>
      <protection/>
    </xf>
    <xf numFmtId="0" fontId="41" fillId="0" borderId="56" xfId="104" applyFont="1" applyFill="1" applyBorder="1" applyAlignment="1">
      <alignment horizontal="left" vertical="center" wrapText="1"/>
      <protection/>
    </xf>
    <xf numFmtId="0" fontId="42" fillId="0" borderId="56" xfId="104" applyFont="1" applyFill="1" applyBorder="1" applyAlignment="1">
      <alignment vertical="center"/>
      <protection/>
    </xf>
    <xf numFmtId="3" fontId="42" fillId="0" borderId="56" xfId="104" applyNumberFormat="1" applyFont="1" applyFill="1" applyBorder="1" applyAlignment="1">
      <alignment vertical="center"/>
      <protection/>
    </xf>
    <xf numFmtId="0" fontId="41" fillId="0" borderId="56" xfId="104" applyFont="1" applyFill="1" applyBorder="1" applyAlignment="1">
      <alignment vertical="center"/>
      <protection/>
    </xf>
    <xf numFmtId="0" fontId="41" fillId="0" borderId="56" xfId="104" applyFont="1" applyFill="1" applyBorder="1" applyAlignment="1">
      <alignment horizontal="justify" vertical="center"/>
      <protection/>
    </xf>
    <xf numFmtId="3" fontId="41" fillId="0" borderId="56" xfId="104" applyNumberFormat="1" applyFont="1" applyFill="1" applyBorder="1" applyAlignment="1">
      <alignment horizontal="right" vertical="center"/>
      <protection/>
    </xf>
    <xf numFmtId="0" fontId="42" fillId="0" borderId="56" xfId="104" applyFont="1" applyFill="1" applyBorder="1" applyAlignment="1">
      <alignment horizontal="justify" vertical="center"/>
      <protection/>
    </xf>
    <xf numFmtId="0" fontId="41" fillId="0" borderId="56" xfId="104" applyFont="1" applyFill="1" applyBorder="1" applyAlignment="1">
      <alignment horizontal="left"/>
      <protection/>
    </xf>
    <xf numFmtId="0" fontId="42" fillId="0" borderId="56" xfId="104" applyFont="1" applyFill="1" applyBorder="1" applyAlignment="1">
      <alignment vertical="center" wrapText="1"/>
      <protection/>
    </xf>
    <xf numFmtId="0" fontId="41" fillId="0" borderId="56" xfId="104" applyFont="1" applyFill="1" applyBorder="1" applyAlignment="1">
      <alignment horizontal="left" wrapText="1"/>
      <protection/>
    </xf>
    <xf numFmtId="0" fontId="42" fillId="0" borderId="56" xfId="104" applyFont="1" applyFill="1" applyBorder="1" applyAlignment="1">
      <alignment horizontal="left"/>
      <protection/>
    </xf>
    <xf numFmtId="3" fontId="42" fillId="0" borderId="56" xfId="104" applyNumberFormat="1" applyFont="1" applyFill="1" applyBorder="1" applyAlignment="1">
      <alignment/>
      <protection/>
    </xf>
    <xf numFmtId="3" fontId="41" fillId="0" borderId="0" xfId="104" applyNumberFormat="1" applyFont="1" applyFill="1" applyAlignment="1">
      <alignment/>
      <protection/>
    </xf>
    <xf numFmtId="3" fontId="41" fillId="0" borderId="0" xfId="104" applyNumberFormat="1" applyFont="1" applyFill="1" applyAlignment="1">
      <alignment horizontal="right"/>
      <protection/>
    </xf>
    <xf numFmtId="3" fontId="41" fillId="0" borderId="56" xfId="104" applyNumberFormat="1" applyFont="1" applyFill="1" applyBorder="1" applyAlignment="1">
      <alignment/>
      <protection/>
    </xf>
    <xf numFmtId="0" fontId="44" fillId="0" borderId="0" xfId="95" applyFont="1" applyFill="1">
      <alignment/>
      <protection/>
    </xf>
    <xf numFmtId="0" fontId="44" fillId="0" borderId="0" xfId="95" applyFont="1" applyFill="1" applyBorder="1">
      <alignment/>
      <protection/>
    </xf>
    <xf numFmtId="0" fontId="43" fillId="0" borderId="0" xfId="95" applyFont="1" applyAlignment="1">
      <alignment horizontal="center" vertical="center" wrapText="1"/>
      <protection/>
    </xf>
    <xf numFmtId="0" fontId="44" fillId="0" borderId="0" xfId="95" applyFont="1" applyAlignment="1">
      <alignment horizontal="left" vertical="center"/>
      <protection/>
    </xf>
    <xf numFmtId="0" fontId="44" fillId="0" borderId="0" xfId="95" applyFont="1" applyFill="1" applyAlignment="1">
      <alignment horizontal="left" vertical="center"/>
      <protection/>
    </xf>
    <xf numFmtId="0" fontId="43" fillId="0" borderId="0" xfId="95" applyFont="1" applyAlignment="1">
      <alignment horizontal="left" vertical="center"/>
      <protection/>
    </xf>
    <xf numFmtId="0" fontId="44" fillId="0" borderId="0" xfId="95" applyFont="1">
      <alignment/>
      <protection/>
    </xf>
    <xf numFmtId="3" fontId="43" fillId="0" borderId="0" xfId="95" applyNumberFormat="1" applyFont="1" applyFill="1" applyAlignment="1">
      <alignment horizontal="right"/>
      <protection/>
    </xf>
    <xf numFmtId="3" fontId="12" fillId="0" borderId="126" xfId="0" applyNumberFormat="1" applyFont="1" applyFill="1" applyBorder="1" applyAlignment="1">
      <alignment horizontal="left" vertical="center"/>
    </xf>
    <xf numFmtId="3" fontId="12" fillId="0" borderId="123" xfId="0" applyNumberFormat="1" applyFont="1" applyFill="1" applyBorder="1" applyAlignment="1">
      <alignment horizontal="left" vertical="center"/>
    </xf>
    <xf numFmtId="3" fontId="11" fillId="0" borderId="21" xfId="0" applyNumberFormat="1" applyFont="1" applyFill="1" applyBorder="1" applyAlignment="1">
      <alignment vertical="center"/>
    </xf>
    <xf numFmtId="3" fontId="18" fillId="0" borderId="35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1" fillId="0" borderId="133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left" vertical="center"/>
    </xf>
    <xf numFmtId="0" fontId="41" fillId="0" borderId="56" xfId="104" applyFont="1" applyFill="1" applyBorder="1" applyAlignment="1">
      <alignment horizontal="left" vertical="center" indent="1"/>
      <protection/>
    </xf>
    <xf numFmtId="0" fontId="0" fillId="0" borderId="5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4" fillId="0" borderId="56" xfId="0" applyFont="1" applyBorder="1" applyAlignment="1">
      <alignment horizontal="left" wrapText="1" indent="2"/>
    </xf>
    <xf numFmtId="3" fontId="34" fillId="0" borderId="56" xfId="0" applyNumberFormat="1" applyFont="1" applyBorder="1" applyAlignment="1">
      <alignment/>
    </xf>
    <xf numFmtId="3" fontId="35" fillId="0" borderId="56" xfId="0" applyNumberFormat="1" applyFont="1" applyBorder="1" applyAlignment="1">
      <alignment/>
    </xf>
    <xf numFmtId="0" fontId="0" fillId="0" borderId="0" xfId="0" applyAlignment="1">
      <alignment horizontal="right"/>
    </xf>
    <xf numFmtId="3" fontId="3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35" fillId="0" borderId="56" xfId="0" applyNumberFormat="1" applyFont="1" applyBorder="1" applyAlignment="1">
      <alignment horizontal="center" vertical="center" wrapText="1"/>
    </xf>
    <xf numFmtId="3" fontId="17" fillId="0" borderId="44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47" fillId="0" borderId="0" xfId="0" applyFont="1" applyFill="1" applyAlignment="1">
      <alignment vertical="center" shrinkToFit="1"/>
    </xf>
    <xf numFmtId="0" fontId="48" fillId="0" borderId="0" xfId="0" applyFont="1" applyFill="1" applyAlignment="1">
      <alignment horizontal="right" vertical="center" shrinkToFit="1"/>
    </xf>
    <xf numFmtId="0" fontId="20" fillId="0" borderId="75" xfId="0" applyFont="1" applyFill="1" applyBorder="1" applyAlignment="1">
      <alignment vertical="center"/>
    </xf>
    <xf numFmtId="0" fontId="20" fillId="0" borderId="76" xfId="0" applyFont="1" applyFill="1" applyBorder="1" applyAlignment="1">
      <alignment vertical="center"/>
    </xf>
    <xf numFmtId="0" fontId="19" fillId="0" borderId="149" xfId="0" applyFont="1" applyFill="1" applyBorder="1" applyAlignment="1">
      <alignment horizontal="center" vertical="center"/>
    </xf>
    <xf numFmtId="0" fontId="49" fillId="0" borderId="15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20" fillId="0" borderId="151" xfId="0" applyFont="1" applyFill="1" applyBorder="1" applyAlignment="1">
      <alignment horizontal="center" vertical="center" shrinkToFit="1"/>
    </xf>
    <xf numFmtId="0" fontId="20" fillId="0" borderId="123" xfId="0" applyFont="1" applyFill="1" applyBorder="1" applyAlignment="1">
      <alignment vertical="center" wrapText="1"/>
    </xf>
    <xf numFmtId="3" fontId="20" fillId="0" borderId="152" xfId="0" applyNumberFormat="1" applyFont="1" applyFill="1" applyBorder="1" applyAlignment="1">
      <alignment horizontal="right" vertical="center" shrinkToFit="1"/>
    </xf>
    <xf numFmtId="3" fontId="19" fillId="0" borderId="35" xfId="0" applyNumberFormat="1" applyFont="1" applyFill="1" applyBorder="1" applyAlignment="1">
      <alignment horizontal="right" vertical="center" shrinkToFit="1"/>
    </xf>
    <xf numFmtId="3" fontId="47" fillId="0" borderId="0" xfId="0" applyNumberFormat="1" applyFont="1" applyFill="1" applyAlignment="1">
      <alignment vertical="center" shrinkToFit="1"/>
    </xf>
    <xf numFmtId="0" fontId="20" fillId="0" borderId="63" xfId="0" applyFont="1" applyFill="1" applyBorder="1" applyAlignment="1">
      <alignment horizontal="center" vertical="center" shrinkToFit="1"/>
    </xf>
    <xf numFmtId="0" fontId="20" fillId="0" borderId="144" xfId="0" applyFont="1" applyFill="1" applyBorder="1" applyAlignment="1">
      <alignment vertical="center" wrapText="1"/>
    </xf>
    <xf numFmtId="3" fontId="20" fillId="0" borderId="153" xfId="0" applyNumberFormat="1" applyFont="1" applyFill="1" applyBorder="1" applyAlignment="1">
      <alignment horizontal="right" vertical="center" shrinkToFit="1"/>
    </xf>
    <xf numFmtId="3" fontId="19" fillId="0" borderId="36" xfId="0" applyNumberFormat="1" applyFont="1" applyFill="1" applyBorder="1" applyAlignment="1">
      <alignment horizontal="right" vertical="center" shrinkToFit="1"/>
    </xf>
    <xf numFmtId="0" fontId="20" fillId="0" borderId="144" xfId="0" applyFont="1" applyFill="1" applyBorder="1" applyAlignment="1" quotePrefix="1">
      <alignment horizontal="left" vertical="center" wrapText="1"/>
    </xf>
    <xf numFmtId="3" fontId="19" fillId="0" borderId="154" xfId="0" applyNumberFormat="1" applyFont="1" applyFill="1" applyBorder="1" applyAlignment="1">
      <alignment horizontal="right" vertical="center"/>
    </xf>
    <xf numFmtId="3" fontId="19" fillId="0" borderId="136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20" fillId="0" borderId="30" xfId="0" applyFont="1" applyFill="1" applyBorder="1" applyAlignment="1">
      <alignment vertical="center" shrinkToFit="1"/>
    </xf>
    <xf numFmtId="0" fontId="20" fillId="0" borderId="41" xfId="0" applyFont="1" applyFill="1" applyBorder="1" applyAlignment="1">
      <alignment vertical="center" shrinkToFit="1"/>
    </xf>
    <xf numFmtId="0" fontId="20" fillId="0" borderId="155" xfId="0" applyFont="1" applyFill="1" applyBorder="1" applyAlignment="1">
      <alignment vertical="center" shrinkToFit="1"/>
    </xf>
    <xf numFmtId="0" fontId="20" fillId="0" borderId="156" xfId="0" applyFont="1" applyFill="1" applyBorder="1" applyAlignment="1">
      <alignment vertical="center" shrinkToFit="1"/>
    </xf>
    <xf numFmtId="0" fontId="20" fillId="0" borderId="32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67" xfId="0" applyFont="1" applyFill="1" applyBorder="1" applyAlignment="1">
      <alignment vertical="center" shrinkToFit="1"/>
    </xf>
    <xf numFmtId="0" fontId="20" fillId="0" borderId="41" xfId="0" applyFont="1" applyFill="1" applyBorder="1" applyAlignment="1">
      <alignment horizontal="right" vertical="center" shrinkToFit="1"/>
    </xf>
    <xf numFmtId="0" fontId="19" fillId="0" borderId="157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vertical="center" shrinkToFit="1"/>
    </xf>
    <xf numFmtId="0" fontId="20" fillId="0" borderId="158" xfId="0" applyFont="1" applyFill="1" applyBorder="1" applyAlignment="1">
      <alignment vertical="center" shrinkToFit="1"/>
    </xf>
    <xf numFmtId="0" fontId="20" fillId="0" borderId="42" xfId="0" applyFont="1" applyFill="1" applyBorder="1" applyAlignment="1">
      <alignment vertical="center" shrinkToFit="1"/>
    </xf>
    <xf numFmtId="0" fontId="20" fillId="0" borderId="159" xfId="0" applyFont="1" applyFill="1" applyBorder="1" applyAlignment="1">
      <alignment horizontal="center" vertical="center" shrinkToFit="1"/>
    </xf>
    <xf numFmtId="0" fontId="20" fillId="0" borderId="123" xfId="0" applyFont="1" applyFill="1" applyBorder="1" applyAlignment="1">
      <alignment vertical="center" shrinkToFit="1"/>
    </xf>
    <xf numFmtId="2" fontId="17" fillId="0" borderId="44" xfId="0" applyNumberFormat="1" applyFont="1" applyFill="1" applyBorder="1" applyAlignment="1">
      <alignment wrapText="1"/>
    </xf>
    <xf numFmtId="0" fontId="20" fillId="0" borderId="144" xfId="0" applyFont="1" applyFill="1" applyBorder="1" applyAlignment="1">
      <alignment vertical="center" shrinkToFit="1"/>
    </xf>
    <xf numFmtId="0" fontId="20" fillId="0" borderId="160" xfId="0" applyFont="1" applyFill="1" applyBorder="1" applyAlignment="1">
      <alignment horizontal="center" vertical="center" shrinkToFit="1"/>
    </xf>
    <xf numFmtId="0" fontId="20" fillId="0" borderId="133" xfId="0" applyFont="1" applyFill="1" applyBorder="1" applyAlignment="1">
      <alignment vertical="center" wrapText="1"/>
    </xf>
    <xf numFmtId="3" fontId="17" fillId="0" borderId="130" xfId="0" applyNumberFormat="1" applyFont="1" applyFill="1" applyBorder="1" applyAlignment="1">
      <alignment vertical="center" wrapText="1"/>
    </xf>
    <xf numFmtId="0" fontId="20" fillId="0" borderId="161" xfId="0" applyFont="1" applyFill="1" applyBorder="1" applyAlignment="1">
      <alignment vertical="center" shrinkToFit="1"/>
    </xf>
    <xf numFmtId="3" fontId="20" fillId="0" borderId="162" xfId="0" applyNumberFormat="1" applyFont="1" applyFill="1" applyBorder="1" applyAlignment="1">
      <alignment horizontal="right" vertical="center" shrinkToFit="1"/>
    </xf>
    <xf numFmtId="3" fontId="17" fillId="0" borderId="161" xfId="0" applyNumberFormat="1" applyFont="1" applyFill="1" applyBorder="1" applyAlignment="1">
      <alignment horizontal="left" vertical="center" wrapText="1"/>
    </xf>
    <xf numFmtId="0" fontId="20" fillId="0" borderId="163" xfId="0" applyFont="1" applyFill="1" applyBorder="1" applyAlignment="1">
      <alignment horizontal="center" vertical="center" shrinkToFit="1"/>
    </xf>
    <xf numFmtId="0" fontId="20" fillId="0" borderId="164" xfId="0" applyFont="1" applyFill="1" applyBorder="1" applyAlignment="1">
      <alignment vertical="center" shrinkToFit="1"/>
    </xf>
    <xf numFmtId="3" fontId="20" fillId="0" borderId="158" xfId="0" applyNumberFormat="1" applyFont="1" applyFill="1" applyBorder="1" applyAlignment="1">
      <alignment horizontal="right" vertical="center" shrinkToFit="1"/>
    </xf>
    <xf numFmtId="3" fontId="19" fillId="0" borderId="42" xfId="0" applyNumberFormat="1" applyFont="1" applyFill="1" applyBorder="1" applyAlignment="1">
      <alignment horizontal="right" vertical="center" shrinkToFit="1"/>
    </xf>
    <xf numFmtId="3" fontId="19" fillId="0" borderId="165" xfId="0" applyNumberFormat="1" applyFont="1" applyFill="1" applyBorder="1" applyAlignment="1">
      <alignment horizontal="right" vertical="center" shrinkToFit="1"/>
    </xf>
    <xf numFmtId="0" fontId="38" fillId="0" borderId="0" xfId="0" applyFont="1" applyFill="1" applyBorder="1" applyAlignment="1">
      <alignment vertical="center" shrinkToFit="1"/>
    </xf>
    <xf numFmtId="3" fontId="20" fillId="0" borderId="0" xfId="0" applyNumberFormat="1" applyFont="1" applyFill="1" applyAlignment="1">
      <alignment vertical="center" shrinkToFit="1"/>
    </xf>
    <xf numFmtId="0" fontId="19" fillId="0" borderId="76" xfId="0" applyFont="1" applyFill="1" applyBorder="1" applyAlignment="1">
      <alignment horizontal="center" vertical="center"/>
    </xf>
    <xf numFmtId="3" fontId="20" fillId="0" borderId="123" xfId="0" applyNumberFormat="1" applyFont="1" applyFill="1" applyBorder="1" applyAlignment="1">
      <alignment horizontal="right" vertical="center" shrinkToFit="1"/>
    </xf>
    <xf numFmtId="3" fontId="20" fillId="0" borderId="144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horizontal="right" vertical="center" shrinkToFit="1"/>
    </xf>
    <xf numFmtId="0" fontId="19" fillId="0" borderId="166" xfId="0" applyFont="1" applyFill="1" applyBorder="1" applyAlignment="1">
      <alignment horizontal="center" vertical="center"/>
    </xf>
    <xf numFmtId="0" fontId="19" fillId="0" borderId="167" xfId="0" applyFont="1" applyFill="1" applyBorder="1" applyAlignment="1">
      <alignment horizontal="center" vertical="center"/>
    </xf>
    <xf numFmtId="3" fontId="20" fillId="0" borderId="168" xfId="0" applyNumberFormat="1" applyFont="1" applyFill="1" applyBorder="1" applyAlignment="1">
      <alignment horizontal="right" vertical="center" shrinkToFit="1"/>
    </xf>
    <xf numFmtId="3" fontId="20" fillId="0" borderId="169" xfId="0" applyNumberFormat="1" applyFont="1" applyFill="1" applyBorder="1" applyAlignment="1">
      <alignment horizontal="right" vertical="center" shrinkToFit="1"/>
    </xf>
    <xf numFmtId="3" fontId="20" fillId="0" borderId="170" xfId="0" applyNumberFormat="1" applyFont="1" applyFill="1" applyBorder="1" applyAlignment="1">
      <alignment horizontal="right" vertical="center" shrinkToFit="1"/>
    </xf>
    <xf numFmtId="3" fontId="19" fillId="0" borderId="118" xfId="0" applyNumberFormat="1" applyFont="1" applyFill="1" applyBorder="1" applyAlignment="1">
      <alignment horizontal="right" vertical="center" shrinkToFit="1"/>
    </xf>
    <xf numFmtId="0" fontId="51" fillId="0" borderId="0" xfId="99" applyFont="1">
      <alignment/>
      <protection/>
    </xf>
    <xf numFmtId="0" fontId="51" fillId="0" borderId="0" xfId="99" applyFont="1" applyAlignment="1">
      <alignment vertical="center"/>
      <protection/>
    </xf>
    <xf numFmtId="0" fontId="0" fillId="0" borderId="0" xfId="99">
      <alignment/>
      <protection/>
    </xf>
    <xf numFmtId="0" fontId="15" fillId="0" borderId="0" xfId="99" applyFont="1" applyAlignment="1">
      <alignment horizontal="right"/>
      <protection/>
    </xf>
    <xf numFmtId="0" fontId="15" fillId="0" borderId="5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/>
    </xf>
    <xf numFmtId="0" fontId="15" fillId="48" borderId="22" xfId="105" applyFont="1" applyFill="1" applyBorder="1" applyAlignment="1">
      <alignment horizontal="left" wrapText="1" shrinkToFit="1"/>
      <protection/>
    </xf>
    <xf numFmtId="3" fontId="15" fillId="0" borderId="22" xfId="0" applyNumberFormat="1" applyFont="1" applyBorder="1" applyAlignment="1">
      <alignment/>
    </xf>
    <xf numFmtId="3" fontId="15" fillId="0" borderId="22" xfId="0" applyNumberFormat="1" applyFont="1" applyBorder="1" applyAlignment="1">
      <alignment horizontal="right"/>
    </xf>
    <xf numFmtId="0" fontId="0" fillId="0" borderId="0" xfId="99" applyFont="1">
      <alignment/>
      <protection/>
    </xf>
    <xf numFmtId="0" fontId="15" fillId="0" borderId="56" xfId="0" applyFont="1" applyBorder="1" applyAlignment="1">
      <alignment horizontal="left" wrapText="1"/>
    </xf>
    <xf numFmtId="3" fontId="15" fillId="0" borderId="56" xfId="0" applyNumberFormat="1" applyFont="1" applyBorder="1" applyAlignment="1">
      <alignment/>
    </xf>
    <xf numFmtId="0" fontId="15" fillId="0" borderId="21" xfId="0" applyFont="1" applyBorder="1" applyAlignment="1">
      <alignment horizontal="left" wrapText="1"/>
    </xf>
    <xf numFmtId="3" fontId="15" fillId="0" borderId="21" xfId="0" applyNumberFormat="1" applyFont="1" applyBorder="1" applyAlignment="1">
      <alignment/>
    </xf>
    <xf numFmtId="0" fontId="15" fillId="0" borderId="51" xfId="0" applyFont="1" applyBorder="1" applyAlignment="1">
      <alignment horizontal="left" wrapText="1"/>
    </xf>
    <xf numFmtId="3" fontId="15" fillId="0" borderId="51" xfId="0" applyNumberFormat="1" applyFont="1" applyBorder="1" applyAlignment="1">
      <alignment/>
    </xf>
    <xf numFmtId="0" fontId="15" fillId="0" borderId="72" xfId="0" applyFont="1" applyBorder="1" applyAlignment="1">
      <alignment horizontal="left" wrapText="1"/>
    </xf>
    <xf numFmtId="3" fontId="15" fillId="0" borderId="72" xfId="0" applyNumberFormat="1" applyFont="1" applyBorder="1" applyAlignment="1">
      <alignment/>
    </xf>
    <xf numFmtId="0" fontId="15" fillId="0" borderId="70" xfId="0" applyFont="1" applyBorder="1" applyAlignment="1">
      <alignment horizontal="left" wrapText="1"/>
    </xf>
    <xf numFmtId="3" fontId="15" fillId="0" borderId="70" xfId="0" applyNumberFormat="1" applyFont="1" applyBorder="1" applyAlignment="1">
      <alignment/>
    </xf>
    <xf numFmtId="0" fontId="15" fillId="0" borderId="70" xfId="105" applyFont="1" applyBorder="1" applyAlignment="1">
      <alignment horizontal="left" wrapText="1" shrinkToFit="1"/>
      <protection/>
    </xf>
    <xf numFmtId="0" fontId="54" fillId="0" borderId="0" xfId="99" applyFont="1">
      <alignment/>
      <protection/>
    </xf>
    <xf numFmtId="3" fontId="54" fillId="0" borderId="0" xfId="99" applyNumberFormat="1" applyFont="1">
      <alignment/>
      <protection/>
    </xf>
    <xf numFmtId="3" fontId="15" fillId="0" borderId="56" xfId="99" applyNumberFormat="1" applyFont="1" applyBorder="1">
      <alignment/>
      <protection/>
    </xf>
    <xf numFmtId="3" fontId="15" fillId="0" borderId="51" xfId="99" applyNumberFormat="1" applyFont="1" applyBorder="1">
      <alignment/>
      <protection/>
    </xf>
    <xf numFmtId="0" fontId="15" fillId="0" borderId="70" xfId="99" applyFont="1" applyBorder="1">
      <alignment/>
      <protection/>
    </xf>
    <xf numFmtId="3" fontId="15" fillId="0" borderId="70" xfId="99" applyNumberFormat="1" applyFont="1" applyBorder="1">
      <alignment/>
      <protection/>
    </xf>
    <xf numFmtId="0" fontId="15" fillId="0" borderId="51" xfId="99" applyFont="1" applyBorder="1">
      <alignment/>
      <protection/>
    </xf>
    <xf numFmtId="0" fontId="15" fillId="0" borderId="56" xfId="99" applyFont="1" applyBorder="1">
      <alignment/>
      <protection/>
    </xf>
    <xf numFmtId="0" fontId="15" fillId="0" borderId="72" xfId="99" applyFont="1" applyBorder="1">
      <alignment/>
      <protection/>
    </xf>
    <xf numFmtId="3" fontId="15" fillId="0" borderId="72" xfId="99" applyNumberFormat="1" applyFont="1" applyBorder="1">
      <alignment/>
      <protection/>
    </xf>
    <xf numFmtId="3" fontId="15" fillId="0" borderId="55" xfId="99" applyNumberFormat="1" applyFont="1" applyBorder="1">
      <alignment/>
      <protection/>
    </xf>
    <xf numFmtId="0" fontId="15" fillId="0" borderId="21" xfId="99" applyFont="1" applyBorder="1">
      <alignment/>
      <protection/>
    </xf>
    <xf numFmtId="3" fontId="15" fillId="0" borderId="21" xfId="99" applyNumberFormat="1" applyFont="1" applyBorder="1">
      <alignment/>
      <protection/>
    </xf>
    <xf numFmtId="0" fontId="55" fillId="0" borderId="0" xfId="0" applyFont="1" applyAlignment="1">
      <alignment horizontal="center"/>
    </xf>
    <xf numFmtId="0" fontId="4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57" xfId="0" applyFont="1" applyBorder="1" applyAlignment="1">
      <alignment horizontal="center"/>
    </xf>
    <xf numFmtId="0" fontId="39" fillId="0" borderId="81" xfId="0" applyFont="1" applyBorder="1" applyAlignment="1">
      <alignment/>
    </xf>
    <xf numFmtId="3" fontId="39" fillId="0" borderId="171" xfId="0" applyNumberFormat="1" applyFont="1" applyBorder="1" applyAlignment="1">
      <alignment/>
    </xf>
    <xf numFmtId="3" fontId="55" fillId="0" borderId="51" xfId="0" applyNumberFormat="1" applyFont="1" applyBorder="1" applyAlignment="1">
      <alignment/>
    </xf>
    <xf numFmtId="3" fontId="55" fillId="0" borderId="142" xfId="0" applyNumberFormat="1" applyFont="1" applyBorder="1" applyAlignment="1">
      <alignment/>
    </xf>
    <xf numFmtId="3" fontId="55" fillId="0" borderId="56" xfId="0" applyNumberFormat="1" applyFont="1" applyBorder="1" applyAlignment="1">
      <alignment/>
    </xf>
    <xf numFmtId="3" fontId="56" fillId="0" borderId="172" xfId="0" applyNumberFormat="1" applyFont="1" applyBorder="1" applyAlignment="1">
      <alignment/>
    </xf>
    <xf numFmtId="3" fontId="52" fillId="0" borderId="72" xfId="0" applyNumberFormat="1" applyFont="1" applyBorder="1" applyAlignment="1">
      <alignment vertical="center"/>
    </xf>
    <xf numFmtId="3" fontId="56" fillId="0" borderId="173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57" fillId="0" borderId="0" xfId="0" applyFont="1" applyAlignment="1">
      <alignment horizontal="left"/>
    </xf>
    <xf numFmtId="0" fontId="55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3" fontId="45" fillId="0" borderId="0" xfId="0" applyNumberFormat="1" applyFont="1" applyBorder="1" applyAlignment="1">
      <alignment vertical="center"/>
    </xf>
    <xf numFmtId="3" fontId="56" fillId="0" borderId="0" xfId="0" applyNumberFormat="1" applyFont="1" applyBorder="1" applyAlignment="1">
      <alignment vertical="center"/>
    </xf>
    <xf numFmtId="0" fontId="39" fillId="0" borderId="171" xfId="0" applyFont="1" applyBorder="1" applyAlignment="1">
      <alignment horizontal="left" wrapText="1"/>
    </xf>
    <xf numFmtId="3" fontId="55" fillId="0" borderId="79" xfId="0" applyNumberFormat="1" applyFont="1" applyBorder="1" applyAlignment="1">
      <alignment/>
    </xf>
    <xf numFmtId="3" fontId="52" fillId="0" borderId="72" xfId="0" applyNumberFormat="1" applyFont="1" applyBorder="1" applyAlignment="1">
      <alignment horizontal="right" vertical="center"/>
    </xf>
    <xf numFmtId="3" fontId="56" fillId="0" borderId="94" xfId="0" applyNumberFormat="1" applyFont="1" applyBorder="1" applyAlignment="1">
      <alignment vertical="center"/>
    </xf>
    <xf numFmtId="3" fontId="56" fillId="0" borderId="0" xfId="0" applyNumberFormat="1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56" xfId="103" applyFont="1" applyBorder="1" applyAlignment="1">
      <alignment horizontal="center" vertical="center"/>
      <protection/>
    </xf>
    <xf numFmtId="0" fontId="39" fillId="0" borderId="56" xfId="103" applyFont="1" applyBorder="1" applyAlignment="1">
      <alignment horizontal="center" vertical="center" wrapText="1"/>
      <protection/>
    </xf>
    <xf numFmtId="0" fontId="39" fillId="0" borderId="56" xfId="0" applyFont="1" applyBorder="1" applyAlignment="1">
      <alignment wrapText="1"/>
    </xf>
    <xf numFmtId="3" fontId="39" fillId="0" borderId="56" xfId="0" applyNumberFormat="1" applyFont="1" applyBorder="1" applyAlignment="1">
      <alignment/>
    </xf>
    <xf numFmtId="3" fontId="52" fillId="0" borderId="91" xfId="0" applyNumberFormat="1" applyFont="1" applyBorder="1" applyAlignment="1">
      <alignment horizontal="right"/>
    </xf>
    <xf numFmtId="0" fontId="39" fillId="0" borderId="0" xfId="0" applyFont="1" applyAlignment="1">
      <alignment/>
    </xf>
    <xf numFmtId="3" fontId="52" fillId="0" borderId="51" xfId="0" applyNumberFormat="1" applyFont="1" applyBorder="1" applyAlignment="1">
      <alignment/>
    </xf>
    <xf numFmtId="0" fontId="52" fillId="0" borderId="0" xfId="0" applyFont="1" applyAlignment="1">
      <alignment/>
    </xf>
    <xf numFmtId="0" fontId="39" fillId="0" borderId="71" xfId="0" applyFont="1" applyBorder="1" applyAlignment="1" quotePrefix="1">
      <alignment horizontal="center"/>
    </xf>
    <xf numFmtId="0" fontId="39" fillId="0" borderId="23" xfId="0" applyFont="1" applyBorder="1" applyAlignment="1">
      <alignment wrapText="1"/>
    </xf>
    <xf numFmtId="3" fontId="39" fillId="0" borderId="72" xfId="0" applyNumberFormat="1" applyFont="1" applyBorder="1" applyAlignment="1">
      <alignment/>
    </xf>
    <xf numFmtId="3" fontId="52" fillId="0" borderId="94" xfId="0" applyNumberFormat="1" applyFont="1" applyBorder="1" applyAlignment="1">
      <alignment horizontal="right"/>
    </xf>
    <xf numFmtId="0" fontId="27" fillId="0" borderId="0" xfId="0" applyFont="1" applyAlignment="1">
      <alignment vertical="center" wrapText="1"/>
    </xf>
    <xf numFmtId="0" fontId="0" fillId="0" borderId="0" xfId="102">
      <alignment/>
      <protection/>
    </xf>
    <xf numFmtId="0" fontId="58" fillId="0" borderId="57" xfId="102" applyFont="1" applyBorder="1" applyAlignment="1">
      <alignment horizontal="center"/>
      <protection/>
    </xf>
    <xf numFmtId="0" fontId="59" fillId="0" borderId="63" xfId="102" applyFont="1" applyBorder="1" applyAlignment="1">
      <alignment horizontal="center"/>
      <protection/>
    </xf>
    <xf numFmtId="0" fontId="59" fillId="0" borderId="20" xfId="102" applyFont="1" applyBorder="1" applyAlignment="1">
      <alignment horizontal="left" wrapText="1"/>
      <protection/>
    </xf>
    <xf numFmtId="0" fontId="59" fillId="0" borderId="37" xfId="102" applyFont="1" applyBorder="1" applyAlignment="1">
      <alignment horizontal="center"/>
      <protection/>
    </xf>
    <xf numFmtId="0" fontId="59" fillId="0" borderId="21" xfId="102" applyFont="1" applyBorder="1" applyAlignment="1">
      <alignment horizontal="left" wrapText="1"/>
      <protection/>
    </xf>
    <xf numFmtId="0" fontId="59" fillId="0" borderId="151" xfId="102" applyFont="1" applyBorder="1" applyAlignment="1">
      <alignment horizontal="center"/>
      <protection/>
    </xf>
    <xf numFmtId="0" fontId="61" fillId="0" borderId="106" xfId="102" applyFont="1" applyBorder="1">
      <alignment/>
      <protection/>
    </xf>
    <xf numFmtId="0" fontId="59" fillId="0" borderId="159" xfId="102" applyFont="1" applyBorder="1" applyAlignment="1">
      <alignment horizontal="center"/>
      <protection/>
    </xf>
    <xf numFmtId="0" fontId="63" fillId="0" borderId="34" xfId="102" applyFont="1" applyBorder="1">
      <alignment/>
      <protection/>
    </xf>
    <xf numFmtId="0" fontId="59" fillId="0" borderId="124" xfId="102" applyFont="1" applyBorder="1" applyAlignment="1">
      <alignment horizontal="center"/>
      <protection/>
    </xf>
    <xf numFmtId="0" fontId="59" fillId="0" borderId="21" xfId="102" applyFont="1" applyBorder="1">
      <alignment/>
      <protection/>
    </xf>
    <xf numFmtId="0" fontId="58" fillId="0" borderId="151" xfId="102" applyFont="1" applyBorder="1" applyAlignment="1">
      <alignment horizontal="center"/>
      <protection/>
    </xf>
    <xf numFmtId="0" fontId="59" fillId="0" borderId="20" xfId="102" applyFont="1" applyFill="1" applyBorder="1">
      <alignment/>
      <protection/>
    </xf>
    <xf numFmtId="0" fontId="63" fillId="0" borderId="20" xfId="102" applyFont="1" applyFill="1" applyBorder="1">
      <alignment/>
      <protection/>
    </xf>
    <xf numFmtId="0" fontId="59" fillId="0" borderId="160" xfId="102" applyFont="1" applyBorder="1" applyAlignment="1">
      <alignment horizontal="center"/>
      <protection/>
    </xf>
    <xf numFmtId="0" fontId="59" fillId="0" borderId="19" xfId="102" applyFont="1" applyFill="1" applyBorder="1">
      <alignment/>
      <protection/>
    </xf>
    <xf numFmtId="0" fontId="59" fillId="0" borderId="174" xfId="102" applyFont="1" applyBorder="1" applyAlignment="1">
      <alignment horizontal="center"/>
      <protection/>
    </xf>
    <xf numFmtId="0" fontId="59" fillId="0" borderId="78" xfId="102" applyFont="1" applyBorder="1" applyAlignment="1">
      <alignment horizontal="center"/>
      <protection/>
    </xf>
    <xf numFmtId="0" fontId="59" fillId="0" borderId="51" xfId="102" applyFont="1" applyBorder="1" applyAlignment="1">
      <alignment wrapText="1"/>
      <protection/>
    </xf>
    <xf numFmtId="0" fontId="63" fillId="0" borderId="63" xfId="102" applyFont="1" applyBorder="1" applyAlignment="1">
      <alignment horizontal="center"/>
      <protection/>
    </xf>
    <xf numFmtId="0" fontId="63" fillId="0" borderId="20" xfId="102" applyFont="1" applyBorder="1" applyAlignment="1">
      <alignment wrapText="1"/>
      <protection/>
    </xf>
    <xf numFmtId="0" fontId="63" fillId="0" borderId="160" xfId="102" applyFont="1" applyBorder="1" applyAlignment="1">
      <alignment horizontal="center"/>
      <protection/>
    </xf>
    <xf numFmtId="0" fontId="63" fillId="0" borderId="19" xfId="102" applyFont="1" applyBorder="1" applyAlignment="1">
      <alignment wrapText="1"/>
      <protection/>
    </xf>
    <xf numFmtId="0" fontId="59" fillId="0" borderId="19" xfId="102" applyFont="1" applyBorder="1" applyAlignment="1">
      <alignment wrapText="1"/>
      <protection/>
    </xf>
    <xf numFmtId="0" fontId="58" fillId="0" borderId="174" xfId="102" applyFont="1" applyBorder="1" applyAlignment="1">
      <alignment horizontal="center"/>
      <protection/>
    </xf>
    <xf numFmtId="0" fontId="54" fillId="0" borderId="0" xfId="102" applyFont="1" applyAlignment="1">
      <alignment wrapText="1"/>
      <protection/>
    </xf>
    <xf numFmtId="0" fontId="54" fillId="0" borderId="0" xfId="102" applyFont="1" applyAlignment="1">
      <alignment horizontal="left" wrapText="1"/>
      <protection/>
    </xf>
    <xf numFmtId="0" fontId="54" fillId="0" borderId="0" xfId="99" applyFont="1" applyAlignment="1">
      <alignment horizontal="center"/>
      <protection/>
    </xf>
    <xf numFmtId="0" fontId="54" fillId="0" borderId="0" xfId="99" applyFont="1" applyAlignment="1">
      <alignment horizontal="right"/>
      <protection/>
    </xf>
    <xf numFmtId="3" fontId="0" fillId="0" borderId="0" xfId="99" applyNumberFormat="1">
      <alignment/>
      <protection/>
    </xf>
    <xf numFmtId="0" fontId="54" fillId="0" borderId="0" xfId="99" applyFont="1" applyAlignment="1">
      <alignment wrapText="1"/>
      <protection/>
    </xf>
    <xf numFmtId="0" fontId="54" fillId="0" borderId="0" xfId="99" applyFont="1" applyAlignment="1">
      <alignment horizontal="left" wrapText="1"/>
      <protection/>
    </xf>
    <xf numFmtId="0" fontId="83" fillId="0" borderId="56" xfId="104" applyFont="1" applyFill="1" applyBorder="1" applyAlignment="1">
      <alignment horizontal="center" vertical="center"/>
      <protection/>
    </xf>
    <xf numFmtId="3" fontId="83" fillId="0" borderId="56" xfId="104" applyNumberFormat="1" applyFont="1" applyFill="1" applyBorder="1" applyAlignment="1">
      <alignment horizontal="center" vertical="center"/>
      <protection/>
    </xf>
    <xf numFmtId="3" fontId="83" fillId="0" borderId="56" xfId="104" applyNumberFormat="1" applyFont="1" applyFill="1" applyBorder="1" applyAlignment="1">
      <alignment horizontal="center"/>
      <protection/>
    </xf>
    <xf numFmtId="0" fontId="85" fillId="0" borderId="0" xfId="104" applyFont="1" applyFill="1" applyAlignment="1">
      <alignment horizontal="center"/>
      <protection/>
    </xf>
    <xf numFmtId="0" fontId="84" fillId="0" borderId="0" xfId="104" applyFont="1" applyFill="1" applyBorder="1" applyAlignment="1">
      <alignment horizontal="center" vertical="center"/>
      <protection/>
    </xf>
    <xf numFmtId="3" fontId="84" fillId="0" borderId="0" xfId="104" applyNumberFormat="1" applyFont="1" applyFill="1" applyBorder="1" applyAlignment="1">
      <alignment horizontal="center" vertical="center"/>
      <protection/>
    </xf>
    <xf numFmtId="0" fontId="85" fillId="0" borderId="0" xfId="104" applyFont="1" applyFill="1" applyAlignment="1">
      <alignment horizontal="center" vertical="center"/>
      <protection/>
    </xf>
    <xf numFmtId="0" fontId="35" fillId="0" borderId="56" xfId="0" applyFont="1" applyBorder="1" applyAlignment="1">
      <alignment horizontal="center" wrapText="1"/>
    </xf>
    <xf numFmtId="3" fontId="35" fillId="0" borderId="56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3" fontId="35" fillId="0" borderId="0" xfId="0" applyNumberFormat="1" applyFont="1" applyAlignment="1">
      <alignment horizontal="center"/>
    </xf>
    <xf numFmtId="1" fontId="17" fillId="0" borderId="0" xfId="106" applyNumberFormat="1" applyFont="1" applyFill="1" applyAlignment="1">
      <alignment horizontal="right" vertical="center"/>
      <protection/>
    </xf>
    <xf numFmtId="3" fontId="0" fillId="0" borderId="0" xfId="102" applyNumberFormat="1">
      <alignment/>
      <protection/>
    </xf>
    <xf numFmtId="0" fontId="87" fillId="0" borderId="0" xfId="95" applyFont="1" applyAlignment="1">
      <alignment horizontal="left" vertical="center"/>
      <protection/>
    </xf>
    <xf numFmtId="0" fontId="87" fillId="0" borderId="0" xfId="95" applyFont="1" applyFill="1" applyAlignment="1">
      <alignment horizontal="left" vertical="center"/>
      <protection/>
    </xf>
    <xf numFmtId="0" fontId="88" fillId="0" borderId="56" xfId="0" applyFont="1" applyBorder="1" applyAlignment="1">
      <alignment wrapText="1"/>
    </xf>
    <xf numFmtId="3" fontId="88" fillId="0" borderId="56" xfId="0" applyNumberFormat="1" applyFont="1" applyBorder="1" applyAlignment="1">
      <alignment/>
    </xf>
    <xf numFmtId="0" fontId="88" fillId="0" borderId="0" xfId="0" applyFont="1" applyAlignment="1">
      <alignment/>
    </xf>
    <xf numFmtId="0" fontId="85" fillId="0" borderId="0" xfId="104" applyFont="1" applyFill="1" applyAlignment="1">
      <alignment/>
      <protection/>
    </xf>
    <xf numFmtId="0" fontId="85" fillId="0" borderId="0" xfId="104" applyFont="1" applyFill="1" applyAlignment="1">
      <alignment horizontal="right"/>
      <protection/>
    </xf>
    <xf numFmtId="0" fontId="85" fillId="0" borderId="0" xfId="104" applyFont="1" applyFill="1" applyAlignment="1">
      <alignment horizontal="justify"/>
      <protection/>
    </xf>
    <xf numFmtId="0" fontId="85" fillId="0" borderId="0" xfId="104" applyFont="1" applyFill="1" applyBorder="1" applyAlignment="1">
      <alignment horizontal="justify" vertical="center"/>
      <protection/>
    </xf>
    <xf numFmtId="3" fontId="85" fillId="0" borderId="0" xfId="104" applyNumberFormat="1" applyFont="1" applyFill="1" applyBorder="1" applyAlignment="1">
      <alignment vertical="center"/>
      <protection/>
    </xf>
    <xf numFmtId="0" fontId="90" fillId="0" borderId="0" xfId="104" applyFont="1" applyFill="1" applyAlignment="1">
      <alignment/>
      <protection/>
    </xf>
    <xf numFmtId="0" fontId="9" fillId="0" borderId="0" xfId="104" applyFont="1" applyFill="1" applyAlignment="1">
      <alignment/>
      <protection/>
    </xf>
    <xf numFmtId="3" fontId="85" fillId="0" borderId="0" xfId="104" applyNumberFormat="1" applyFont="1" applyFill="1" applyAlignment="1">
      <alignment horizontal="center"/>
      <protection/>
    </xf>
    <xf numFmtId="0" fontId="90" fillId="0" borderId="56" xfId="104" applyFont="1" applyFill="1" applyBorder="1" applyAlignment="1">
      <alignment horizontal="center" vertical="center"/>
      <protection/>
    </xf>
    <xf numFmtId="0" fontId="90" fillId="0" borderId="56" xfId="104" applyFont="1" applyFill="1" applyBorder="1" applyAlignment="1">
      <alignment horizontal="center" vertical="center" wrapText="1"/>
      <protection/>
    </xf>
    <xf numFmtId="0" fontId="90" fillId="0" borderId="56" xfId="104" applyFont="1" applyFill="1" applyBorder="1" applyAlignment="1">
      <alignment horizontal="center"/>
      <protection/>
    </xf>
    <xf numFmtId="3" fontId="90" fillId="0" borderId="56" xfId="104" applyNumberFormat="1" applyFont="1" applyFill="1" applyBorder="1" applyAlignment="1">
      <alignment horizontal="center"/>
      <protection/>
    </xf>
    <xf numFmtId="0" fontId="85" fillId="0" borderId="56" xfId="104" applyFont="1" applyFill="1" applyBorder="1" applyAlignment="1">
      <alignment vertical="center"/>
      <protection/>
    </xf>
    <xf numFmtId="0" fontId="85" fillId="0" borderId="56" xfId="104" applyFont="1" applyFill="1" applyBorder="1" applyAlignment="1">
      <alignment horizontal="center" vertical="center"/>
      <protection/>
    </xf>
    <xf numFmtId="0" fontId="90" fillId="0" borderId="56" xfId="104" applyFont="1" applyFill="1" applyBorder="1" applyAlignment="1">
      <alignment vertical="center"/>
      <protection/>
    </xf>
    <xf numFmtId="3" fontId="90" fillId="0" borderId="56" xfId="104" applyNumberFormat="1" applyFont="1" applyFill="1" applyBorder="1" applyAlignment="1">
      <alignment vertical="center"/>
      <protection/>
    </xf>
    <xf numFmtId="0" fontId="85" fillId="0" borderId="56" xfId="104" applyFont="1" applyFill="1" applyBorder="1" applyAlignment="1">
      <alignment horizontal="left" vertical="center"/>
      <protection/>
    </xf>
    <xf numFmtId="3" fontId="84" fillId="0" borderId="56" xfId="104" applyNumberFormat="1" applyFont="1" applyFill="1" applyBorder="1" applyAlignment="1">
      <alignment vertical="center"/>
      <protection/>
    </xf>
    <xf numFmtId="3" fontId="85" fillId="0" borderId="56" xfId="104" applyNumberFormat="1" applyFont="1" applyFill="1" applyBorder="1" applyAlignment="1">
      <alignment vertical="center"/>
      <protection/>
    </xf>
    <xf numFmtId="3" fontId="85" fillId="0" borderId="56" xfId="104" applyNumberFormat="1" applyFont="1" applyFill="1" applyBorder="1" applyAlignment="1">
      <alignment horizontal="right" vertical="center"/>
      <protection/>
    </xf>
    <xf numFmtId="0" fontId="85" fillId="0" borderId="56" xfId="104" applyFont="1" applyFill="1" applyBorder="1" applyAlignment="1">
      <alignment horizontal="left" vertical="center" wrapText="1"/>
      <protection/>
    </xf>
    <xf numFmtId="0" fontId="90" fillId="0" borderId="56" xfId="104" applyFont="1" applyFill="1" applyBorder="1" applyAlignment="1">
      <alignment horizontal="justify" vertical="center"/>
      <protection/>
    </xf>
    <xf numFmtId="3" fontId="90" fillId="0" borderId="56" xfId="104" applyNumberFormat="1" applyFont="1" applyFill="1" applyBorder="1" applyAlignment="1">
      <alignment horizontal="right" vertical="center"/>
      <protection/>
    </xf>
    <xf numFmtId="0" fontId="85" fillId="0" borderId="56" xfId="104" applyFont="1" applyFill="1" applyBorder="1" applyAlignment="1">
      <alignment horizontal="justify" vertical="center"/>
      <protection/>
    </xf>
    <xf numFmtId="0" fontId="44" fillId="0" borderId="0" xfId="93" applyFont="1">
      <alignment/>
      <protection/>
    </xf>
    <xf numFmtId="0" fontId="44" fillId="0" borderId="0" xfId="93" applyFont="1" applyBorder="1">
      <alignment/>
      <protection/>
    </xf>
    <xf numFmtId="0" fontId="44" fillId="0" borderId="0" xfId="93" applyFont="1" applyFill="1">
      <alignment/>
      <protection/>
    </xf>
    <xf numFmtId="0" fontId="44" fillId="0" borderId="0" xfId="93" applyFont="1" applyFill="1" applyAlignment="1">
      <alignment/>
      <protection/>
    </xf>
    <xf numFmtId="0" fontId="43" fillId="0" borderId="0" xfId="93" applyFont="1">
      <alignment/>
      <protection/>
    </xf>
    <xf numFmtId="0" fontId="43" fillId="0" borderId="0" xfId="93" applyFont="1" applyBorder="1">
      <alignment/>
      <protection/>
    </xf>
    <xf numFmtId="0" fontId="43" fillId="0" borderId="85" xfId="93" applyFont="1" applyBorder="1">
      <alignment/>
      <protection/>
    </xf>
    <xf numFmtId="3" fontId="17" fillId="0" borderId="41" xfId="106" applyNumberFormat="1" applyFont="1" applyFill="1" applyBorder="1" applyAlignment="1">
      <alignment horizontal="right" vertical="center"/>
      <protection/>
    </xf>
    <xf numFmtId="3" fontId="0" fillId="0" borderId="56" xfId="0" applyNumberFormat="1" applyFont="1" applyBorder="1" applyAlignment="1">
      <alignment/>
    </xf>
    <xf numFmtId="3" fontId="18" fillId="0" borderId="70" xfId="106" applyNumberFormat="1" applyFont="1" applyFill="1" applyBorder="1" applyAlignment="1">
      <alignment horizontal="left" vertical="center" wrapText="1"/>
      <protection/>
    </xf>
    <xf numFmtId="3" fontId="17" fillId="0" borderId="70" xfId="106" applyNumberFormat="1" applyFont="1" applyFill="1" applyBorder="1" applyAlignment="1">
      <alignment horizontal="right" vertical="center"/>
      <protection/>
    </xf>
    <xf numFmtId="4" fontId="18" fillId="0" borderId="91" xfId="106" applyNumberFormat="1" applyFont="1" applyFill="1" applyBorder="1" applyAlignment="1">
      <alignment horizontal="right" vertical="center"/>
      <protection/>
    </xf>
    <xf numFmtId="4" fontId="18" fillId="0" borderId="91" xfId="106" applyNumberFormat="1" applyFont="1" applyFill="1" applyBorder="1" applyAlignment="1">
      <alignment vertical="center"/>
      <protection/>
    </xf>
    <xf numFmtId="4" fontId="18" fillId="0" borderId="50" xfId="106" applyNumberFormat="1" applyFont="1" applyFill="1" applyBorder="1" applyAlignment="1">
      <alignment horizontal="right" vertical="center"/>
      <protection/>
    </xf>
    <xf numFmtId="4" fontId="18" fillId="0" borderId="94" xfId="106" applyNumberFormat="1" applyFont="1" applyFill="1" applyBorder="1" applyAlignment="1">
      <alignment horizontal="right" vertical="center"/>
      <protection/>
    </xf>
    <xf numFmtId="0" fontId="36" fillId="0" borderId="0" xfId="0" applyFont="1" applyFill="1" applyAlignment="1">
      <alignment horizontal="right" shrinkToFit="1"/>
    </xf>
    <xf numFmtId="3" fontId="17" fillId="0" borderId="22" xfId="0" applyNumberFormat="1" applyFont="1" applyFill="1" applyBorder="1" applyAlignment="1">
      <alignment horizontal="right" vertical="center" shrinkToFit="1"/>
    </xf>
    <xf numFmtId="2" fontId="17" fillId="0" borderId="34" xfId="0" applyNumberFormat="1" applyFont="1" applyFill="1" applyBorder="1" applyAlignment="1">
      <alignment horizontal="left" shrinkToFit="1"/>
    </xf>
    <xf numFmtId="2" fontId="17" fillId="0" borderId="0" xfId="0" applyNumberFormat="1" applyFont="1" applyFill="1" applyBorder="1" applyAlignment="1">
      <alignment vertical="center" wrapText="1"/>
    </xf>
    <xf numFmtId="2" fontId="17" fillId="0" borderId="40" xfId="0" applyNumberFormat="1" applyFont="1" applyFill="1" applyBorder="1" applyAlignment="1">
      <alignment vertical="center" wrapText="1"/>
    </xf>
    <xf numFmtId="3" fontId="17" fillId="0" borderId="19" xfId="0" applyNumberFormat="1" applyFont="1" applyFill="1" applyBorder="1" applyAlignment="1">
      <alignment vertical="center" wrapText="1"/>
    </xf>
    <xf numFmtId="3" fontId="17" fillId="0" borderId="21" xfId="0" applyNumberFormat="1" applyFont="1" applyFill="1" applyBorder="1" applyAlignment="1">
      <alignment horizontal="right" vertical="center" shrinkToFit="1"/>
    </xf>
    <xf numFmtId="2" fontId="18" fillId="0" borderId="52" xfId="0" applyNumberFormat="1" applyFont="1" applyFill="1" applyBorder="1" applyAlignment="1">
      <alignment shrinkToFit="1"/>
    </xf>
    <xf numFmtId="3" fontId="36" fillId="0" borderId="0" xfId="0" applyNumberFormat="1" applyFont="1" applyFill="1" applyAlignment="1">
      <alignment horizontal="justify" shrinkToFit="1"/>
    </xf>
    <xf numFmtId="3" fontId="4" fillId="0" borderId="0" xfId="0" applyNumberFormat="1" applyFont="1" applyFill="1" applyAlignment="1">
      <alignment shrinkToFit="1"/>
    </xf>
    <xf numFmtId="3" fontId="36" fillId="0" borderId="0" xfId="0" applyNumberFormat="1" applyFont="1" applyFill="1" applyAlignment="1">
      <alignment horizontal="right" shrinkToFit="1"/>
    </xf>
    <xf numFmtId="3" fontId="37" fillId="0" borderId="0" xfId="0" applyNumberFormat="1" applyFont="1" applyFill="1" applyAlignment="1">
      <alignment horizontal="justify" shrinkToFit="1"/>
    </xf>
    <xf numFmtId="0" fontId="144" fillId="0" borderId="0" xfId="0" applyFont="1" applyAlignment="1">
      <alignment/>
    </xf>
    <xf numFmtId="3" fontId="5" fillId="0" borderId="0" xfId="0" applyNumberFormat="1" applyFont="1" applyFill="1" applyAlignment="1">
      <alignment vertical="center" shrinkToFit="1"/>
    </xf>
    <xf numFmtId="0" fontId="0" fillId="0" borderId="0" xfId="0" applyFill="1" applyBorder="1" applyAlignment="1">
      <alignment wrapText="1"/>
    </xf>
    <xf numFmtId="0" fontId="59" fillId="0" borderId="19" xfId="102" applyFont="1" applyFill="1" applyBorder="1" applyAlignment="1">
      <alignment wrapText="1"/>
      <protection/>
    </xf>
    <xf numFmtId="0" fontId="59" fillId="0" borderId="20" xfId="102" applyFont="1" applyBorder="1">
      <alignment/>
      <protection/>
    </xf>
    <xf numFmtId="0" fontId="59" fillId="0" borderId="19" xfId="102" applyFont="1" applyBorder="1">
      <alignment/>
      <protection/>
    </xf>
    <xf numFmtId="0" fontId="93" fillId="0" borderId="0" xfId="102" applyFont="1" applyAlignment="1">
      <alignment horizontal="right"/>
      <protection/>
    </xf>
    <xf numFmtId="0" fontId="59" fillId="0" borderId="0" xfId="102" applyFont="1" applyAlignment="1">
      <alignment horizontal="center"/>
      <protection/>
    </xf>
    <xf numFmtId="0" fontId="59" fillId="0" borderId="0" xfId="102" applyFont="1">
      <alignment/>
      <protection/>
    </xf>
    <xf numFmtId="3" fontId="17" fillId="0" borderId="81" xfId="106" applyNumberFormat="1" applyFont="1" applyFill="1" applyBorder="1" applyAlignment="1">
      <alignment horizontal="right" vertical="center"/>
      <protection/>
    </xf>
    <xf numFmtId="4" fontId="18" fillId="0" borderId="56" xfId="106" applyNumberFormat="1" applyFont="1" applyFill="1" applyBorder="1" applyAlignment="1">
      <alignment horizontal="right" vertical="center"/>
      <protection/>
    </xf>
    <xf numFmtId="3" fontId="18" fillId="0" borderId="46" xfId="106" applyNumberFormat="1" applyFont="1" applyFill="1" applyBorder="1" applyAlignment="1">
      <alignment horizontal="right" vertical="center"/>
      <protection/>
    </xf>
    <xf numFmtId="0" fontId="94" fillId="0" borderId="0" xfId="0" applyFont="1" applyFill="1" applyBorder="1" applyAlignment="1">
      <alignment horizontal="center" vertical="center" shrinkToFit="1"/>
    </xf>
    <xf numFmtId="49" fontId="24" fillId="0" borderId="20" xfId="0" applyNumberFormat="1" applyFont="1" applyFill="1" applyBorder="1" applyAlignment="1">
      <alignment horizontal="left" vertical="center" indent="1" shrinkToFit="1"/>
    </xf>
    <xf numFmtId="49" fontId="17" fillId="0" borderId="20" xfId="0" applyNumberFormat="1" applyFont="1" applyFill="1" applyBorder="1" applyAlignment="1">
      <alignment horizontal="left" vertical="center" wrapText="1"/>
    </xf>
    <xf numFmtId="3" fontId="17" fillId="0" borderId="44" xfId="106" applyNumberFormat="1" applyFont="1" applyFill="1" applyBorder="1" applyAlignment="1" quotePrefix="1">
      <alignment vertical="center" wrapText="1"/>
      <protection/>
    </xf>
    <xf numFmtId="3" fontId="17" fillId="0" borderId="20" xfId="106" applyNumberFormat="1" applyFont="1" applyFill="1" applyBorder="1" applyAlignment="1" quotePrefix="1">
      <alignment vertical="center" wrapText="1"/>
      <protection/>
    </xf>
    <xf numFmtId="3" fontId="17" fillId="47" borderId="101" xfId="106" applyNumberFormat="1" applyFont="1" applyFill="1" applyBorder="1" applyAlignment="1" quotePrefix="1">
      <alignment vertical="center" wrapText="1"/>
      <protection/>
    </xf>
    <xf numFmtId="3" fontId="17" fillId="0" borderId="46" xfId="0" applyNumberFormat="1" applyFont="1" applyFill="1" applyBorder="1" applyAlignment="1">
      <alignment vertical="center"/>
    </xf>
    <xf numFmtId="3" fontId="17" fillId="0" borderId="101" xfId="0" applyNumberFormat="1" applyFont="1" applyFill="1" applyBorder="1" applyAlignment="1">
      <alignment horizontal="left" vertical="top" wrapText="1"/>
    </xf>
    <xf numFmtId="3" fontId="17" fillId="0" borderId="44" xfId="0" applyNumberFormat="1" applyFont="1" applyFill="1" applyBorder="1" applyAlignment="1">
      <alignment vertical="center" wrapText="1"/>
    </xf>
    <xf numFmtId="3" fontId="17" fillId="0" borderId="20" xfId="106" applyNumberFormat="1" applyFont="1" applyFill="1" applyBorder="1" applyAlignment="1" quotePrefix="1">
      <alignment horizontal="left" vertical="center" wrapText="1"/>
      <protection/>
    </xf>
    <xf numFmtId="3" fontId="11" fillId="0" borderId="46" xfId="0" applyNumberFormat="1" applyFont="1" applyFill="1" applyBorder="1" applyAlignment="1">
      <alignment vertical="center"/>
    </xf>
    <xf numFmtId="3" fontId="11" fillId="0" borderId="92" xfId="0" applyNumberFormat="1" applyFont="1" applyFill="1" applyBorder="1" applyAlignment="1">
      <alignment horizontal="center" vertical="center"/>
    </xf>
    <xf numFmtId="3" fontId="11" fillId="0" borderId="129" xfId="0" applyNumberFormat="1" applyFont="1" applyFill="1" applyBorder="1" applyAlignment="1">
      <alignment horizontal="center" vertical="center"/>
    </xf>
    <xf numFmtId="2" fontId="17" fillId="0" borderId="20" xfId="0" applyNumberFormat="1" applyFont="1" applyFill="1" applyBorder="1" applyAlignment="1">
      <alignment horizontal="left" vertical="top" wrapText="1"/>
    </xf>
    <xf numFmtId="2" fontId="18" fillId="0" borderId="175" xfId="0" applyNumberFormat="1" applyFont="1" applyFill="1" applyBorder="1" applyAlignment="1">
      <alignment horizontal="center" shrinkToFit="1"/>
    </xf>
    <xf numFmtId="3" fontId="18" fillId="47" borderId="45" xfId="0" applyNumberFormat="1" applyFont="1" applyFill="1" applyBorder="1" applyAlignment="1">
      <alignment horizontal="right" shrinkToFit="1"/>
    </xf>
    <xf numFmtId="3" fontId="18" fillId="0" borderId="147" xfId="0" applyNumberFormat="1" applyFont="1" applyFill="1" applyBorder="1" applyAlignment="1">
      <alignment horizontal="right" shrinkToFit="1"/>
    </xf>
    <xf numFmtId="0" fontId="18" fillId="0" borderId="26" xfId="0" applyFont="1" applyFill="1" applyBorder="1" applyAlignment="1">
      <alignment horizontal="center" vertical="center" shrinkToFit="1"/>
    </xf>
    <xf numFmtId="2" fontId="18" fillId="0" borderId="33" xfId="0" applyNumberFormat="1" applyFont="1" applyFill="1" applyBorder="1" applyAlignment="1">
      <alignment vertical="center" shrinkToFit="1"/>
    </xf>
    <xf numFmtId="3" fontId="17" fillId="47" borderId="33" xfId="0" applyNumberFormat="1" applyFont="1" applyFill="1" applyBorder="1" applyAlignment="1">
      <alignment horizontal="right" vertical="center" shrinkToFit="1"/>
    </xf>
    <xf numFmtId="2" fontId="18" fillId="0" borderId="30" xfId="0" applyNumberFormat="1" applyFont="1" applyFill="1" applyBorder="1" applyAlignment="1">
      <alignment horizontal="center" vertical="center" shrinkToFit="1"/>
    </xf>
    <xf numFmtId="3" fontId="18" fillId="0" borderId="32" xfId="0" applyNumberFormat="1" applyFont="1" applyFill="1" applyBorder="1" applyAlignment="1">
      <alignment horizontal="right" vertical="center" shrinkToFit="1"/>
    </xf>
    <xf numFmtId="2" fontId="18" fillId="0" borderId="26" xfId="0" applyNumberFormat="1" applyFont="1" applyFill="1" applyBorder="1" applyAlignment="1">
      <alignment horizontal="center" vertical="center" shrinkToFit="1"/>
    </xf>
    <xf numFmtId="2" fontId="18" fillId="0" borderId="22" xfId="0" applyNumberFormat="1" applyFont="1" applyFill="1" applyBorder="1" applyAlignment="1">
      <alignment vertical="center" shrinkToFit="1"/>
    </xf>
    <xf numFmtId="3" fontId="18" fillId="0" borderId="22" xfId="0" applyNumberFormat="1" applyFont="1" applyFill="1" applyBorder="1" applyAlignment="1">
      <alignment horizontal="right" vertical="center" shrinkToFit="1"/>
    </xf>
    <xf numFmtId="3" fontId="18" fillId="0" borderId="28" xfId="0" applyNumberFormat="1" applyFont="1" applyFill="1" applyBorder="1" applyAlignment="1">
      <alignment horizontal="right" vertical="center" shrinkToFit="1"/>
    </xf>
    <xf numFmtId="3" fontId="17" fillId="0" borderId="20" xfId="0" applyNumberFormat="1" applyFont="1" applyFill="1" applyBorder="1" applyAlignment="1">
      <alignment horizontal="right" vertical="top" wrapText="1"/>
    </xf>
    <xf numFmtId="3" fontId="17" fillId="0" borderId="38" xfId="0" applyNumberFormat="1" applyFont="1" applyFill="1" applyBorder="1" applyAlignment="1">
      <alignment horizontal="right" vertical="top" wrapText="1"/>
    </xf>
    <xf numFmtId="3" fontId="18" fillId="0" borderId="38" xfId="0" applyNumberFormat="1" applyFont="1" applyFill="1" applyBorder="1" applyAlignment="1">
      <alignment horizontal="right" vertical="top" wrapText="1"/>
    </xf>
    <xf numFmtId="3" fontId="17" fillId="47" borderId="20" xfId="0" applyNumberFormat="1" applyFont="1" applyFill="1" applyBorder="1" applyAlignment="1">
      <alignment vertical="center" wrapText="1"/>
    </xf>
    <xf numFmtId="3" fontId="22" fillId="0" borderId="29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46" xfId="0" applyNumberFormat="1" applyFont="1" applyFill="1" applyBorder="1" applyAlignment="1">
      <alignment horizontal="center" vertical="center"/>
    </xf>
    <xf numFmtId="3" fontId="22" fillId="0" borderId="75" xfId="0" applyNumberFormat="1" applyFont="1" applyFill="1" applyBorder="1" applyAlignment="1">
      <alignment horizontal="center" vertical="center"/>
    </xf>
    <xf numFmtId="3" fontId="22" fillId="0" borderId="76" xfId="0" applyNumberFormat="1" applyFont="1" applyFill="1" applyBorder="1" applyAlignment="1">
      <alignment horizontal="center" vertical="center"/>
    </xf>
    <xf numFmtId="0" fontId="95" fillId="0" borderId="0" xfId="99" applyFont="1">
      <alignment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99" applyFont="1" applyBorder="1">
      <alignment/>
      <protection/>
    </xf>
    <xf numFmtId="3" fontId="15" fillId="0" borderId="0" xfId="99" applyNumberFormat="1" applyFont="1" applyBorder="1">
      <alignment/>
      <protection/>
    </xf>
    <xf numFmtId="0" fontId="96" fillId="0" borderId="0" xfId="0" applyFont="1" applyBorder="1" applyAlignment="1">
      <alignment/>
    </xf>
    <xf numFmtId="3" fontId="96" fillId="0" borderId="0" xfId="0" applyNumberFormat="1" applyFont="1" applyBorder="1" applyAlignment="1">
      <alignment/>
    </xf>
    <xf numFmtId="3" fontId="95" fillId="0" borderId="0" xfId="99" applyNumberFormat="1" applyFont="1">
      <alignment/>
      <protection/>
    </xf>
    <xf numFmtId="0" fontId="145" fillId="0" borderId="0" xfId="0" applyFont="1" applyAlignment="1">
      <alignment/>
    </xf>
    <xf numFmtId="3" fontId="145" fillId="0" borderId="56" xfId="0" applyNumberFormat="1" applyFont="1" applyBorder="1" applyAlignment="1">
      <alignment/>
    </xf>
    <xf numFmtId="3" fontId="146" fillId="0" borderId="0" xfId="104" applyNumberFormat="1" applyFont="1" applyFill="1" applyAlignment="1">
      <alignment/>
      <protection/>
    </xf>
    <xf numFmtId="3" fontId="146" fillId="0" borderId="56" xfId="104" applyNumberFormat="1" applyFont="1" applyFill="1" applyBorder="1" applyAlignment="1">
      <alignment vertical="center"/>
      <protection/>
    </xf>
    <xf numFmtId="3" fontId="147" fillId="0" borderId="56" xfId="104" applyNumberFormat="1" applyFont="1" applyFill="1" applyBorder="1" applyAlignment="1">
      <alignment vertical="center"/>
      <protection/>
    </xf>
    <xf numFmtId="3" fontId="146" fillId="0" borderId="56" xfId="104" applyNumberFormat="1" applyFont="1" applyFill="1" applyBorder="1" applyAlignment="1">
      <alignment horizontal="right" vertical="center"/>
      <protection/>
    </xf>
    <xf numFmtId="3" fontId="148" fillId="0" borderId="56" xfId="104" applyNumberFormat="1" applyFont="1" applyFill="1" applyBorder="1" applyAlignment="1">
      <alignment horizontal="center" vertical="center"/>
      <protection/>
    </xf>
    <xf numFmtId="3" fontId="147" fillId="0" borderId="0" xfId="104" applyNumberFormat="1" applyFont="1" applyFill="1" applyBorder="1" applyAlignment="1">
      <alignment vertical="center"/>
      <protection/>
    </xf>
    <xf numFmtId="3" fontId="147" fillId="0" borderId="56" xfId="104" applyNumberFormat="1" applyFont="1" applyFill="1" applyBorder="1" applyAlignment="1">
      <alignment/>
      <protection/>
    </xf>
    <xf numFmtId="3" fontId="146" fillId="0" borderId="56" xfId="104" applyNumberFormat="1" applyFont="1" applyFill="1" applyBorder="1" applyAlignment="1">
      <alignment/>
      <protection/>
    </xf>
    <xf numFmtId="3" fontId="41" fillId="0" borderId="56" xfId="95" applyNumberFormat="1" applyFont="1" applyBorder="1" applyAlignment="1">
      <alignment horizontal="right" vertical="center"/>
      <protection/>
    </xf>
    <xf numFmtId="3" fontId="41" fillId="0" borderId="56" xfId="95" applyNumberFormat="1" applyFont="1" applyBorder="1" applyAlignment="1">
      <alignment horizontal="right" vertical="center" wrapText="1"/>
      <protection/>
    </xf>
    <xf numFmtId="3" fontId="42" fillId="0" borderId="56" xfId="95" applyNumberFormat="1" applyFont="1" applyBorder="1" applyAlignment="1">
      <alignment horizontal="right" vertical="center" wrapText="1"/>
      <protection/>
    </xf>
    <xf numFmtId="3" fontId="41" fillId="0" borderId="56" xfId="95" applyNumberFormat="1" applyFont="1" applyBorder="1" applyAlignment="1" quotePrefix="1">
      <alignment horizontal="right" vertical="center" wrapText="1"/>
      <protection/>
    </xf>
    <xf numFmtId="3" fontId="42" fillId="0" borderId="56" xfId="95" applyNumberFormat="1" applyFont="1" applyBorder="1" applyAlignment="1">
      <alignment horizontal="right" vertical="center"/>
      <protection/>
    </xf>
    <xf numFmtId="3" fontId="41" fillId="0" borderId="56" xfId="95" applyNumberFormat="1" applyFont="1" applyFill="1" applyBorder="1" applyAlignment="1">
      <alignment horizontal="right" vertical="center" wrapText="1"/>
      <protection/>
    </xf>
    <xf numFmtId="3" fontId="83" fillId="0" borderId="56" xfId="95" applyNumberFormat="1" applyFont="1" applyFill="1" applyBorder="1" applyAlignment="1">
      <alignment horizontal="right" vertical="center" wrapText="1"/>
      <protection/>
    </xf>
    <xf numFmtId="3" fontId="41" fillId="48" borderId="56" xfId="95" applyNumberFormat="1" applyFont="1" applyFill="1" applyBorder="1" applyAlignment="1">
      <alignment horizontal="right" vertical="center" wrapText="1"/>
      <protection/>
    </xf>
    <xf numFmtId="3" fontId="42" fillId="48" borderId="56" xfId="95" applyNumberFormat="1" applyFont="1" applyFill="1" applyBorder="1" applyAlignment="1">
      <alignment horizontal="right" vertical="center" wrapText="1"/>
      <protection/>
    </xf>
    <xf numFmtId="3" fontId="42" fillId="0" borderId="56" xfId="95" applyNumberFormat="1" applyFont="1" applyFill="1" applyBorder="1" applyAlignment="1">
      <alignment horizontal="right" vertical="center" wrapText="1"/>
      <protection/>
    </xf>
    <xf numFmtId="3" fontId="41" fillId="0" borderId="0" xfId="95" applyNumberFormat="1" applyFont="1" applyFill="1" applyAlignment="1">
      <alignment horizontal="right"/>
      <protection/>
    </xf>
    <xf numFmtId="3" fontId="41" fillId="0" borderId="0" xfId="95" applyNumberFormat="1" applyFont="1" applyAlignment="1">
      <alignment horizontal="right"/>
      <protection/>
    </xf>
    <xf numFmtId="3" fontId="146" fillId="0" borderId="56" xfId="95" applyNumberFormat="1" applyFont="1" applyBorder="1" applyAlignment="1">
      <alignment horizontal="right" vertical="center"/>
      <protection/>
    </xf>
    <xf numFmtId="3" fontId="146" fillId="0" borderId="56" xfId="95" applyNumberFormat="1" applyFont="1" applyBorder="1" applyAlignment="1">
      <alignment horizontal="right" vertical="center" wrapText="1"/>
      <protection/>
    </xf>
    <xf numFmtId="3" fontId="147" fillId="0" borderId="56" xfId="95" applyNumberFormat="1" applyFont="1" applyBorder="1" applyAlignment="1">
      <alignment horizontal="right" vertical="center" wrapText="1"/>
      <protection/>
    </xf>
    <xf numFmtId="3" fontId="146" fillId="0" borderId="56" xfId="95" applyNumberFormat="1" applyFont="1" applyBorder="1" applyAlignment="1" quotePrefix="1">
      <alignment horizontal="right" vertical="center" wrapText="1"/>
      <protection/>
    </xf>
    <xf numFmtId="3" fontId="147" fillId="0" borderId="56" xfId="95" applyNumberFormat="1" applyFont="1" applyBorder="1" applyAlignment="1">
      <alignment horizontal="right" vertical="center"/>
      <protection/>
    </xf>
    <xf numFmtId="3" fontId="146" fillId="0" borderId="56" xfId="95" applyNumberFormat="1" applyFont="1" applyFill="1" applyBorder="1" applyAlignment="1">
      <alignment horizontal="right" vertical="center" wrapText="1"/>
      <protection/>
    </xf>
    <xf numFmtId="3" fontId="148" fillId="0" borderId="56" xfId="95" applyNumberFormat="1" applyFont="1" applyFill="1" applyBorder="1" applyAlignment="1">
      <alignment horizontal="right" vertical="center" wrapText="1"/>
      <protection/>
    </xf>
    <xf numFmtId="3" fontId="146" fillId="48" borderId="56" xfId="95" applyNumberFormat="1" applyFont="1" applyFill="1" applyBorder="1" applyAlignment="1">
      <alignment horizontal="right" vertical="center" wrapText="1"/>
      <protection/>
    </xf>
    <xf numFmtId="3" fontId="146" fillId="0" borderId="0" xfId="95" applyNumberFormat="1" applyFont="1" applyFill="1" applyAlignment="1">
      <alignment horizontal="right"/>
      <protection/>
    </xf>
    <xf numFmtId="3" fontId="146" fillId="0" borderId="0" xfId="95" applyNumberFormat="1" applyFont="1" applyAlignment="1">
      <alignment horizontal="right"/>
      <protection/>
    </xf>
    <xf numFmtId="0" fontId="149" fillId="0" borderId="0" xfId="93" applyFont="1">
      <alignment/>
      <protection/>
    </xf>
    <xf numFmtId="0" fontId="0" fillId="0" borderId="0" xfId="0" applyFont="1" applyAlignment="1">
      <alignment/>
    </xf>
    <xf numFmtId="3" fontId="114" fillId="0" borderId="56" xfId="0" applyNumberFormat="1" applyFont="1" applyBorder="1" applyAlignment="1">
      <alignment/>
    </xf>
    <xf numFmtId="3" fontId="115" fillId="0" borderId="5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56" xfId="0" applyNumberFormat="1" applyFont="1" applyBorder="1" applyAlignment="1">
      <alignment horizontal="center" vertical="center" wrapText="1"/>
    </xf>
    <xf numFmtId="3" fontId="17" fillId="0" borderId="28" xfId="0" applyNumberFormat="1" applyFont="1" applyFill="1" applyBorder="1" applyAlignment="1">
      <alignment horizontal="right" vertical="center" shrinkToFit="1"/>
    </xf>
    <xf numFmtId="3" fontId="17" fillId="0" borderId="36" xfId="0" applyNumberFormat="1" applyFont="1" applyFill="1" applyBorder="1" applyAlignment="1">
      <alignment horizontal="right" vertical="center" shrinkToFit="1"/>
    </xf>
    <xf numFmtId="3" fontId="17" fillId="0" borderId="35" xfId="0" applyNumberFormat="1" applyFont="1" applyFill="1" applyBorder="1" applyAlignment="1">
      <alignment horizontal="right" vertical="center" shrinkToFit="1"/>
    </xf>
    <xf numFmtId="3" fontId="18" fillId="0" borderId="42" xfId="0" applyNumberFormat="1" applyFont="1" applyFill="1" applyBorder="1" applyAlignment="1">
      <alignment horizontal="right" vertical="center" shrinkToFit="1"/>
    </xf>
    <xf numFmtId="3" fontId="17" fillId="0" borderId="35" xfId="0" applyNumberFormat="1" applyFont="1" applyFill="1" applyBorder="1" applyAlignment="1">
      <alignment horizontal="right" shrinkToFit="1"/>
    </xf>
    <xf numFmtId="3" fontId="18" fillId="0" borderId="137" xfId="0" applyNumberFormat="1" applyFont="1" applyFill="1" applyBorder="1" applyAlignment="1">
      <alignment horizontal="right" shrinkToFit="1"/>
    </xf>
    <xf numFmtId="0" fontId="8" fillId="0" borderId="0" xfId="104" applyFont="1" applyFill="1" applyAlignment="1">
      <alignment/>
      <protection/>
    </xf>
    <xf numFmtId="0" fontId="85" fillId="0" borderId="56" xfId="104" applyFont="1" applyFill="1" applyBorder="1" applyAlignment="1" applyProtection="1">
      <alignment/>
      <protection locked="0"/>
    </xf>
    <xf numFmtId="0" fontId="90" fillId="0" borderId="56" xfId="104" applyFont="1" applyFill="1" applyBorder="1" applyAlignment="1" applyProtection="1">
      <alignment/>
      <protection locked="0"/>
    </xf>
    <xf numFmtId="0" fontId="85" fillId="0" borderId="56" xfId="104" applyFont="1" applyFill="1" applyBorder="1" applyAlignment="1">
      <alignment horizontal="left" indent="6"/>
      <protection/>
    </xf>
    <xf numFmtId="0" fontId="90" fillId="0" borderId="56" xfId="104" applyFont="1" applyFill="1" applyBorder="1" applyAlignment="1" applyProtection="1">
      <alignment horizontal="justify"/>
      <protection locked="0"/>
    </xf>
    <xf numFmtId="0" fontId="35" fillId="0" borderId="56" xfId="0" applyFont="1" applyBorder="1" applyAlignment="1">
      <alignment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88" fillId="0" borderId="56" xfId="0" applyFont="1" applyBorder="1" applyAlignment="1">
      <alignment horizontal="center" vertical="center"/>
    </xf>
    <xf numFmtId="0" fontId="59" fillId="0" borderId="56" xfId="102" applyFont="1" applyBorder="1" applyAlignment="1">
      <alignment horizontal="center"/>
      <protection/>
    </xf>
    <xf numFmtId="0" fontId="59" fillId="0" borderId="91" xfId="102" applyFont="1" applyBorder="1" applyAlignment="1">
      <alignment horizontal="center"/>
      <protection/>
    </xf>
    <xf numFmtId="0" fontId="59" fillId="0" borderId="51" xfId="102" applyFont="1" applyBorder="1" applyAlignment="1" quotePrefix="1">
      <alignment horizontal="right"/>
      <protection/>
    </xf>
    <xf numFmtId="3" fontId="59" fillId="0" borderId="48" xfId="102" applyNumberFormat="1" applyFont="1" applyBorder="1" applyAlignment="1" quotePrefix="1">
      <alignment horizontal="right"/>
      <protection/>
    </xf>
    <xf numFmtId="3" fontId="59" fillId="0" borderId="20" xfId="102" applyNumberFormat="1" applyFont="1" applyBorder="1" applyAlignment="1" quotePrefix="1">
      <alignment horizontal="right"/>
      <protection/>
    </xf>
    <xf numFmtId="3" fontId="59" fillId="0" borderId="38" xfId="102" applyNumberFormat="1" applyFont="1" applyBorder="1" applyAlignment="1" quotePrefix="1">
      <alignment horizontal="right"/>
      <protection/>
    </xf>
    <xf numFmtId="3" fontId="59" fillId="0" borderId="19" xfId="102" applyNumberFormat="1" applyFont="1" applyBorder="1" applyAlignment="1" quotePrefix="1">
      <alignment horizontal="right"/>
      <protection/>
    </xf>
    <xf numFmtId="3" fontId="59" fillId="0" borderId="131" xfId="102" applyNumberFormat="1" applyFont="1" applyBorder="1" applyAlignment="1" quotePrefix="1">
      <alignment horizontal="right"/>
      <protection/>
    </xf>
    <xf numFmtId="164" fontId="59" fillId="0" borderId="19" xfId="102" applyNumberFormat="1" applyFont="1" applyBorder="1" applyAlignment="1" quotePrefix="1">
      <alignment horizontal="right"/>
      <protection/>
    </xf>
    <xf numFmtId="3" fontId="60" fillId="0" borderId="104" xfId="102" applyNumberFormat="1" applyFont="1" applyBorder="1" applyAlignment="1" quotePrefix="1">
      <alignment horizontal="right"/>
      <protection/>
    </xf>
    <xf numFmtId="3" fontId="60" fillId="0" borderId="120" xfId="102" applyNumberFormat="1" applyFont="1" applyBorder="1" applyAlignment="1" quotePrefix="1">
      <alignment horizontal="right"/>
      <protection/>
    </xf>
    <xf numFmtId="3" fontId="59" fillId="0" borderId="20" xfId="102" applyNumberFormat="1" applyFont="1" applyBorder="1" applyAlignment="1">
      <alignment horizontal="right"/>
      <protection/>
    </xf>
    <xf numFmtId="3" fontId="59" fillId="0" borderId="38" xfId="102" applyNumberFormat="1" applyFont="1" applyBorder="1" applyAlignment="1">
      <alignment horizontal="right"/>
      <protection/>
    </xf>
    <xf numFmtId="3" fontId="60" fillId="0" borderId="56" xfId="102" applyNumberFormat="1" applyFont="1" applyBorder="1" applyAlignment="1">
      <alignment horizontal="right"/>
      <protection/>
    </xf>
    <xf numFmtId="3" fontId="60" fillId="0" borderId="91" xfId="102" applyNumberFormat="1" applyFont="1" applyBorder="1" applyAlignment="1">
      <alignment horizontal="right"/>
      <protection/>
    </xf>
    <xf numFmtId="3" fontId="59" fillId="0" borderId="106" xfId="102" applyNumberFormat="1" applyFont="1" applyBorder="1" applyAlignment="1">
      <alignment horizontal="right"/>
      <protection/>
    </xf>
    <xf numFmtId="3" fontId="59" fillId="0" borderId="132" xfId="102" applyNumberFormat="1" applyFont="1" applyBorder="1" applyAlignment="1">
      <alignment horizontal="right"/>
      <protection/>
    </xf>
    <xf numFmtId="3" fontId="63" fillId="0" borderId="34" xfId="102" applyNumberFormat="1" applyFont="1" applyBorder="1" applyAlignment="1">
      <alignment horizontal="right"/>
      <protection/>
    </xf>
    <xf numFmtId="3" fontId="63" fillId="0" borderId="49" xfId="102" applyNumberFormat="1" applyFont="1" applyBorder="1" applyAlignment="1">
      <alignment horizontal="right"/>
      <protection/>
    </xf>
    <xf numFmtId="3" fontId="60" fillId="0" borderId="104" xfId="102" applyNumberFormat="1" applyFont="1" applyBorder="1" applyAlignment="1">
      <alignment horizontal="right"/>
      <protection/>
    </xf>
    <xf numFmtId="3" fontId="60" fillId="0" borderId="120" xfId="102" applyNumberFormat="1" applyFont="1" applyBorder="1" applyAlignment="1">
      <alignment horizontal="right"/>
      <protection/>
    </xf>
    <xf numFmtId="3" fontId="59" fillId="0" borderId="19" xfId="102" applyNumberFormat="1" applyFont="1" applyBorder="1" applyAlignment="1">
      <alignment horizontal="right"/>
      <protection/>
    </xf>
    <xf numFmtId="3" fontId="59" fillId="0" borderId="131" xfId="102" applyNumberFormat="1" applyFont="1" applyBorder="1" applyAlignment="1">
      <alignment horizontal="right"/>
      <protection/>
    </xf>
    <xf numFmtId="3" fontId="60" fillId="0" borderId="21" xfId="102" applyNumberFormat="1" applyFont="1" applyBorder="1" applyAlignment="1">
      <alignment horizontal="right"/>
      <protection/>
    </xf>
    <xf numFmtId="3" fontId="60" fillId="0" borderId="50" xfId="102" applyNumberFormat="1" applyFont="1" applyBorder="1" applyAlignment="1">
      <alignment horizontal="right"/>
      <protection/>
    </xf>
    <xf numFmtId="0" fontId="59" fillId="0" borderId="56" xfId="102" applyFont="1" applyBorder="1" applyAlignment="1">
      <alignment horizontal="right" wrapText="1"/>
      <protection/>
    </xf>
    <xf numFmtId="0" fontId="59" fillId="0" borderId="91" xfId="102" applyFont="1" applyBorder="1" applyAlignment="1">
      <alignment horizontal="right" wrapText="1"/>
      <protection/>
    </xf>
    <xf numFmtId="0" fontId="59" fillId="0" borderId="56" xfId="102" applyFont="1" applyBorder="1" applyAlignment="1">
      <alignment horizontal="center" vertical="center" wrapText="1"/>
      <protection/>
    </xf>
    <xf numFmtId="0" fontId="59" fillId="0" borderId="91" xfId="102" applyFont="1" applyBorder="1" applyAlignment="1">
      <alignment horizontal="center" vertical="center" wrapText="1"/>
      <protection/>
    </xf>
    <xf numFmtId="0" fontId="60" fillId="0" borderId="56" xfId="102" applyFont="1" applyBorder="1" applyAlignment="1">
      <alignment horizontal="right" wrapText="1"/>
      <protection/>
    </xf>
    <xf numFmtId="3" fontId="60" fillId="0" borderId="91" xfId="102" applyNumberFormat="1" applyFont="1" applyBorder="1" applyAlignment="1">
      <alignment horizontal="right" wrapText="1"/>
      <protection/>
    </xf>
    <xf numFmtId="0" fontId="59" fillId="0" borderId="20" xfId="102" applyFont="1" applyBorder="1" applyAlignment="1">
      <alignment horizontal="right" wrapText="1"/>
      <protection/>
    </xf>
    <xf numFmtId="3" fontId="59" fillId="0" borderId="38" xfId="102" applyNumberFormat="1" applyFont="1" applyBorder="1" applyAlignment="1">
      <alignment horizontal="right" wrapText="1"/>
      <protection/>
    </xf>
    <xf numFmtId="0" fontId="59" fillId="0" borderId="21" xfId="102" applyFont="1" applyBorder="1" applyAlignment="1">
      <alignment horizontal="right" wrapText="1"/>
      <protection/>
    </xf>
    <xf numFmtId="3" fontId="59" fillId="0" borderId="50" xfId="102" applyNumberFormat="1" applyFont="1" applyBorder="1" applyAlignment="1">
      <alignment horizontal="right" wrapText="1"/>
      <protection/>
    </xf>
    <xf numFmtId="3" fontId="35" fillId="0" borderId="56" xfId="0" applyNumberFormat="1" applyFont="1" applyBorder="1" applyAlignment="1">
      <alignment horizontal="right"/>
    </xf>
    <xf numFmtId="3" fontId="34" fillId="0" borderId="56" xfId="0" applyNumberFormat="1" applyFont="1" applyBorder="1" applyAlignment="1">
      <alignment horizontal="right"/>
    </xf>
    <xf numFmtId="0" fontId="39" fillId="0" borderId="176" xfId="0" applyFont="1" applyBorder="1" applyAlignment="1">
      <alignment horizontal="center" vertical="center" wrapText="1"/>
    </xf>
    <xf numFmtId="0" fontId="39" fillId="0" borderId="81" xfId="0" applyFont="1" applyBorder="1" applyAlignment="1">
      <alignment wrapText="1"/>
    </xf>
    <xf numFmtId="0" fontId="55" fillId="0" borderId="84" xfId="0" applyFont="1" applyBorder="1" applyAlignment="1">
      <alignment horizontal="center"/>
    </xf>
    <xf numFmtId="0" fontId="39" fillId="0" borderId="56" xfId="0" applyFont="1" applyBorder="1" applyAlignment="1">
      <alignment/>
    </xf>
    <xf numFmtId="0" fontId="39" fillId="0" borderId="51" xfId="0" applyFont="1" applyBorder="1" applyAlignment="1">
      <alignment/>
    </xf>
    <xf numFmtId="0" fontId="57" fillId="0" borderId="0" xfId="0" applyFont="1" applyAlignment="1">
      <alignment horizontal="left" vertical="center"/>
    </xf>
    <xf numFmtId="16" fontId="97" fillId="0" borderId="0" xfId="0" applyNumberFormat="1" applyFont="1" applyAlignment="1" quotePrefix="1">
      <alignment horizontal="center" vertical="top"/>
    </xf>
    <xf numFmtId="0" fontId="39" fillId="0" borderId="56" xfId="0" applyFont="1" applyBorder="1" applyAlignment="1">
      <alignment horizontal="left" wrapText="1"/>
    </xf>
    <xf numFmtId="0" fontId="52" fillId="0" borderId="0" xfId="0" applyFont="1" applyBorder="1" applyAlignment="1">
      <alignment horizontal="center" vertical="center"/>
    </xf>
    <xf numFmtId="3" fontId="52" fillId="0" borderId="0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3" fontId="39" fillId="0" borderId="0" xfId="0" applyNumberFormat="1" applyFont="1" applyBorder="1" applyAlignment="1">
      <alignment horizontal="right" vertical="center"/>
    </xf>
    <xf numFmtId="3" fontId="55" fillId="0" borderId="0" xfId="0" applyNumberFormat="1" applyFont="1" applyBorder="1" applyAlignment="1">
      <alignment vertical="center"/>
    </xf>
    <xf numFmtId="0" fontId="52" fillId="0" borderId="67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 wrapText="1"/>
    </xf>
    <xf numFmtId="0" fontId="39" fillId="0" borderId="176" xfId="0" applyFont="1" applyBorder="1" applyAlignment="1">
      <alignment horizontal="center" vertical="center"/>
    </xf>
    <xf numFmtId="0" fontId="39" fillId="0" borderId="79" xfId="103" applyFont="1" applyBorder="1" applyAlignment="1">
      <alignment horizontal="center" vertical="center" wrapText="1"/>
      <protection/>
    </xf>
    <xf numFmtId="3" fontId="56" fillId="0" borderId="91" xfId="0" applyNumberFormat="1" applyFont="1" applyBorder="1" applyAlignment="1">
      <alignment/>
    </xf>
    <xf numFmtId="3" fontId="39" fillId="0" borderId="51" xfId="0" applyNumberFormat="1" applyFont="1" applyBorder="1" applyAlignment="1">
      <alignment horizontal="right" wrapText="1"/>
    </xf>
    <xf numFmtId="3" fontId="52" fillId="0" borderId="177" xfId="0" applyNumberFormat="1" applyFont="1" applyBorder="1" applyAlignment="1">
      <alignment horizontal="center" vertical="center"/>
    </xf>
    <xf numFmtId="3" fontId="39" fillId="0" borderId="171" xfId="0" applyNumberFormat="1" applyFont="1" applyBorder="1" applyAlignment="1">
      <alignment horizontal="right" wrapText="1"/>
    </xf>
    <xf numFmtId="3" fontId="39" fillId="0" borderId="171" xfId="0" applyNumberFormat="1" applyFont="1" applyBorder="1" applyAlignment="1">
      <alignment wrapText="1"/>
    </xf>
    <xf numFmtId="3" fontId="39" fillId="0" borderId="23" xfId="0" applyNumberFormat="1" applyFont="1" applyBorder="1" applyAlignment="1">
      <alignment wrapText="1"/>
    </xf>
    <xf numFmtId="0" fontId="59" fillId="0" borderId="56" xfId="102" applyFont="1" applyBorder="1" applyAlignment="1">
      <alignment horizontal="left" wrapText="1"/>
      <protection/>
    </xf>
    <xf numFmtId="0" fontId="59" fillId="0" borderId="56" xfId="102" applyFont="1" applyBorder="1" applyAlignment="1">
      <alignment wrapText="1"/>
      <protection/>
    </xf>
    <xf numFmtId="0" fontId="63" fillId="0" borderId="104" xfId="102" applyFont="1" applyBorder="1">
      <alignment/>
      <protection/>
    </xf>
    <xf numFmtId="0" fontId="59" fillId="0" borderId="106" xfId="102" applyFont="1" applyFill="1" applyBorder="1" applyAlignment="1">
      <alignment wrapText="1"/>
      <protection/>
    </xf>
    <xf numFmtId="0" fontId="63" fillId="0" borderId="104" xfId="102" applyFont="1" applyBorder="1" applyAlignment="1">
      <alignment wrapText="1"/>
      <protection/>
    </xf>
    <xf numFmtId="0" fontId="98" fillId="0" borderId="0" xfId="102" applyFont="1">
      <alignment/>
      <protection/>
    </xf>
    <xf numFmtId="0" fontId="99" fillId="0" borderId="0" xfId="102" applyFont="1">
      <alignment/>
      <protection/>
    </xf>
    <xf numFmtId="0" fontId="99" fillId="0" borderId="0" xfId="102" applyFont="1" applyAlignment="1">
      <alignment horizontal="right"/>
      <protection/>
    </xf>
    <xf numFmtId="3" fontId="63" fillId="0" borderId="19" xfId="102" applyNumberFormat="1" applyFont="1" applyBorder="1" applyAlignment="1" quotePrefix="1">
      <alignment horizontal="right"/>
      <protection/>
    </xf>
    <xf numFmtId="3" fontId="63" fillId="0" borderId="131" xfId="102" applyNumberFormat="1" applyFont="1" applyBorder="1" applyAlignment="1" quotePrefix="1">
      <alignment horizontal="right"/>
      <protection/>
    </xf>
    <xf numFmtId="3" fontId="17" fillId="0" borderId="79" xfId="106" applyNumberFormat="1" applyFont="1" applyFill="1" applyBorder="1" applyAlignment="1" quotePrefix="1">
      <alignment horizontal="center" vertical="center"/>
      <protection/>
    </xf>
    <xf numFmtId="3" fontId="11" fillId="0" borderId="47" xfId="0" applyNumberFormat="1" applyFont="1" applyFill="1" applyBorder="1" applyAlignment="1">
      <alignment horizontal="center" vertical="center"/>
    </xf>
    <xf numFmtId="3" fontId="18" fillId="0" borderId="20" xfId="106" applyNumberFormat="1" applyFont="1" applyFill="1" applyBorder="1" applyAlignment="1" quotePrefix="1">
      <alignment horizontal="left" vertical="center"/>
      <protection/>
    </xf>
    <xf numFmtId="3" fontId="24" fillId="0" borderId="44" xfId="106" applyNumberFormat="1" applyFont="1" applyFill="1" applyBorder="1" applyAlignment="1">
      <alignment horizontal="left" vertical="center"/>
      <protection/>
    </xf>
    <xf numFmtId="3" fontId="11" fillId="0" borderId="0" xfId="0" applyNumberFormat="1" applyFont="1" applyFill="1" applyBorder="1" applyAlignment="1">
      <alignment horizontal="left" vertical="center"/>
    </xf>
    <xf numFmtId="3" fontId="17" fillId="0" borderId="44" xfId="0" applyNumberFormat="1" applyFont="1" applyFill="1" applyBorder="1" applyAlignment="1">
      <alignment vertical="top" wrapText="1"/>
    </xf>
    <xf numFmtId="3" fontId="17" fillId="47" borderId="20" xfId="0" applyNumberFormat="1" applyFont="1" applyFill="1" applyBorder="1" applyAlignment="1">
      <alignment vertical="top" wrapText="1"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 vertical="center"/>
    </xf>
    <xf numFmtId="3" fontId="11" fillId="0" borderId="101" xfId="0" applyNumberFormat="1" applyFont="1" applyFill="1" applyBorder="1" applyAlignment="1">
      <alignment horizontal="left" vertical="center"/>
    </xf>
    <xf numFmtId="3" fontId="17" fillId="0" borderId="21" xfId="106" applyNumberFormat="1" applyFont="1" applyFill="1" applyBorder="1" applyAlignment="1" quotePrefix="1">
      <alignment horizontal="left" vertical="center"/>
      <protection/>
    </xf>
    <xf numFmtId="3" fontId="17" fillId="0" borderId="79" xfId="106" applyNumberFormat="1" applyFont="1" applyFill="1" applyBorder="1" applyAlignment="1">
      <alignment vertical="center" wrapText="1"/>
      <protection/>
    </xf>
    <xf numFmtId="3" fontId="17" fillId="0" borderId="81" xfId="106" applyNumberFormat="1" applyFont="1" applyFill="1" applyBorder="1" applyAlignment="1">
      <alignment vertical="center" wrapText="1"/>
      <protection/>
    </xf>
    <xf numFmtId="4" fontId="18" fillId="0" borderId="90" xfId="106" applyNumberFormat="1" applyFont="1" applyFill="1" applyBorder="1" applyAlignment="1">
      <alignment horizontal="right" vertical="center"/>
      <protection/>
    </xf>
    <xf numFmtId="3" fontId="17" fillId="0" borderId="56" xfId="106" applyNumberFormat="1" applyFont="1" applyFill="1" applyBorder="1" applyAlignment="1" quotePrefix="1">
      <alignment horizontal="left" vertical="center"/>
      <protection/>
    </xf>
    <xf numFmtId="3" fontId="17" fillId="0" borderId="79" xfId="106" applyNumberFormat="1" applyFont="1" applyFill="1" applyBorder="1" applyAlignment="1">
      <alignment vertical="top" wrapText="1"/>
      <protection/>
    </xf>
    <xf numFmtId="3" fontId="17" fillId="0" borderId="81" xfId="106" applyNumberFormat="1" applyFont="1" applyFill="1" applyBorder="1" applyAlignment="1">
      <alignment vertical="top" wrapText="1"/>
      <protection/>
    </xf>
    <xf numFmtId="3" fontId="17" fillId="0" borderId="56" xfId="106" applyNumberFormat="1" applyFont="1" applyFill="1" applyBorder="1" applyAlignment="1">
      <alignment vertical="top" wrapText="1"/>
      <protection/>
    </xf>
    <xf numFmtId="2" fontId="29" fillId="0" borderId="94" xfId="106" applyNumberFormat="1" applyFont="1" applyFill="1" applyBorder="1" applyAlignment="1">
      <alignment horizontal="right" vertical="center"/>
      <protection/>
    </xf>
    <xf numFmtId="3" fontId="17" fillId="0" borderId="56" xfId="106" applyNumberFormat="1" applyFont="1" applyFill="1" applyBorder="1" applyAlignment="1">
      <alignment vertical="center" wrapText="1"/>
      <protection/>
    </xf>
    <xf numFmtId="3" fontId="18" fillId="0" borderId="55" xfId="106" applyNumberFormat="1" applyFont="1" applyFill="1" applyBorder="1" applyAlignment="1">
      <alignment horizontal="left" vertical="center"/>
      <protection/>
    </xf>
    <xf numFmtId="2" fontId="18" fillId="0" borderId="91" xfId="106" applyNumberFormat="1" applyFont="1" applyFill="1" applyBorder="1" applyAlignment="1">
      <alignment horizontal="left" vertical="center"/>
      <protection/>
    </xf>
    <xf numFmtId="3" fontId="11" fillId="0" borderId="0" xfId="106" applyNumberFormat="1" applyFont="1" applyFill="1" applyAlignment="1">
      <alignment horizontal="left" vertical="center"/>
      <protection/>
    </xf>
    <xf numFmtId="3" fontId="28" fillId="0" borderId="51" xfId="106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3" fontId="11" fillId="0" borderId="0" xfId="0" applyNumberFormat="1" applyFont="1" applyFill="1" applyAlignment="1">
      <alignment horizontal="right" vertical="center" shrinkToFit="1"/>
    </xf>
    <xf numFmtId="3" fontId="17" fillId="0" borderId="88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67" xfId="0" applyFont="1" applyFill="1" applyBorder="1" applyAlignment="1">
      <alignment horizontal="center" vertical="center" shrinkToFit="1"/>
    </xf>
    <xf numFmtId="49" fontId="18" fillId="0" borderId="22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7" fillId="0" borderId="20" xfId="0" applyFont="1" applyFill="1" applyBorder="1" applyAlignment="1">
      <alignment horizontal="justify" vertical="center" shrinkToFit="1"/>
    </xf>
    <xf numFmtId="3" fontId="17" fillId="0" borderId="131" xfId="0" applyNumberFormat="1" applyFont="1" applyFill="1" applyBorder="1" applyAlignment="1">
      <alignment horizontal="right" vertical="center" shrinkToFit="1"/>
    </xf>
    <xf numFmtId="3" fontId="17" fillId="0" borderId="38" xfId="0" applyNumberFormat="1" applyFont="1" applyFill="1" applyBorder="1" applyAlignment="1">
      <alignment horizontal="right" vertical="center" shrinkToFit="1"/>
    </xf>
    <xf numFmtId="3" fontId="17" fillId="0" borderId="50" xfId="0" applyNumberFormat="1" applyFont="1" applyFill="1" applyBorder="1" applyAlignment="1">
      <alignment horizontal="right" vertical="center" shrinkToFit="1"/>
    </xf>
    <xf numFmtId="0" fontId="102" fillId="0" borderId="29" xfId="0" applyFont="1" applyFill="1" applyBorder="1" applyAlignment="1">
      <alignment vertical="center" shrinkToFit="1"/>
    </xf>
    <xf numFmtId="3" fontId="24" fillId="0" borderId="38" xfId="0" applyNumberFormat="1" applyFont="1" applyFill="1" applyBorder="1" applyAlignment="1">
      <alignment horizontal="right" vertical="center" shrinkToFit="1"/>
    </xf>
    <xf numFmtId="0" fontId="103" fillId="0" borderId="0" xfId="0" applyFont="1" applyFill="1" applyBorder="1" applyAlignment="1">
      <alignment vertical="center" shrinkToFit="1"/>
    </xf>
    <xf numFmtId="49" fontId="17" fillId="0" borderId="21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3" fontId="18" fillId="0" borderId="49" xfId="0" applyNumberFormat="1" applyFont="1" applyFill="1" applyBorder="1" applyAlignment="1">
      <alignment horizontal="right" vertical="center" shrinkToFit="1"/>
    </xf>
    <xf numFmtId="3" fontId="5" fillId="0" borderId="60" xfId="0" applyNumberFormat="1" applyFont="1" applyFill="1" applyBorder="1" applyAlignment="1">
      <alignment horizontal="right" vertical="center" shrinkToFit="1"/>
    </xf>
    <xf numFmtId="3" fontId="15" fillId="0" borderId="5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vertical="center" shrinkToFit="1"/>
    </xf>
    <xf numFmtId="3" fontId="18" fillId="0" borderId="50" xfId="0" applyNumberFormat="1" applyFont="1" applyFill="1" applyBorder="1" applyAlignment="1">
      <alignment horizontal="right" vertical="center" shrinkToFit="1"/>
    </xf>
    <xf numFmtId="49" fontId="17" fillId="0" borderId="40" xfId="0" applyNumberFormat="1" applyFont="1" applyFill="1" applyBorder="1" applyAlignment="1">
      <alignment horizontal="justify" vertical="center" shrinkToFit="1"/>
    </xf>
    <xf numFmtId="3" fontId="17" fillId="0" borderId="107" xfId="0" applyNumberFormat="1" applyFont="1" applyFill="1" applyBorder="1" applyAlignment="1">
      <alignment horizontal="right" vertical="center" shrinkToFit="1"/>
    </xf>
    <xf numFmtId="0" fontId="4" fillId="0" borderId="178" xfId="0" applyFont="1" applyFill="1" applyBorder="1" applyAlignment="1">
      <alignment vertical="center" shrinkToFit="1"/>
    </xf>
    <xf numFmtId="3" fontId="5" fillId="0" borderId="117" xfId="0" applyNumberFormat="1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49" fontId="5" fillId="0" borderId="43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41" xfId="0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0" fontId="17" fillId="0" borderId="130" xfId="0" applyFont="1" applyBorder="1" applyAlignment="1">
      <alignment/>
    </xf>
    <xf numFmtId="49" fontId="17" fillId="0" borderId="130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horizontal="left" vertical="center" indent="1" shrinkToFit="1"/>
    </xf>
    <xf numFmtId="3" fontId="18" fillId="0" borderId="121" xfId="0" applyNumberFormat="1" applyFont="1" applyFill="1" applyBorder="1" applyAlignment="1">
      <alignment vertical="center" shrinkToFit="1"/>
    </xf>
    <xf numFmtId="3" fontId="18" fillId="0" borderId="22" xfId="0" applyNumberFormat="1" applyFont="1" applyFill="1" applyBorder="1" applyAlignment="1">
      <alignment vertical="center" shrinkToFit="1"/>
    </xf>
    <xf numFmtId="3" fontId="18" fillId="0" borderId="97" xfId="0" applyNumberFormat="1" applyFont="1" applyFill="1" applyBorder="1" applyAlignment="1">
      <alignment vertical="center" shrinkToFit="1"/>
    </xf>
    <xf numFmtId="3" fontId="17" fillId="0" borderId="19" xfId="0" applyNumberFormat="1" applyFont="1" applyFill="1" applyBorder="1" applyAlignment="1">
      <alignment horizontal="right" vertical="center" shrinkToFit="1"/>
    </xf>
    <xf numFmtId="3" fontId="5" fillId="0" borderId="59" xfId="0" applyNumberFormat="1" applyFont="1" applyFill="1" applyBorder="1" applyAlignment="1">
      <alignment horizontal="right" vertical="center" shrinkToFit="1"/>
    </xf>
    <xf numFmtId="3" fontId="18" fillId="0" borderId="92" xfId="0" applyNumberFormat="1" applyFont="1" applyFill="1" applyBorder="1" applyAlignment="1">
      <alignment vertical="center" shrinkToFit="1"/>
    </xf>
    <xf numFmtId="3" fontId="17" fillId="0" borderId="40" xfId="0" applyNumberFormat="1" applyFont="1" applyFill="1" applyBorder="1" applyAlignment="1">
      <alignment horizontal="right" vertical="center" shrinkToFit="1"/>
    </xf>
    <xf numFmtId="3" fontId="18" fillId="0" borderId="129" xfId="0" applyNumberFormat="1" applyFont="1" applyFill="1" applyBorder="1" applyAlignment="1">
      <alignment horizontal="right" vertical="center" shrinkToFit="1"/>
    </xf>
    <xf numFmtId="3" fontId="18" fillId="0" borderId="34" xfId="0" applyNumberFormat="1" applyFont="1" applyFill="1" applyBorder="1" applyAlignment="1">
      <alignment horizontal="right" vertical="center" shrinkToFit="1"/>
    </xf>
    <xf numFmtId="3" fontId="17" fillId="0" borderId="44" xfId="0" applyNumberFormat="1" applyFont="1" applyFill="1" applyBorder="1" applyAlignment="1">
      <alignment horizontal="right" vertical="center" shrinkToFit="1"/>
    </xf>
    <xf numFmtId="3" fontId="17" fillId="0" borderId="130" xfId="0" applyNumberFormat="1" applyFont="1" applyFill="1" applyBorder="1" applyAlignment="1">
      <alignment horizontal="right" vertical="center" shrinkToFit="1"/>
    </xf>
    <xf numFmtId="3" fontId="17" fillId="0" borderId="143" xfId="0" applyNumberFormat="1" applyFont="1" applyFill="1" applyBorder="1" applyAlignment="1">
      <alignment horizontal="right" vertical="center" shrinkToFit="1"/>
    </xf>
    <xf numFmtId="3" fontId="17" fillId="0" borderId="92" xfId="0" applyNumberFormat="1" applyFont="1" applyFill="1" applyBorder="1" applyAlignment="1">
      <alignment horizontal="right" vertical="center" wrapText="1"/>
    </xf>
    <xf numFmtId="3" fontId="17" fillId="0" borderId="130" xfId="0" applyNumberFormat="1" applyFont="1" applyFill="1" applyBorder="1" applyAlignment="1">
      <alignment horizontal="right" vertical="center" wrapText="1"/>
    </xf>
    <xf numFmtId="3" fontId="17" fillId="0" borderId="44" xfId="0" applyNumberFormat="1" applyFont="1" applyFill="1" applyBorder="1" applyAlignment="1">
      <alignment horizontal="right" vertical="center" wrapText="1"/>
    </xf>
    <xf numFmtId="3" fontId="17" fillId="0" borderId="44" xfId="0" applyNumberFormat="1" applyFont="1" applyFill="1" applyBorder="1" applyAlignment="1">
      <alignment vertical="center" shrinkToFit="1"/>
    </xf>
    <xf numFmtId="3" fontId="17" fillId="0" borderId="92" xfId="0" applyNumberFormat="1" applyFont="1" applyFill="1" applyBorder="1" applyAlignment="1">
      <alignment vertical="center" wrapText="1"/>
    </xf>
    <xf numFmtId="3" fontId="17" fillId="0" borderId="130" xfId="0" applyNumberFormat="1" applyFont="1" applyBorder="1" applyAlignment="1">
      <alignment horizontal="right"/>
    </xf>
    <xf numFmtId="3" fontId="17" fillId="0" borderId="92" xfId="0" applyNumberFormat="1" applyFont="1" applyFill="1" applyBorder="1" applyAlignment="1">
      <alignment horizontal="right" vertical="center" shrinkToFit="1"/>
    </xf>
    <xf numFmtId="3" fontId="24" fillId="0" borderId="44" xfId="0" applyNumberFormat="1" applyFont="1" applyFill="1" applyBorder="1" applyAlignment="1">
      <alignment vertical="center" shrinkToFit="1"/>
    </xf>
    <xf numFmtId="0" fontId="11" fillId="0" borderId="179" xfId="0" applyFont="1" applyFill="1" applyBorder="1" applyAlignment="1">
      <alignment horizontal="center" vertical="center" shrinkToFit="1"/>
    </xf>
    <xf numFmtId="0" fontId="18" fillId="0" borderId="53" xfId="0" applyFont="1" applyFill="1" applyBorder="1" applyAlignment="1">
      <alignment horizontal="center" shrinkToFit="1"/>
    </xf>
    <xf numFmtId="2" fontId="18" fillId="0" borderId="33" xfId="0" applyNumberFormat="1" applyFont="1" applyFill="1" applyBorder="1" applyAlignment="1">
      <alignment shrinkToFit="1"/>
    </xf>
    <xf numFmtId="3" fontId="18" fillId="0" borderId="33" xfId="0" applyNumberFormat="1" applyFont="1" applyFill="1" applyBorder="1" applyAlignment="1">
      <alignment horizontal="right" shrinkToFit="1"/>
    </xf>
    <xf numFmtId="3" fontId="18" fillId="0" borderId="135" xfId="0" applyNumberFormat="1" applyFont="1" applyFill="1" applyBorder="1" applyAlignment="1">
      <alignment horizontal="right" shrinkToFit="1"/>
    </xf>
    <xf numFmtId="3" fontId="28" fillId="0" borderId="72" xfId="106" applyNumberFormat="1" applyFont="1" applyFill="1" applyBorder="1" applyAlignment="1">
      <alignment horizontal="right" vertical="center"/>
      <protection/>
    </xf>
    <xf numFmtId="3" fontId="17" fillId="0" borderId="56" xfId="0" applyNumberFormat="1" applyFont="1" applyBorder="1" applyAlignment="1">
      <alignment vertical="center"/>
    </xf>
    <xf numFmtId="0" fontId="44" fillId="0" borderId="0" xfId="95" applyFont="1" applyFill="1" applyAlignment="1">
      <alignment/>
      <protection/>
    </xf>
    <xf numFmtId="0" fontId="43" fillId="0" borderId="0" xfId="95" applyFont="1">
      <alignment/>
      <protection/>
    </xf>
    <xf numFmtId="3" fontId="150" fillId="0" borderId="56" xfId="0" applyNumberFormat="1" applyFont="1" applyBorder="1" applyAlignment="1">
      <alignment/>
    </xf>
    <xf numFmtId="3" fontId="147" fillId="48" borderId="56" xfId="95" applyNumberFormat="1" applyFont="1" applyFill="1" applyBorder="1" applyAlignment="1">
      <alignment horizontal="right" vertical="center" wrapText="1"/>
      <protection/>
    </xf>
    <xf numFmtId="3" fontId="147" fillId="0" borderId="56" xfId="95" applyNumberFormat="1" applyFont="1" applyFill="1" applyBorder="1" applyAlignment="1">
      <alignment horizontal="right" vertical="center" wrapText="1"/>
      <protection/>
    </xf>
    <xf numFmtId="3" fontId="17" fillId="0" borderId="20" xfId="0" applyNumberFormat="1" applyFont="1" applyFill="1" applyBorder="1" applyAlignment="1">
      <alignment horizontal="right" vertical="center" wrapText="1"/>
    </xf>
    <xf numFmtId="3" fontId="8" fillId="0" borderId="0" xfId="104" applyNumberFormat="1" applyFont="1" applyFill="1" applyAlignment="1">
      <alignment/>
      <protection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vertical="center" shrinkToFit="1"/>
    </xf>
    <xf numFmtId="0" fontId="27" fillId="0" borderId="0" xfId="0" applyFont="1" applyAlignment="1">
      <alignment horizontal="right" vertical="center" wrapText="1"/>
    </xf>
    <xf numFmtId="0" fontId="104" fillId="0" borderId="95" xfId="103" applyFont="1" applyBorder="1">
      <alignment/>
      <protection/>
    </xf>
    <xf numFmtId="0" fontId="104" fillId="0" borderId="95" xfId="103" applyFont="1" applyBorder="1" applyAlignment="1">
      <alignment wrapText="1"/>
      <protection/>
    </xf>
    <xf numFmtId="3" fontId="104" fillId="0" borderId="95" xfId="103" applyNumberFormat="1" applyFont="1" applyBorder="1">
      <alignment/>
      <protection/>
    </xf>
    <xf numFmtId="3" fontId="104" fillId="0" borderId="95" xfId="0" applyNumberFormat="1" applyFont="1" applyFill="1" applyBorder="1" applyAlignment="1">
      <alignment/>
    </xf>
    <xf numFmtId="3" fontId="104" fillId="0" borderId="95" xfId="0" applyNumberFormat="1" applyFont="1" applyBorder="1" applyAlignment="1">
      <alignment/>
    </xf>
    <xf numFmtId="0" fontId="104" fillId="0" borderId="95" xfId="103" applyFont="1" applyFill="1" applyBorder="1" applyAlignment="1">
      <alignment wrapText="1"/>
      <protection/>
    </xf>
    <xf numFmtId="0" fontId="104" fillId="0" borderId="95" xfId="103" applyFont="1" applyFill="1" applyBorder="1">
      <alignment/>
      <protection/>
    </xf>
    <xf numFmtId="3" fontId="104" fillId="0" borderId="95" xfId="103" applyNumberFormat="1" applyFont="1" applyFill="1" applyBorder="1">
      <alignment/>
      <protection/>
    </xf>
    <xf numFmtId="0" fontId="104" fillId="0" borderId="95" xfId="0" applyFont="1" applyBorder="1" applyAlignment="1">
      <alignment wrapText="1"/>
    </xf>
    <xf numFmtId="0" fontId="104" fillId="0" borderId="95" xfId="0" applyFont="1" applyBorder="1" applyAlignment="1">
      <alignment/>
    </xf>
    <xf numFmtId="0" fontId="105" fillId="0" borderId="95" xfId="103" applyFont="1" applyBorder="1" applyAlignment="1">
      <alignment vertical="center"/>
      <protection/>
    </xf>
    <xf numFmtId="3" fontId="105" fillId="0" borderId="95" xfId="103" applyNumberFormat="1" applyFont="1" applyBorder="1" applyAlignment="1">
      <alignment horizontal="center" vertical="center"/>
      <protection/>
    </xf>
    <xf numFmtId="3" fontId="105" fillId="0" borderId="95" xfId="103" applyNumberFormat="1" applyFont="1" applyFill="1" applyBorder="1" applyAlignment="1">
      <alignment horizontal="center" vertical="center"/>
      <protection/>
    </xf>
    <xf numFmtId="3" fontId="105" fillId="0" borderId="95" xfId="103" applyNumberFormat="1" applyFont="1" applyFill="1" applyBorder="1" applyAlignment="1">
      <alignment vertical="center"/>
      <protection/>
    </xf>
    <xf numFmtId="3" fontId="105" fillId="0" borderId="95" xfId="0" applyNumberFormat="1" applyFont="1" applyBorder="1" applyAlignment="1">
      <alignment vertical="center"/>
    </xf>
    <xf numFmtId="4" fontId="29" fillId="0" borderId="98" xfId="106" applyNumberFormat="1" applyFont="1" applyFill="1" applyBorder="1" applyAlignment="1">
      <alignment horizontal="right" vertical="center"/>
      <protection/>
    </xf>
    <xf numFmtId="4" fontId="18" fillId="0" borderId="108" xfId="106" applyNumberFormat="1" applyFont="1" applyFill="1" applyBorder="1" applyAlignment="1">
      <alignment horizontal="right" vertical="center"/>
      <protection/>
    </xf>
    <xf numFmtId="4" fontId="29" fillId="0" borderId="97" xfId="106" applyNumberFormat="1" applyFont="1" applyFill="1" applyBorder="1" applyAlignment="1">
      <alignment horizontal="right" vertical="center"/>
      <protection/>
    </xf>
    <xf numFmtId="4" fontId="18" fillId="0" borderId="110" xfId="106" applyNumberFormat="1" applyFont="1" applyFill="1" applyBorder="1" applyAlignment="1">
      <alignment horizontal="right" vertical="center"/>
      <protection/>
    </xf>
    <xf numFmtId="3" fontId="103" fillId="0" borderId="0" xfId="0" applyNumberFormat="1" applyFont="1" applyFill="1" applyBorder="1" applyAlignment="1">
      <alignment vertical="center" shrinkToFit="1"/>
    </xf>
    <xf numFmtId="3" fontId="13" fillId="0" borderId="0" xfId="0" applyNumberFormat="1" applyFont="1" applyFill="1" applyBorder="1" applyAlignment="1">
      <alignment vertical="center" shrinkToFit="1"/>
    </xf>
    <xf numFmtId="3" fontId="85" fillId="0" borderId="56" xfId="104" applyNumberFormat="1" applyFont="1" applyFill="1" applyBorder="1" applyAlignment="1">
      <alignment horizontal="center"/>
      <protection/>
    </xf>
    <xf numFmtId="3" fontId="85" fillId="0" borderId="56" xfId="104" applyNumberFormat="1" applyFont="1" applyFill="1" applyBorder="1" applyAlignment="1">
      <alignment horizontal="center"/>
      <protection/>
    </xf>
    <xf numFmtId="0" fontId="145" fillId="0" borderId="56" xfId="0" applyFont="1" applyBorder="1" applyAlignment="1">
      <alignment horizontal="left" wrapText="1" indent="2"/>
    </xf>
    <xf numFmtId="3" fontId="151" fillId="0" borderId="56" xfId="0" applyNumberFormat="1" applyFont="1" applyBorder="1" applyAlignment="1">
      <alignment/>
    </xf>
    <xf numFmtId="0" fontId="15" fillId="0" borderId="21" xfId="0" applyFont="1" applyBorder="1" applyAlignment="1">
      <alignment vertical="center" wrapText="1"/>
    </xf>
    <xf numFmtId="0" fontId="15" fillId="0" borderId="55" xfId="99" applyFont="1" applyBorder="1">
      <alignment/>
      <protection/>
    </xf>
    <xf numFmtId="0" fontId="15" fillId="0" borderId="80" xfId="0" applyFont="1" applyBorder="1" applyAlignment="1">
      <alignment horizontal="center" vertical="center"/>
    </xf>
    <xf numFmtId="0" fontId="15" fillId="0" borderId="80" xfId="0" applyFont="1" applyBorder="1" applyAlignment="1">
      <alignment horizontal="left" vertical="center" wrapText="1"/>
    </xf>
    <xf numFmtId="0" fontId="15" fillId="0" borderId="80" xfId="99" applyFont="1" applyBorder="1">
      <alignment/>
      <protection/>
    </xf>
    <xf numFmtId="3" fontId="15" fillId="0" borderId="80" xfId="99" applyNumberFormat="1" applyFont="1" applyBorder="1">
      <alignment/>
      <protection/>
    </xf>
    <xf numFmtId="0" fontId="15" fillId="0" borderId="80" xfId="0" applyFont="1" applyBorder="1" applyAlignment="1">
      <alignment vertical="center" wrapText="1"/>
    </xf>
    <xf numFmtId="0" fontId="15" fillId="0" borderId="80" xfId="0" applyFont="1" applyBorder="1" applyAlignment="1">
      <alignment horizontal="left" wrapText="1"/>
    </xf>
    <xf numFmtId="0" fontId="43" fillId="0" borderId="0" xfId="95" applyFont="1" applyFill="1">
      <alignment/>
      <protection/>
    </xf>
    <xf numFmtId="0" fontId="106" fillId="0" borderId="57" xfId="99" applyFont="1" applyBorder="1" applyAlignment="1">
      <alignment horizontal="left"/>
      <protection/>
    </xf>
    <xf numFmtId="0" fontId="106" fillId="0" borderId="56" xfId="99" applyFont="1" applyBorder="1" applyAlignment="1">
      <alignment/>
      <protection/>
    </xf>
    <xf numFmtId="3" fontId="106" fillId="0" borderId="56" xfId="99" applyNumberFormat="1" applyFont="1" applyBorder="1" applyAlignment="1">
      <alignment/>
      <protection/>
    </xf>
    <xf numFmtId="0" fontId="106" fillId="0" borderId="150" xfId="99" applyFont="1" applyBorder="1" applyAlignment="1">
      <alignment/>
      <protection/>
    </xf>
    <xf numFmtId="0" fontId="106" fillId="0" borderId="84" xfId="99" applyFont="1" applyBorder="1" applyAlignment="1">
      <alignment horizontal="left" vertical="center" wrapText="1"/>
      <protection/>
    </xf>
    <xf numFmtId="0" fontId="106" fillId="0" borderId="91" xfId="99" applyFont="1" applyBorder="1" applyAlignment="1">
      <alignment/>
      <protection/>
    </xf>
    <xf numFmtId="0" fontId="106" fillId="0" borderId="84" xfId="99" applyFont="1" applyBorder="1" applyAlignment="1" quotePrefix="1">
      <alignment horizontal="left" vertical="center" indent="2"/>
      <protection/>
    </xf>
    <xf numFmtId="0" fontId="106" fillId="0" borderId="84" xfId="99" applyFont="1" applyBorder="1" applyAlignment="1">
      <alignment horizontal="left" vertical="center"/>
      <protection/>
    </xf>
    <xf numFmtId="0" fontId="106" fillId="0" borderId="84" xfId="99" applyFont="1" applyBorder="1" applyAlignment="1">
      <alignment horizontal="left"/>
      <protection/>
    </xf>
    <xf numFmtId="0" fontId="106" fillId="0" borderId="56" xfId="99" applyFont="1" applyBorder="1" applyAlignment="1">
      <alignment horizontal="right"/>
      <protection/>
    </xf>
    <xf numFmtId="3" fontId="106" fillId="0" borderId="56" xfId="99" applyNumberFormat="1" applyFont="1" applyBorder="1" applyAlignment="1">
      <alignment horizontal="right"/>
      <protection/>
    </xf>
    <xf numFmtId="0" fontId="106" fillId="0" borderId="111" xfId="99" applyFont="1" applyBorder="1" applyAlignment="1">
      <alignment wrapText="1"/>
      <protection/>
    </xf>
    <xf numFmtId="0" fontId="106" fillId="0" borderId="72" xfId="99" applyFont="1" applyBorder="1" applyAlignment="1">
      <alignment horizontal="right"/>
      <protection/>
    </xf>
    <xf numFmtId="3" fontId="106" fillId="0" borderId="72" xfId="99" applyNumberFormat="1" applyFont="1" applyBorder="1" applyAlignment="1">
      <alignment horizontal="right"/>
      <protection/>
    </xf>
    <xf numFmtId="3" fontId="54" fillId="0" borderId="0" xfId="99" applyNumberFormat="1" applyFont="1" applyAlignment="1">
      <alignment wrapText="1"/>
      <protection/>
    </xf>
    <xf numFmtId="2" fontId="65" fillId="0" borderId="0" xfId="102" applyNumberFormat="1" applyFont="1" applyAlignment="1">
      <alignment vertical="top" wrapText="1"/>
      <protection/>
    </xf>
    <xf numFmtId="0" fontId="106" fillId="0" borderId="51" xfId="99" applyFont="1" applyBorder="1" applyAlignment="1">
      <alignment horizontal="right"/>
      <protection/>
    </xf>
    <xf numFmtId="3" fontId="106" fillId="0" borderId="51" xfId="99" applyNumberFormat="1" applyFont="1" applyBorder="1" applyAlignment="1">
      <alignment horizontal="right"/>
      <protection/>
    </xf>
    <xf numFmtId="0" fontId="106" fillId="0" borderId="78" xfId="99" applyFont="1" applyBorder="1" applyAlignment="1">
      <alignment horizontal="left"/>
      <protection/>
    </xf>
    <xf numFmtId="0" fontId="106" fillId="0" borderId="48" xfId="99" applyFont="1" applyBorder="1" applyAlignment="1">
      <alignment horizontal="left"/>
      <protection/>
    </xf>
    <xf numFmtId="0" fontId="106" fillId="0" borderId="71" xfId="99" applyFont="1" applyBorder="1" applyAlignment="1">
      <alignment horizontal="left" wrapText="1"/>
      <protection/>
    </xf>
    <xf numFmtId="0" fontId="106" fillId="0" borderId="94" xfId="99" applyFont="1" applyBorder="1" applyAlignment="1">
      <alignment horizontal="left" wrapText="1"/>
      <protection/>
    </xf>
    <xf numFmtId="0" fontId="15" fillId="0" borderId="70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center" vertical="center"/>
    </xf>
    <xf numFmtId="0" fontId="105" fillId="0" borderId="95" xfId="103" applyFont="1" applyBorder="1" applyAlignment="1">
      <alignment horizontal="center" vertical="center" wrapText="1"/>
      <protection/>
    </xf>
    <xf numFmtId="0" fontId="59" fillId="0" borderId="106" xfId="102" applyFont="1" applyBorder="1" applyAlignment="1">
      <alignment horizontal="center"/>
      <protection/>
    </xf>
    <xf numFmtId="0" fontId="59" fillId="0" borderId="132" xfId="102" applyFont="1" applyBorder="1" applyAlignment="1">
      <alignment horizontal="center"/>
      <protection/>
    </xf>
    <xf numFmtId="0" fontId="59" fillId="0" borderId="20" xfId="102" applyFont="1" applyBorder="1" applyAlignment="1">
      <alignment horizontal="right"/>
      <protection/>
    </xf>
    <xf numFmtId="3" fontId="59" fillId="0" borderId="38" xfId="102" applyNumberFormat="1" applyFont="1" applyBorder="1" applyAlignment="1">
      <alignment horizontal="right" vertical="center"/>
      <protection/>
    </xf>
    <xf numFmtId="0" fontId="27" fillId="0" borderId="95" xfId="0" applyFont="1" applyBorder="1" applyAlignment="1">
      <alignment horizontal="right"/>
    </xf>
    <xf numFmtId="14" fontId="104" fillId="0" borderId="95" xfId="0" applyNumberFormat="1" applyFont="1" applyBorder="1" applyAlignment="1">
      <alignment/>
    </xf>
    <xf numFmtId="14" fontId="104" fillId="0" borderId="95" xfId="0" applyNumberFormat="1" applyFont="1" applyBorder="1" applyAlignment="1">
      <alignment horizontal="right"/>
    </xf>
    <xf numFmtId="0" fontId="39" fillId="0" borderId="0" xfId="0" applyFont="1" applyAlignment="1">
      <alignment horizontal="right" vertical="center" wrapText="1"/>
    </xf>
    <xf numFmtId="0" fontId="108" fillId="0" borderId="0" xfId="0" applyNumberFormat="1" applyFont="1" applyAlignment="1">
      <alignment horizontal="center" vertical="center" wrapText="1"/>
    </xf>
    <xf numFmtId="0" fontId="108" fillId="0" borderId="0" xfId="0" applyFont="1" applyAlignment="1">
      <alignment/>
    </xf>
    <xf numFmtId="0" fontId="105" fillId="0" borderId="95" xfId="0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/>
    </xf>
    <xf numFmtId="3" fontId="60" fillId="0" borderId="72" xfId="102" applyNumberFormat="1" applyFont="1" applyBorder="1" applyAlignment="1">
      <alignment horizontal="right"/>
      <protection/>
    </xf>
    <xf numFmtId="3" fontId="60" fillId="0" borderId="94" xfId="102" applyNumberFormat="1" applyFont="1" applyBorder="1" applyAlignment="1">
      <alignment horizontal="right"/>
      <protection/>
    </xf>
    <xf numFmtId="3" fontId="52" fillId="0" borderId="56" xfId="0" applyNumberFormat="1" applyFont="1" applyBorder="1" applyAlignment="1">
      <alignment horizontal="center"/>
    </xf>
    <xf numFmtId="3" fontId="12" fillId="0" borderId="75" xfId="0" applyNumberFormat="1" applyFont="1" applyFill="1" applyBorder="1" applyAlignment="1">
      <alignment horizontal="left" vertical="center"/>
    </xf>
    <xf numFmtId="3" fontId="12" fillId="0" borderId="76" xfId="0" applyNumberFormat="1" applyFont="1" applyFill="1" applyBorder="1" applyAlignment="1">
      <alignment horizontal="left" vertical="center"/>
    </xf>
    <xf numFmtId="3" fontId="18" fillId="0" borderId="104" xfId="0" applyNumberFormat="1" applyFont="1" applyFill="1" applyBorder="1" applyAlignment="1">
      <alignment horizontal="right" vertical="center"/>
    </xf>
    <xf numFmtId="3" fontId="18" fillId="47" borderId="180" xfId="0" applyNumberFormat="1" applyFont="1" applyFill="1" applyBorder="1" applyAlignment="1">
      <alignment horizontal="right" vertical="center"/>
    </xf>
    <xf numFmtId="3" fontId="11" fillId="0" borderId="176" xfId="0" applyNumberFormat="1" applyFont="1" applyFill="1" applyBorder="1" applyAlignment="1">
      <alignment horizontal="center" vertical="center"/>
    </xf>
    <xf numFmtId="3" fontId="17" fillId="0" borderId="104" xfId="0" applyNumberFormat="1" applyFont="1" applyFill="1" applyBorder="1" applyAlignment="1">
      <alignment horizontal="right" vertical="center"/>
    </xf>
    <xf numFmtId="3" fontId="17" fillId="0" borderId="180" xfId="0" applyNumberFormat="1" applyFont="1" applyFill="1" applyBorder="1" applyAlignment="1">
      <alignment horizontal="right" vertical="center"/>
    </xf>
    <xf numFmtId="3" fontId="17" fillId="47" borderId="180" xfId="0" applyNumberFormat="1" applyFont="1" applyFill="1" applyBorder="1" applyAlignment="1">
      <alignment horizontal="right" vertical="center"/>
    </xf>
    <xf numFmtId="3" fontId="12" fillId="0" borderId="76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 vertical="center"/>
    </xf>
    <xf numFmtId="3" fontId="17" fillId="0" borderId="176" xfId="106" applyNumberFormat="1" applyFont="1" applyFill="1" applyBorder="1" applyAlignment="1" quotePrefix="1">
      <alignment horizontal="center" vertical="center"/>
      <protection/>
    </xf>
    <xf numFmtId="0" fontId="19" fillId="0" borderId="181" xfId="0" applyFont="1" applyFill="1" applyBorder="1" applyAlignment="1">
      <alignment horizontal="center" shrinkToFit="1"/>
    </xf>
    <xf numFmtId="0" fontId="19" fillId="0" borderId="179" xfId="0" applyFont="1" applyFill="1" applyBorder="1" applyAlignment="1">
      <alignment horizontal="center" shrinkToFit="1"/>
    </xf>
    <xf numFmtId="0" fontId="19" fillId="0" borderId="96" xfId="0" applyFont="1" applyFill="1" applyBorder="1" applyAlignment="1">
      <alignment horizontal="center" shrinkToFit="1"/>
    </xf>
    <xf numFmtId="0" fontId="19" fillId="0" borderId="182" xfId="0" applyFont="1" applyFill="1" applyBorder="1" applyAlignment="1">
      <alignment horizontal="left" vertical="center"/>
    </xf>
    <xf numFmtId="0" fontId="19" fillId="0" borderId="183" xfId="0" applyFont="1" applyFill="1" applyBorder="1" applyAlignment="1">
      <alignment horizontal="left" vertical="center"/>
    </xf>
    <xf numFmtId="0" fontId="19" fillId="0" borderId="184" xfId="0" applyFont="1" applyFill="1" applyBorder="1" applyAlignment="1">
      <alignment horizontal="left" vertical="center" shrinkToFit="1"/>
    </xf>
    <xf numFmtId="0" fontId="19" fillId="0" borderId="156" xfId="0" applyFont="1" applyFill="1" applyBorder="1" applyAlignment="1">
      <alignment horizontal="left" vertical="center" shrinkToFit="1"/>
    </xf>
    <xf numFmtId="2" fontId="18" fillId="0" borderId="182" xfId="0" applyNumberFormat="1" applyFont="1" applyFill="1" applyBorder="1" applyAlignment="1">
      <alignment horizontal="center" shrinkToFit="1"/>
    </xf>
    <xf numFmtId="2" fontId="18" fillId="0" borderId="185" xfId="0" applyNumberFormat="1" applyFont="1" applyFill="1" applyBorder="1" applyAlignment="1">
      <alignment horizontal="center" shrinkToFit="1"/>
    </xf>
    <xf numFmtId="2" fontId="18" fillId="0" borderId="184" xfId="0" applyNumberFormat="1" applyFont="1" applyFill="1" applyBorder="1" applyAlignment="1">
      <alignment horizontal="center" vertical="center" shrinkToFit="1"/>
    </xf>
    <xf numFmtId="2" fontId="18" fillId="0" borderId="99" xfId="0" applyNumberFormat="1" applyFont="1" applyFill="1" applyBorder="1" applyAlignment="1">
      <alignment horizontal="center" vertical="center" shrinkToFit="1"/>
    </xf>
    <xf numFmtId="2" fontId="18" fillId="0" borderId="182" xfId="0" applyNumberFormat="1" applyFont="1" applyFill="1" applyBorder="1" applyAlignment="1">
      <alignment horizontal="center" vertical="center" shrinkToFit="1"/>
    </xf>
    <xf numFmtId="2" fontId="18" fillId="0" borderId="185" xfId="0" applyNumberFormat="1" applyFont="1" applyFill="1" applyBorder="1" applyAlignment="1">
      <alignment horizontal="center" vertical="center" shrinkToFit="1"/>
    </xf>
    <xf numFmtId="0" fontId="18" fillId="0" borderId="182" xfId="0" applyFont="1" applyFill="1" applyBorder="1" applyAlignment="1">
      <alignment horizontal="center" vertical="center" shrinkToFit="1"/>
    </xf>
    <xf numFmtId="0" fontId="18" fillId="0" borderId="185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46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18" fillId="47" borderId="181" xfId="0" applyFont="1" applyFill="1" applyBorder="1" applyAlignment="1">
      <alignment horizontal="center" vertical="center" shrinkToFit="1"/>
    </xf>
    <xf numFmtId="0" fontId="18" fillId="47" borderId="179" xfId="0" applyFont="1" applyFill="1" applyBorder="1" applyAlignment="1">
      <alignment horizontal="center" vertical="center" shrinkToFit="1"/>
    </xf>
    <xf numFmtId="0" fontId="18" fillId="47" borderId="96" xfId="0" applyFont="1" applyFill="1" applyBorder="1" applyAlignment="1">
      <alignment horizontal="center" vertical="center" shrinkToFit="1"/>
    </xf>
    <xf numFmtId="2" fontId="17" fillId="0" borderId="129" xfId="0" applyNumberFormat="1" applyFont="1" applyFill="1" applyBorder="1" applyAlignment="1">
      <alignment horizontal="left" vertical="top" wrapText="1"/>
    </xf>
    <xf numFmtId="2" fontId="17" fillId="0" borderId="123" xfId="0" applyNumberFormat="1" applyFont="1" applyFill="1" applyBorder="1" applyAlignment="1">
      <alignment horizontal="left" vertical="top" wrapText="1"/>
    </xf>
    <xf numFmtId="2" fontId="17" fillId="0" borderId="35" xfId="0" applyNumberFormat="1" applyFont="1" applyFill="1" applyBorder="1" applyAlignment="1">
      <alignment horizontal="left" vertical="top" wrapText="1"/>
    </xf>
    <xf numFmtId="3" fontId="18" fillId="0" borderId="182" xfId="0" applyNumberFormat="1" applyFont="1" applyFill="1" applyBorder="1" applyAlignment="1">
      <alignment horizontal="center" vertical="center"/>
    </xf>
    <xf numFmtId="3" fontId="18" fillId="0" borderId="178" xfId="0" applyNumberFormat="1" applyFont="1" applyFill="1" applyBorder="1" applyAlignment="1">
      <alignment horizontal="center" vertical="center"/>
    </xf>
    <xf numFmtId="3" fontId="18" fillId="0" borderId="185" xfId="0" applyNumberFormat="1" applyFont="1" applyFill="1" applyBorder="1" applyAlignment="1">
      <alignment horizontal="center" vertical="center"/>
    </xf>
    <xf numFmtId="3" fontId="24" fillId="0" borderId="29" xfId="0" applyNumberFormat="1" applyFont="1" applyFill="1" applyBorder="1" applyAlignment="1" quotePrefix="1">
      <alignment horizontal="center" vertical="center"/>
    </xf>
    <xf numFmtId="3" fontId="24" fillId="0" borderId="0" xfId="0" applyNumberFormat="1" applyFont="1" applyFill="1" applyBorder="1" applyAlignment="1" quotePrefix="1">
      <alignment horizontal="center" vertical="center"/>
    </xf>
    <xf numFmtId="3" fontId="24" fillId="0" borderId="123" xfId="0" applyNumberFormat="1" applyFont="1" applyFill="1" applyBorder="1" applyAlignment="1" quotePrefix="1">
      <alignment horizontal="center" vertical="center"/>
    </xf>
    <xf numFmtId="3" fontId="24" fillId="0" borderId="29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144" xfId="0" applyNumberFormat="1" applyFont="1" applyFill="1" applyBorder="1" applyAlignment="1">
      <alignment horizontal="center" vertical="center"/>
    </xf>
    <xf numFmtId="3" fontId="24" fillId="0" borderId="133" xfId="0" applyNumberFormat="1" applyFont="1" applyFill="1" applyBorder="1" applyAlignment="1">
      <alignment horizontal="center" vertical="center"/>
    </xf>
    <xf numFmtId="3" fontId="23" fillId="0" borderId="29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12" fillId="43" borderId="181" xfId="0" applyNumberFormat="1" applyFont="1" applyFill="1" applyBorder="1" applyAlignment="1">
      <alignment horizontal="center" vertical="center"/>
    </xf>
    <xf numFmtId="3" fontId="12" fillId="43" borderId="179" xfId="0" applyNumberFormat="1" applyFont="1" applyFill="1" applyBorder="1" applyAlignment="1">
      <alignment horizontal="center" vertical="center"/>
    </xf>
    <xf numFmtId="3" fontId="12" fillId="43" borderId="96" xfId="0" applyNumberFormat="1" applyFont="1" applyFill="1" applyBorder="1" applyAlignment="1">
      <alignment horizontal="center" vertical="center"/>
    </xf>
    <xf numFmtId="0" fontId="18" fillId="0" borderId="186" xfId="0" applyFont="1" applyBorder="1" applyAlignment="1">
      <alignment horizontal="center" vertical="center" wrapText="1"/>
    </xf>
    <xf numFmtId="0" fontId="18" fillId="0" borderId="187" xfId="0" applyFont="1" applyBorder="1" applyAlignment="1">
      <alignment horizontal="center" vertical="center" wrapText="1"/>
    </xf>
    <xf numFmtId="0" fontId="18" fillId="0" borderId="188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8" fillId="0" borderId="17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89" xfId="0" applyFont="1" applyBorder="1" applyAlignment="1">
      <alignment horizontal="center" vertical="center" wrapText="1"/>
    </xf>
    <xf numFmtId="3" fontId="22" fillId="0" borderId="29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12" fillId="0" borderId="181" xfId="0" applyNumberFormat="1" applyFont="1" applyFill="1" applyBorder="1" applyAlignment="1">
      <alignment horizontal="center" vertical="center"/>
    </xf>
    <xf numFmtId="3" fontId="12" fillId="0" borderId="179" xfId="0" applyNumberFormat="1" applyFont="1" applyFill="1" applyBorder="1" applyAlignment="1">
      <alignment horizontal="center" vertical="center"/>
    </xf>
    <xf numFmtId="3" fontId="12" fillId="0" borderId="103" xfId="0" applyNumberFormat="1" applyFont="1" applyFill="1" applyBorder="1" applyAlignment="1">
      <alignment horizontal="center" vertical="center"/>
    </xf>
    <xf numFmtId="3" fontId="24" fillId="0" borderId="29" xfId="106" applyNumberFormat="1" applyFont="1" applyFill="1" applyBorder="1" applyAlignment="1" quotePrefix="1">
      <alignment horizontal="center" vertical="center"/>
      <protection/>
    </xf>
    <xf numFmtId="3" fontId="24" fillId="0" borderId="0" xfId="106" applyNumberFormat="1" applyFont="1" applyFill="1" applyBorder="1" applyAlignment="1" quotePrefix="1">
      <alignment horizontal="center" vertical="center"/>
      <protection/>
    </xf>
    <xf numFmtId="3" fontId="24" fillId="0" borderId="46" xfId="106" applyNumberFormat="1" applyFont="1" applyFill="1" applyBorder="1" applyAlignment="1" quotePrefix="1">
      <alignment horizontal="center" vertical="center"/>
      <protection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127" xfId="0" applyNumberFormat="1" applyFont="1" applyFill="1" applyBorder="1" applyAlignment="1">
      <alignment horizontal="center" vertical="center"/>
    </xf>
    <xf numFmtId="3" fontId="22" fillId="0" borderId="125" xfId="0" applyNumberFormat="1" applyFont="1" applyFill="1" applyBorder="1" applyAlignment="1">
      <alignment horizontal="center" vertical="center"/>
    </xf>
    <xf numFmtId="3" fontId="22" fillId="0" borderId="101" xfId="0" applyNumberFormat="1" applyFont="1" applyFill="1" applyBorder="1" applyAlignment="1">
      <alignment horizontal="center" vertical="center"/>
    </xf>
    <xf numFmtId="3" fontId="22" fillId="0" borderId="46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24" fillId="0" borderId="130" xfId="0" applyNumberFormat="1" applyFont="1" applyFill="1" applyBorder="1" applyAlignment="1">
      <alignment horizontal="left" vertical="center"/>
    </xf>
    <xf numFmtId="3" fontId="24" fillId="0" borderId="133" xfId="0" applyNumberFormat="1" applyFont="1" applyFill="1" applyBorder="1" applyAlignment="1">
      <alignment horizontal="left" vertical="center"/>
    </xf>
    <xf numFmtId="3" fontId="24" fillId="0" borderId="125" xfId="0" applyNumberFormat="1" applyFont="1" applyFill="1" applyBorder="1" applyAlignment="1">
      <alignment horizontal="left" vertical="center"/>
    </xf>
    <xf numFmtId="3" fontId="12" fillId="0" borderId="84" xfId="0" applyNumberFormat="1" applyFont="1" applyFill="1" applyBorder="1" applyAlignment="1">
      <alignment horizontal="center" vertical="center"/>
    </xf>
    <xf numFmtId="3" fontId="12" fillId="0" borderId="85" xfId="0" applyNumberFormat="1" applyFont="1" applyFill="1" applyBorder="1" applyAlignment="1">
      <alignment horizontal="center" vertical="center"/>
    </xf>
    <xf numFmtId="3" fontId="12" fillId="0" borderId="190" xfId="0" applyNumberFormat="1" applyFont="1" applyFill="1" applyBorder="1" applyAlignment="1">
      <alignment horizontal="center" vertical="center"/>
    </xf>
    <xf numFmtId="3" fontId="12" fillId="0" borderId="126" xfId="0" applyNumberFormat="1" applyFont="1" applyFill="1" applyBorder="1" applyAlignment="1">
      <alignment horizontal="center" vertical="center"/>
    </xf>
    <xf numFmtId="3" fontId="12" fillId="0" borderId="123" xfId="0" applyNumberFormat="1" applyFont="1" applyFill="1" applyBorder="1" applyAlignment="1">
      <alignment horizontal="center" vertical="center"/>
    </xf>
    <xf numFmtId="3" fontId="12" fillId="0" borderId="101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127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>
      <alignment horizontal="left" vertical="center" wrapText="1"/>
    </xf>
    <xf numFmtId="3" fontId="11" fillId="0" borderId="144" xfId="0" applyNumberFormat="1" applyFont="1" applyFill="1" applyBorder="1" applyAlignment="1">
      <alignment horizontal="left" vertical="center" wrapText="1"/>
    </xf>
    <xf numFmtId="3" fontId="11" fillId="0" borderId="101" xfId="0" applyNumberFormat="1" applyFont="1" applyFill="1" applyBorder="1" applyAlignment="1">
      <alignment horizontal="left" vertical="center" wrapText="1"/>
    </xf>
    <xf numFmtId="3" fontId="11" fillId="0" borderId="21" xfId="0" applyNumberFormat="1" applyFont="1" applyFill="1" applyBorder="1" applyAlignment="1">
      <alignment horizontal="center" vertical="center"/>
    </xf>
    <xf numFmtId="3" fontId="12" fillId="0" borderId="124" xfId="0" applyNumberFormat="1" applyFont="1" applyFill="1" applyBorder="1" applyAlignment="1">
      <alignment horizontal="left" vertical="center"/>
    </xf>
    <xf numFmtId="3" fontId="12" fillId="0" borderId="133" xfId="0" applyNumberFormat="1" applyFont="1" applyFill="1" applyBorder="1" applyAlignment="1">
      <alignment horizontal="left" vertical="center"/>
    </xf>
    <xf numFmtId="3" fontId="12" fillId="0" borderId="125" xfId="0" applyNumberFormat="1" applyFont="1" applyFill="1" applyBorder="1" applyAlignment="1">
      <alignment horizontal="left" vertical="center"/>
    </xf>
    <xf numFmtId="3" fontId="17" fillId="0" borderId="44" xfId="107" applyNumberFormat="1" applyFont="1" applyFill="1" applyBorder="1" applyAlignment="1">
      <alignment horizontal="left" vertical="center" wrapText="1"/>
      <protection/>
    </xf>
    <xf numFmtId="3" fontId="17" fillId="0" borderId="101" xfId="107" applyNumberFormat="1" applyFont="1" applyFill="1" applyBorder="1" applyAlignment="1">
      <alignment horizontal="left" vertical="center" wrapText="1"/>
      <protection/>
    </xf>
    <xf numFmtId="3" fontId="12" fillId="0" borderId="145" xfId="0" applyNumberFormat="1" applyFont="1" applyFill="1" applyBorder="1" applyAlignment="1">
      <alignment horizontal="left" vertical="center"/>
    </xf>
    <xf numFmtId="3" fontId="12" fillId="0" borderId="144" xfId="0" applyNumberFormat="1" applyFont="1" applyFill="1" applyBorder="1" applyAlignment="1">
      <alignment horizontal="left" vertical="center"/>
    </xf>
    <xf numFmtId="3" fontId="12" fillId="0" borderId="101" xfId="0" applyNumberFormat="1" applyFont="1" applyFill="1" applyBorder="1" applyAlignment="1">
      <alignment horizontal="left" vertical="center"/>
    </xf>
    <xf numFmtId="3" fontId="17" fillId="0" borderId="44" xfId="0" applyNumberFormat="1" applyFont="1" applyFill="1" applyBorder="1" applyAlignment="1">
      <alignment horizontal="left" vertical="center" wrapText="1"/>
    </xf>
    <xf numFmtId="3" fontId="17" fillId="0" borderId="144" xfId="0" applyNumberFormat="1" applyFont="1" applyFill="1" applyBorder="1" applyAlignment="1">
      <alignment horizontal="left" vertical="center" wrapText="1"/>
    </xf>
    <xf numFmtId="3" fontId="17" fillId="0" borderId="101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3" fontId="29" fillId="0" borderId="42" xfId="0" applyNumberFormat="1" applyFont="1" applyFill="1" applyBorder="1" applyAlignment="1">
      <alignment horizontal="center" vertical="center"/>
    </xf>
    <xf numFmtId="3" fontId="18" fillId="0" borderId="29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124" xfId="0" applyNumberFormat="1" applyFont="1" applyFill="1" applyBorder="1" applyAlignment="1">
      <alignment horizontal="left" vertical="center"/>
    </xf>
    <xf numFmtId="3" fontId="18" fillId="0" borderId="133" xfId="0" applyNumberFormat="1" applyFont="1" applyFill="1" applyBorder="1" applyAlignment="1">
      <alignment horizontal="left" vertical="center"/>
    </xf>
    <xf numFmtId="3" fontId="18" fillId="0" borderId="144" xfId="0" applyNumberFormat="1" applyFont="1" applyFill="1" applyBorder="1" applyAlignment="1">
      <alignment horizontal="left" vertical="center"/>
    </xf>
    <xf numFmtId="3" fontId="18" fillId="0" borderId="101" xfId="0" applyNumberFormat="1" applyFont="1" applyFill="1" applyBorder="1" applyAlignment="1">
      <alignment horizontal="left" vertical="center"/>
    </xf>
    <xf numFmtId="3" fontId="24" fillId="0" borderId="19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Alignment="1">
      <alignment horizontal="right" vertical="top"/>
    </xf>
    <xf numFmtId="3" fontId="11" fillId="0" borderId="22" xfId="0" applyNumberFormat="1" applyFont="1" applyFill="1" applyBorder="1" applyAlignment="1">
      <alignment horizontal="center" vertical="center" textRotation="1"/>
    </xf>
    <xf numFmtId="0" fontId="0" fillId="0" borderId="23" xfId="0" applyFont="1" applyBorder="1" applyAlignment="1">
      <alignment horizontal="center" vertical="center" textRotation="1"/>
    </xf>
    <xf numFmtId="3" fontId="8" fillId="0" borderId="2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 wrapText="1"/>
    </xf>
    <xf numFmtId="3" fontId="18" fillId="0" borderId="97" xfId="0" applyNumberFormat="1" applyFont="1" applyFill="1" applyBorder="1" applyAlignment="1">
      <alignment horizontal="center" vertical="center" wrapText="1"/>
    </xf>
    <xf numFmtId="3" fontId="18" fillId="0" borderId="108" xfId="0" applyNumberFormat="1" applyFont="1" applyFill="1" applyBorder="1" applyAlignment="1">
      <alignment horizontal="center" vertical="center" wrapText="1"/>
    </xf>
    <xf numFmtId="3" fontId="29" fillId="0" borderId="67" xfId="0" applyNumberFormat="1" applyFont="1" applyFill="1" applyBorder="1" applyAlignment="1">
      <alignment horizontal="center" vertical="center"/>
    </xf>
    <xf numFmtId="3" fontId="29" fillId="0" borderId="28" xfId="0" applyNumberFormat="1" applyFont="1" applyFill="1" applyBorder="1" applyAlignment="1">
      <alignment horizontal="center" vertical="center"/>
    </xf>
    <xf numFmtId="3" fontId="12" fillId="0" borderId="126" xfId="0" applyNumberFormat="1" applyFont="1" applyFill="1" applyBorder="1" applyAlignment="1">
      <alignment horizontal="left" vertical="center"/>
    </xf>
    <xf numFmtId="3" fontId="12" fillId="0" borderId="123" xfId="0" applyNumberFormat="1" applyFont="1" applyFill="1" applyBorder="1" applyAlignment="1">
      <alignment horizontal="left" vertical="center"/>
    </xf>
    <xf numFmtId="3" fontId="12" fillId="0" borderId="127" xfId="0" applyNumberFormat="1" applyFont="1" applyFill="1" applyBorder="1" applyAlignment="1">
      <alignment horizontal="left" vertical="center"/>
    </xf>
    <xf numFmtId="3" fontId="18" fillId="0" borderId="84" xfId="0" applyNumberFormat="1" applyFont="1" applyFill="1" applyBorder="1" applyAlignment="1">
      <alignment horizontal="center" vertical="center"/>
    </xf>
    <xf numFmtId="3" fontId="18" fillId="0" borderId="85" xfId="0" applyNumberFormat="1" applyFont="1" applyFill="1" applyBorder="1" applyAlignment="1">
      <alignment horizontal="center" vertical="center"/>
    </xf>
    <xf numFmtId="3" fontId="18" fillId="0" borderId="190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/>
    </xf>
    <xf numFmtId="3" fontId="12" fillId="0" borderId="46" xfId="0" applyNumberFormat="1" applyFont="1" applyFill="1" applyBorder="1" applyAlignment="1">
      <alignment horizontal="left" vertical="center"/>
    </xf>
    <xf numFmtId="0" fontId="17" fillId="0" borderId="44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0" borderId="101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121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 quotePrefix="1">
      <alignment horizontal="center" vertical="center" wrapText="1"/>
    </xf>
    <xf numFmtId="0" fontId="18" fillId="0" borderId="21" xfId="0" applyFont="1" applyBorder="1" applyAlignment="1" quotePrefix="1">
      <alignment horizontal="center" vertical="center" wrapText="1"/>
    </xf>
    <xf numFmtId="0" fontId="18" fillId="0" borderId="23" xfId="0" applyFont="1" applyBorder="1" applyAlignment="1" quotePrefix="1">
      <alignment horizontal="center" vertical="center" wrapText="1"/>
    </xf>
    <xf numFmtId="0" fontId="17" fillId="0" borderId="191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101" xfId="0" applyFont="1" applyBorder="1" applyAlignment="1">
      <alignment horizontal="left" vertical="center" wrapText="1"/>
    </xf>
    <xf numFmtId="1" fontId="16" fillId="0" borderId="22" xfId="106" applyNumberFormat="1" applyFont="1" applyFill="1" applyBorder="1" applyAlignment="1">
      <alignment horizontal="center" vertical="center" wrapText="1"/>
      <protection/>
    </xf>
    <xf numFmtId="1" fontId="16" fillId="0" borderId="21" xfId="106" applyNumberFormat="1" applyFont="1" applyFill="1" applyBorder="1" applyAlignment="1">
      <alignment horizontal="center" vertical="center" wrapText="1"/>
      <protection/>
    </xf>
    <xf numFmtId="1" fontId="16" fillId="0" borderId="23" xfId="106" applyNumberFormat="1" applyFont="1" applyFill="1" applyBorder="1" applyAlignment="1">
      <alignment horizontal="center" vertical="center" wrapText="1"/>
      <protection/>
    </xf>
    <xf numFmtId="0" fontId="18" fillId="0" borderId="192" xfId="0" applyFont="1" applyBorder="1" applyAlignment="1">
      <alignment horizontal="center" vertical="center" wrapText="1"/>
    </xf>
    <xf numFmtId="0" fontId="18" fillId="0" borderId="19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42" xfId="0" applyFont="1" applyBorder="1" applyAlignment="1">
      <alignment horizontal="center" vertical="center" wrapText="1"/>
    </xf>
    <xf numFmtId="3" fontId="17" fillId="0" borderId="79" xfId="106" applyNumberFormat="1" applyFont="1" applyFill="1" applyBorder="1" applyAlignment="1" quotePrefix="1">
      <alignment horizontal="left" vertical="top" wrapText="1" indent="1"/>
      <protection/>
    </xf>
    <xf numFmtId="3" fontId="17" fillId="0" borderId="81" xfId="106" applyNumberFormat="1" applyFont="1" applyFill="1" applyBorder="1" applyAlignment="1" quotePrefix="1">
      <alignment horizontal="left" vertical="top" wrapText="1" indent="1"/>
      <protection/>
    </xf>
    <xf numFmtId="3" fontId="17" fillId="0" borderId="79" xfId="106" applyNumberFormat="1" applyFont="1" applyFill="1" applyBorder="1" applyAlignment="1">
      <alignment horizontal="left" vertical="top" wrapText="1" indent="1"/>
      <protection/>
    </xf>
    <xf numFmtId="3" fontId="17" fillId="0" borderId="69" xfId="106" applyNumberFormat="1" applyFont="1" applyFill="1" applyBorder="1" applyAlignment="1">
      <alignment horizontal="left" vertical="top" wrapText="1" indent="1"/>
      <protection/>
    </xf>
    <xf numFmtId="3" fontId="17" fillId="0" borderId="81" xfId="106" applyNumberFormat="1" applyFont="1" applyFill="1" applyBorder="1" applyAlignment="1">
      <alignment horizontal="left" vertical="top" wrapText="1" indent="1"/>
      <protection/>
    </xf>
    <xf numFmtId="3" fontId="17" fillId="0" borderId="79" xfId="106" applyNumberFormat="1" applyFont="1" applyFill="1" applyBorder="1" applyAlignment="1">
      <alignment horizontal="left" vertical="center" indent="1"/>
      <protection/>
    </xf>
    <xf numFmtId="3" fontId="17" fillId="0" borderId="81" xfId="106" applyNumberFormat="1" applyFont="1" applyFill="1" applyBorder="1" applyAlignment="1">
      <alignment horizontal="left" vertical="center" indent="1"/>
      <protection/>
    </xf>
    <xf numFmtId="3" fontId="17" fillId="0" borderId="79" xfId="106" applyNumberFormat="1" applyFont="1" applyFill="1" applyBorder="1" applyAlignment="1">
      <alignment horizontal="left" vertical="center" wrapText="1"/>
      <protection/>
    </xf>
    <xf numFmtId="3" fontId="17" fillId="0" borderId="69" xfId="106" applyNumberFormat="1" applyFont="1" applyFill="1" applyBorder="1" applyAlignment="1">
      <alignment horizontal="left" vertical="center" wrapText="1"/>
      <protection/>
    </xf>
    <xf numFmtId="3" fontId="17" fillId="0" borderId="81" xfId="106" applyNumberFormat="1" applyFont="1" applyFill="1" applyBorder="1" applyAlignment="1">
      <alignment horizontal="left" vertical="center" wrapText="1"/>
      <protection/>
    </xf>
    <xf numFmtId="3" fontId="16" fillId="0" borderId="51" xfId="106" applyNumberFormat="1" applyFont="1" applyFill="1" applyBorder="1" applyAlignment="1">
      <alignment horizontal="center" vertical="center" wrapText="1"/>
      <protection/>
    </xf>
    <xf numFmtId="3" fontId="16" fillId="0" borderId="23" xfId="106" applyNumberFormat="1" applyFont="1" applyFill="1" applyBorder="1" applyAlignment="1">
      <alignment horizontal="center" vertical="center" wrapText="1"/>
      <protection/>
    </xf>
    <xf numFmtId="3" fontId="17" fillId="0" borderId="69" xfId="106" applyNumberFormat="1" applyFont="1" applyFill="1" applyBorder="1" applyAlignment="1" quotePrefix="1">
      <alignment horizontal="left" vertical="top" wrapText="1" indent="1"/>
      <protection/>
    </xf>
    <xf numFmtId="3" fontId="17" fillId="0" borderId="79" xfId="106" applyNumberFormat="1" applyFont="1" applyFill="1" applyBorder="1" applyAlignment="1">
      <alignment horizontal="left" vertical="center" wrapText="1" indent="1"/>
      <protection/>
    </xf>
    <xf numFmtId="3" fontId="17" fillId="0" borderId="69" xfId="106" applyNumberFormat="1" applyFont="1" applyFill="1" applyBorder="1" applyAlignment="1">
      <alignment horizontal="left" vertical="center" wrapText="1" indent="1"/>
      <protection/>
    </xf>
    <xf numFmtId="3" fontId="17" fillId="0" borderId="81" xfId="106" applyNumberFormat="1" applyFont="1" applyFill="1" applyBorder="1" applyAlignment="1">
      <alignment horizontal="left" vertical="center" wrapText="1" indent="1"/>
      <protection/>
    </xf>
    <xf numFmtId="3" fontId="17" fillId="0" borderId="79" xfId="106" applyNumberFormat="1" applyFont="1" applyFill="1" applyBorder="1" applyAlignment="1">
      <alignment horizontal="left" vertical="center" indent="1" shrinkToFit="1"/>
      <protection/>
    </xf>
    <xf numFmtId="3" fontId="17" fillId="0" borderId="69" xfId="106" applyNumberFormat="1" applyFont="1" applyFill="1" applyBorder="1" applyAlignment="1">
      <alignment horizontal="left" vertical="center" indent="1" shrinkToFit="1"/>
      <protection/>
    </xf>
    <xf numFmtId="3" fontId="17" fillId="0" borderId="81" xfId="106" applyNumberFormat="1" applyFont="1" applyFill="1" applyBorder="1" applyAlignment="1">
      <alignment horizontal="left" vertical="center" indent="1" shrinkToFit="1"/>
      <protection/>
    </xf>
    <xf numFmtId="3" fontId="16" fillId="0" borderId="121" xfId="106" applyNumberFormat="1" applyFont="1" applyFill="1" applyBorder="1" applyAlignment="1">
      <alignment horizontal="center" vertical="center" wrapText="1"/>
      <protection/>
    </xf>
    <xf numFmtId="3" fontId="16" fillId="0" borderId="67" xfId="106" applyNumberFormat="1" applyFont="1" applyFill="1" applyBorder="1" applyAlignment="1">
      <alignment horizontal="center" vertical="center" wrapText="1"/>
      <protection/>
    </xf>
    <xf numFmtId="3" fontId="16" fillId="0" borderId="27" xfId="106" applyNumberFormat="1" applyFont="1" applyFill="1" applyBorder="1" applyAlignment="1">
      <alignment horizontal="center" vertical="center" wrapText="1"/>
      <protection/>
    </xf>
    <xf numFmtId="3" fontId="15" fillId="0" borderId="23" xfId="0" applyNumberFormat="1" applyFont="1" applyBorder="1" applyAlignment="1">
      <alignment horizontal="center" vertical="center"/>
    </xf>
    <xf numFmtId="3" fontId="17" fillId="0" borderId="79" xfId="106" applyNumberFormat="1" applyFont="1" applyFill="1" applyBorder="1" applyAlignment="1" quotePrefix="1">
      <alignment horizontal="left" vertical="center" wrapText="1" indent="1"/>
      <protection/>
    </xf>
    <xf numFmtId="3" fontId="17" fillId="0" borderId="69" xfId="106" applyNumberFormat="1" applyFont="1" applyFill="1" applyBorder="1" applyAlignment="1" quotePrefix="1">
      <alignment horizontal="left" vertical="center" wrapText="1" indent="1"/>
      <protection/>
    </xf>
    <xf numFmtId="3" fontId="17" fillId="0" borderId="81" xfId="106" applyNumberFormat="1" applyFont="1" applyFill="1" applyBorder="1" applyAlignment="1" quotePrefix="1">
      <alignment horizontal="left" vertical="center" wrapText="1" indent="1"/>
      <protection/>
    </xf>
    <xf numFmtId="3" fontId="18" fillId="0" borderId="194" xfId="106" applyNumberFormat="1" applyFont="1" applyFill="1" applyBorder="1" applyAlignment="1">
      <alignment horizontal="center" vertical="center"/>
      <protection/>
    </xf>
    <xf numFmtId="3" fontId="18" fillId="0" borderId="195" xfId="106" applyNumberFormat="1" applyFont="1" applyFill="1" applyBorder="1" applyAlignment="1">
      <alignment horizontal="center" vertical="center"/>
      <protection/>
    </xf>
    <xf numFmtId="3" fontId="18" fillId="0" borderId="196" xfId="106" applyNumberFormat="1" applyFont="1" applyFill="1" applyBorder="1" applyAlignment="1">
      <alignment horizontal="center" vertical="center"/>
      <protection/>
    </xf>
    <xf numFmtId="3" fontId="17" fillId="0" borderId="79" xfId="106" applyNumberFormat="1" applyFont="1" applyFill="1" applyBorder="1" applyAlignment="1" quotePrefix="1">
      <alignment horizontal="center" vertical="top" wrapText="1"/>
      <protection/>
    </xf>
    <xf numFmtId="3" fontId="17" fillId="0" borderId="69" xfId="106" applyNumberFormat="1" applyFont="1" applyFill="1" applyBorder="1" applyAlignment="1" quotePrefix="1">
      <alignment horizontal="center" vertical="top" wrapText="1"/>
      <protection/>
    </xf>
    <xf numFmtId="3" fontId="17" fillId="0" borderId="81" xfId="106" applyNumberFormat="1" applyFont="1" applyFill="1" applyBorder="1" applyAlignment="1" quotePrefix="1">
      <alignment horizontal="center" vertical="top" wrapText="1"/>
      <protection/>
    </xf>
    <xf numFmtId="3" fontId="18" fillId="0" borderId="77" xfId="106" applyNumberFormat="1" applyFont="1" applyFill="1" applyBorder="1" applyAlignment="1">
      <alignment horizontal="center" vertical="center"/>
      <protection/>
    </xf>
    <xf numFmtId="3" fontId="18" fillId="0" borderId="70" xfId="106" applyNumberFormat="1" applyFont="1" applyFill="1" applyBorder="1" applyAlignment="1">
      <alignment horizontal="center" vertical="center"/>
      <protection/>
    </xf>
    <xf numFmtId="3" fontId="16" fillId="0" borderId="26" xfId="106" applyNumberFormat="1" applyFont="1" applyFill="1" applyBorder="1" applyAlignment="1">
      <alignment horizontal="center" vertical="center"/>
      <protection/>
    </xf>
    <xf numFmtId="3" fontId="16" fillId="0" borderId="27" xfId="106" applyNumberFormat="1" applyFont="1" applyFill="1" applyBorder="1" applyAlignment="1">
      <alignment horizontal="center" vertical="center"/>
      <protection/>
    </xf>
    <xf numFmtId="3" fontId="16" fillId="0" borderId="29" xfId="106" applyNumberFormat="1" applyFont="1" applyFill="1" applyBorder="1" applyAlignment="1">
      <alignment horizontal="center" vertical="center"/>
      <protection/>
    </xf>
    <xf numFmtId="3" fontId="16" fillId="0" borderId="46" xfId="106" applyNumberFormat="1" applyFont="1" applyFill="1" applyBorder="1" applyAlignment="1">
      <alignment horizontal="center" vertical="center"/>
      <protection/>
    </xf>
    <xf numFmtId="3" fontId="16" fillId="0" borderId="30" xfId="106" applyNumberFormat="1" applyFont="1" applyFill="1" applyBorder="1" applyAlignment="1">
      <alignment horizontal="center" vertical="center"/>
      <protection/>
    </xf>
    <xf numFmtId="3" fontId="16" fillId="0" borderId="31" xfId="106" applyNumberFormat="1" applyFont="1" applyFill="1" applyBorder="1" applyAlignment="1">
      <alignment horizontal="center" vertical="center"/>
      <protection/>
    </xf>
    <xf numFmtId="3" fontId="18" fillId="0" borderId="105" xfId="106" applyNumberFormat="1" applyFont="1" applyFill="1" applyBorder="1" applyAlignment="1">
      <alignment horizontal="left" vertical="center"/>
      <protection/>
    </xf>
    <xf numFmtId="0" fontId="17" fillId="0" borderId="197" xfId="0" applyFont="1" applyBorder="1" applyAlignment="1">
      <alignment horizontal="left" vertical="center"/>
    </xf>
    <xf numFmtId="0" fontId="17" fillId="0" borderId="198" xfId="0" applyFont="1" applyBorder="1" applyAlignment="1">
      <alignment horizontal="left" vertical="center"/>
    </xf>
    <xf numFmtId="3" fontId="18" fillId="0" borderId="181" xfId="106" applyNumberFormat="1" applyFont="1" applyFill="1" applyBorder="1" applyAlignment="1">
      <alignment horizontal="center" vertical="center"/>
      <protection/>
    </xf>
    <xf numFmtId="3" fontId="18" fillId="0" borderId="179" xfId="106" applyNumberFormat="1" applyFont="1" applyFill="1" applyBorder="1" applyAlignment="1">
      <alignment horizontal="center" vertical="center"/>
      <protection/>
    </xf>
    <xf numFmtId="3" fontId="18" fillId="0" borderId="103" xfId="106" applyNumberFormat="1" applyFont="1" applyFill="1" applyBorder="1" applyAlignment="1">
      <alignment horizontal="center" vertical="center"/>
      <protection/>
    </xf>
    <xf numFmtId="3" fontId="16" fillId="0" borderId="21" xfId="106" applyNumberFormat="1" applyFont="1" applyFill="1" applyBorder="1" applyAlignment="1">
      <alignment horizontal="center" vertical="center" wrapText="1"/>
      <protection/>
    </xf>
    <xf numFmtId="3" fontId="18" fillId="0" borderId="105" xfId="106" applyNumberFormat="1" applyFont="1" applyFill="1" applyBorder="1" applyAlignment="1">
      <alignment horizontal="center" vertical="center"/>
      <protection/>
    </xf>
    <xf numFmtId="3" fontId="18" fillId="0" borderId="197" xfId="106" applyNumberFormat="1" applyFont="1" applyFill="1" applyBorder="1" applyAlignment="1">
      <alignment horizontal="center" vertical="center"/>
      <protection/>
    </xf>
    <xf numFmtId="3" fontId="18" fillId="0" borderId="193" xfId="106" applyNumberFormat="1" applyFont="1" applyFill="1" applyBorder="1" applyAlignment="1">
      <alignment horizontal="center" vertical="center"/>
      <protection/>
    </xf>
    <xf numFmtId="0" fontId="0" fillId="0" borderId="69" xfId="0" applyFont="1" applyBorder="1" applyAlignment="1">
      <alignment horizontal="left" indent="1"/>
    </xf>
    <xf numFmtId="0" fontId="0" fillId="0" borderId="81" xfId="0" applyFont="1" applyBorder="1" applyAlignment="1">
      <alignment horizontal="left" indent="1"/>
    </xf>
    <xf numFmtId="0" fontId="20" fillId="0" borderId="0" xfId="0" applyFont="1" applyFill="1" applyAlignment="1">
      <alignment horizontal="right" vertical="center" shrinkToFit="1"/>
    </xf>
    <xf numFmtId="3" fontId="16" fillId="0" borderId="192" xfId="106" applyNumberFormat="1" applyFont="1" applyFill="1" applyBorder="1" applyAlignment="1">
      <alignment horizontal="center" vertical="center" wrapText="1"/>
      <protection/>
    </xf>
    <xf numFmtId="3" fontId="16" fillId="0" borderId="197" xfId="106" applyNumberFormat="1" applyFont="1" applyFill="1" applyBorder="1" applyAlignment="1">
      <alignment horizontal="center" vertical="center" wrapText="1"/>
      <protection/>
    </xf>
    <xf numFmtId="3" fontId="16" fillId="0" borderId="193" xfId="106" applyNumberFormat="1" applyFont="1" applyFill="1" applyBorder="1" applyAlignment="1">
      <alignment horizontal="center" vertical="center" wrapText="1"/>
      <protection/>
    </xf>
    <xf numFmtId="3" fontId="32" fillId="0" borderId="105" xfId="106" applyNumberFormat="1" applyFont="1" applyFill="1" applyBorder="1" applyAlignment="1">
      <alignment horizontal="center" vertical="center"/>
      <protection/>
    </xf>
    <xf numFmtId="3" fontId="18" fillId="0" borderId="184" xfId="106" applyNumberFormat="1" applyFont="1" applyFill="1" applyBorder="1" applyAlignment="1">
      <alignment horizontal="center" vertical="center"/>
      <protection/>
    </xf>
    <xf numFmtId="3" fontId="18" fillId="0" borderId="156" xfId="106" applyNumberFormat="1" applyFont="1" applyFill="1" applyBorder="1" applyAlignment="1">
      <alignment horizontal="center" vertical="center"/>
      <protection/>
    </xf>
    <xf numFmtId="3" fontId="18" fillId="0" borderId="99" xfId="106" applyNumberFormat="1" applyFont="1" applyFill="1" applyBorder="1" applyAlignment="1">
      <alignment horizontal="center" vertical="center"/>
      <protection/>
    </xf>
    <xf numFmtId="3" fontId="32" fillId="0" borderId="77" xfId="106" applyNumberFormat="1" applyFont="1" applyFill="1" applyBorder="1" applyAlignment="1">
      <alignment horizontal="center" vertical="center"/>
      <protection/>
    </xf>
    <xf numFmtId="3" fontId="18" fillId="0" borderId="26" xfId="106" applyNumberFormat="1" applyFont="1" applyFill="1" applyBorder="1" applyAlignment="1">
      <alignment horizontal="center" vertical="center"/>
      <protection/>
    </xf>
    <xf numFmtId="3" fontId="18" fillId="0" borderId="67" xfId="106" applyNumberFormat="1" applyFont="1" applyFill="1" applyBorder="1" applyAlignment="1">
      <alignment horizontal="center" vertical="center"/>
      <protection/>
    </xf>
    <xf numFmtId="3" fontId="18" fillId="0" borderId="27" xfId="106" applyNumberFormat="1" applyFont="1" applyFill="1" applyBorder="1" applyAlignment="1">
      <alignment horizontal="center" vertical="center"/>
      <protection/>
    </xf>
    <xf numFmtId="3" fontId="18" fillId="0" borderId="29" xfId="106" applyNumberFormat="1" applyFont="1" applyFill="1" applyBorder="1" applyAlignment="1">
      <alignment horizontal="center" vertical="center"/>
      <protection/>
    </xf>
    <xf numFmtId="3" fontId="18" fillId="0" borderId="0" xfId="106" applyNumberFormat="1" applyFont="1" applyFill="1" applyBorder="1" applyAlignment="1">
      <alignment horizontal="center" vertical="center"/>
      <protection/>
    </xf>
    <xf numFmtId="3" fontId="18" fillId="0" borderId="46" xfId="106" applyNumberFormat="1" applyFont="1" applyFill="1" applyBorder="1" applyAlignment="1">
      <alignment horizontal="center" vertical="center"/>
      <protection/>
    </xf>
    <xf numFmtId="3" fontId="18" fillId="0" borderId="121" xfId="106" applyNumberFormat="1" applyFont="1" applyFill="1" applyBorder="1" applyAlignment="1">
      <alignment horizontal="left" vertical="center" wrapText="1"/>
      <protection/>
    </xf>
    <xf numFmtId="3" fontId="18" fillId="0" borderId="67" xfId="106" applyNumberFormat="1" applyFont="1" applyFill="1" applyBorder="1" applyAlignment="1">
      <alignment horizontal="left" vertical="center" wrapText="1"/>
      <protection/>
    </xf>
    <xf numFmtId="3" fontId="18" fillId="0" borderId="27" xfId="106" applyNumberFormat="1" applyFont="1" applyFill="1" applyBorder="1" applyAlignment="1">
      <alignment horizontal="left" vertical="center" wrapText="1"/>
      <protection/>
    </xf>
    <xf numFmtId="3" fontId="18" fillId="0" borderId="181" xfId="106" applyNumberFormat="1" applyFont="1" applyFill="1" applyBorder="1" applyAlignment="1">
      <alignment horizontal="center" vertical="center" wrapText="1"/>
      <protection/>
    </xf>
    <xf numFmtId="3" fontId="18" fillId="0" borderId="179" xfId="106" applyNumberFormat="1" applyFont="1" applyFill="1" applyBorder="1" applyAlignment="1">
      <alignment horizontal="center" vertical="center" wrapText="1"/>
      <protection/>
    </xf>
    <xf numFmtId="3" fontId="18" fillId="0" borderId="103" xfId="106" applyNumberFormat="1" applyFont="1" applyFill="1" applyBorder="1" applyAlignment="1">
      <alignment horizontal="center" vertical="center" wrapText="1"/>
      <protection/>
    </xf>
    <xf numFmtId="0" fontId="5" fillId="0" borderId="182" xfId="0" applyFont="1" applyFill="1" applyBorder="1" applyAlignment="1">
      <alignment vertical="center" shrinkToFit="1"/>
    </xf>
    <xf numFmtId="0" fontId="4" fillId="0" borderId="178" xfId="0" applyFont="1" applyFill="1" applyBorder="1" applyAlignment="1">
      <alignment vertical="center" shrinkToFit="1"/>
    </xf>
    <xf numFmtId="0" fontId="4" fillId="0" borderId="185" xfId="0" applyFont="1" applyFill="1" applyBorder="1" applyAlignment="1">
      <alignment vertical="center" shrinkToFit="1"/>
    </xf>
    <xf numFmtId="3" fontId="5" fillId="0" borderId="112" xfId="0" applyNumberFormat="1" applyFont="1" applyFill="1" applyBorder="1" applyAlignment="1">
      <alignment horizontal="center" vertical="center" shrinkToFit="1"/>
    </xf>
    <xf numFmtId="3" fontId="5" fillId="0" borderId="108" xfId="0" applyNumberFormat="1" applyFont="1" applyFill="1" applyBorder="1" applyAlignment="1">
      <alignment horizontal="center" vertical="center" shrinkToFit="1"/>
    </xf>
    <xf numFmtId="3" fontId="5" fillId="0" borderId="43" xfId="0" applyNumberFormat="1" applyFont="1" applyFill="1" applyBorder="1" applyAlignment="1">
      <alignment horizontal="center" vertical="center" shrinkToFit="1"/>
    </xf>
    <xf numFmtId="3" fontId="5" fillId="0" borderId="23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101" fillId="0" borderId="181" xfId="0" applyFont="1" applyFill="1" applyBorder="1" applyAlignment="1">
      <alignment horizontal="center" vertical="center" shrinkToFit="1"/>
    </xf>
    <xf numFmtId="0" fontId="101" fillId="0" borderId="179" xfId="0" applyFont="1" applyFill="1" applyBorder="1" applyAlignment="1">
      <alignment horizontal="center" vertical="center" shrinkToFit="1"/>
    </xf>
    <xf numFmtId="0" fontId="101" fillId="0" borderId="103" xfId="0" applyFont="1" applyFill="1" applyBorder="1" applyAlignment="1">
      <alignment horizontal="center" vertical="center" shrinkToFit="1"/>
    </xf>
    <xf numFmtId="0" fontId="5" fillId="0" borderId="184" xfId="0" applyFont="1" applyFill="1" applyBorder="1" applyAlignment="1">
      <alignment horizontal="left" vertical="center" shrinkToFit="1"/>
    </xf>
    <xf numFmtId="0" fontId="5" fillId="0" borderId="156" xfId="0" applyFont="1" applyFill="1" applyBorder="1" applyAlignment="1">
      <alignment horizontal="left" vertical="center" shrinkToFit="1"/>
    </xf>
    <xf numFmtId="0" fontId="5" fillId="0" borderId="99" xfId="0" applyFont="1" applyFill="1" applyBorder="1" applyAlignment="1">
      <alignment horizontal="left" vertical="center" shrinkToFit="1"/>
    </xf>
    <xf numFmtId="3" fontId="15" fillId="0" borderId="72" xfId="99" applyNumberFormat="1" applyFont="1" applyBorder="1" applyAlignment="1">
      <alignment horizontal="right"/>
      <protection/>
    </xf>
    <xf numFmtId="0" fontId="52" fillId="0" borderId="0" xfId="99" applyFont="1" applyBorder="1" applyAlignment="1">
      <alignment vertical="center"/>
      <protection/>
    </xf>
    <xf numFmtId="0" fontId="53" fillId="0" borderId="0" xfId="0" applyFont="1" applyBorder="1" applyAlignment="1">
      <alignment/>
    </xf>
    <xf numFmtId="0" fontId="15" fillId="0" borderId="51" xfId="99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5" fillId="0" borderId="142" xfId="0" applyFont="1" applyBorder="1" applyAlignment="1">
      <alignment horizontal="center" vertical="center"/>
    </xf>
    <xf numFmtId="0" fontId="15" fillId="0" borderId="171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56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70" xfId="99" applyFont="1" applyBorder="1" applyAlignment="1">
      <alignment horizontal="center" vertical="center"/>
      <protection/>
    </xf>
    <xf numFmtId="0" fontId="15" fillId="0" borderId="56" xfId="99" applyFont="1" applyBorder="1" applyAlignment="1">
      <alignment horizontal="center" vertical="center"/>
      <protection/>
    </xf>
    <xf numFmtId="0" fontId="15" fillId="0" borderId="72" xfId="99" applyFont="1" applyBorder="1" applyAlignment="1">
      <alignment horizontal="center" vertical="center"/>
      <protection/>
    </xf>
    <xf numFmtId="0" fontId="15" fillId="0" borderId="70" xfId="99" applyFont="1" applyBorder="1" applyAlignment="1">
      <alignment horizontal="left" vertical="center" wrapText="1"/>
      <protection/>
    </xf>
    <xf numFmtId="0" fontId="15" fillId="0" borderId="56" xfId="99" applyFont="1" applyBorder="1" applyAlignment="1">
      <alignment horizontal="left" vertical="center" wrapText="1"/>
      <protection/>
    </xf>
    <xf numFmtId="0" fontId="15" fillId="0" borderId="72" xfId="99" applyFont="1" applyBorder="1" applyAlignment="1">
      <alignment horizontal="left" vertical="center" wrapText="1"/>
      <protection/>
    </xf>
    <xf numFmtId="0" fontId="15" fillId="0" borderId="70" xfId="99" applyFont="1" applyBorder="1" applyAlignment="1">
      <alignment horizontal="right"/>
      <protection/>
    </xf>
    <xf numFmtId="0" fontId="15" fillId="0" borderId="56" xfId="99" applyFont="1" applyBorder="1" applyAlignment="1">
      <alignment horizontal="right"/>
      <protection/>
    </xf>
    <xf numFmtId="0" fontId="15" fillId="0" borderId="2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72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22" xfId="105" applyFont="1" applyBorder="1" applyAlignment="1">
      <alignment horizontal="left" vertical="center" wrapText="1" shrinkToFit="1"/>
      <protection/>
    </xf>
    <xf numFmtId="0" fontId="15" fillId="0" borderId="21" xfId="105" applyFont="1" applyBorder="1" applyAlignment="1">
      <alignment horizontal="left" vertical="center" wrapText="1" shrinkToFit="1"/>
      <protection/>
    </xf>
    <xf numFmtId="0" fontId="15" fillId="0" borderId="23" xfId="105" applyFont="1" applyBorder="1" applyAlignment="1">
      <alignment horizontal="left" vertical="center" wrapText="1" shrinkToFit="1"/>
      <protection/>
    </xf>
    <xf numFmtId="0" fontId="15" fillId="48" borderId="22" xfId="105" applyFont="1" applyFill="1" applyBorder="1" applyAlignment="1">
      <alignment horizontal="left" vertical="center" wrapText="1" shrinkToFit="1"/>
      <protection/>
    </xf>
    <xf numFmtId="0" fontId="15" fillId="48" borderId="21" xfId="105" applyFont="1" applyFill="1" applyBorder="1" applyAlignment="1">
      <alignment horizontal="left" vertical="center" wrapText="1" shrinkToFit="1"/>
      <protection/>
    </xf>
    <xf numFmtId="0" fontId="15" fillId="48" borderId="23" xfId="105" applyFont="1" applyFill="1" applyBorder="1" applyAlignment="1">
      <alignment horizontal="left" vertical="center" wrapText="1" shrinkToFit="1"/>
      <protection/>
    </xf>
    <xf numFmtId="0" fontId="4" fillId="0" borderId="0" xfId="0" applyFont="1" applyAlignment="1">
      <alignment horizontal="right" vertical="top"/>
    </xf>
    <xf numFmtId="0" fontId="52" fillId="0" borderId="76" xfId="99" applyFont="1" applyBorder="1" applyAlignment="1">
      <alignment vertical="center"/>
      <protection/>
    </xf>
    <xf numFmtId="0" fontId="53" fillId="0" borderId="76" xfId="0" applyFont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42" xfId="0" applyFont="1" applyBorder="1" applyAlignment="1">
      <alignment horizontal="center" vertical="center" wrapText="1"/>
    </xf>
    <xf numFmtId="0" fontId="15" fillId="0" borderId="171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1" fontId="39" fillId="0" borderId="78" xfId="0" applyNumberFormat="1" applyFont="1" applyBorder="1" applyAlignment="1" quotePrefix="1">
      <alignment horizontal="center" vertical="center"/>
    </xf>
    <xf numFmtId="1" fontId="39" fillId="0" borderId="66" xfId="0" applyNumberFormat="1" applyFont="1" applyBorder="1" applyAlignment="1" quotePrefix="1">
      <alignment horizontal="center" vertical="center"/>
    </xf>
    <xf numFmtId="0" fontId="52" fillId="0" borderId="68" xfId="0" applyFont="1" applyBorder="1" applyAlignment="1">
      <alignment horizontal="center"/>
    </xf>
    <xf numFmtId="0" fontId="52" fillId="0" borderId="81" xfId="0" applyFont="1" applyBorder="1" applyAlignment="1">
      <alignment horizontal="center"/>
    </xf>
    <xf numFmtId="0" fontId="39" fillId="0" borderId="192" xfId="0" applyFont="1" applyBorder="1" applyAlignment="1">
      <alignment horizontal="center" vertical="center" wrapText="1"/>
    </xf>
    <xf numFmtId="0" fontId="39" fillId="0" borderId="197" xfId="0" applyFont="1" applyBorder="1" applyAlignment="1">
      <alignment horizontal="center" vertical="center" wrapText="1"/>
    </xf>
    <xf numFmtId="0" fontId="39" fillId="0" borderId="192" xfId="0" applyFont="1" applyBorder="1" applyAlignment="1">
      <alignment horizontal="center" vertical="center"/>
    </xf>
    <xf numFmtId="0" fontId="39" fillId="0" borderId="197" xfId="0" applyFont="1" applyBorder="1" applyAlignment="1">
      <alignment horizontal="center" vertical="center"/>
    </xf>
    <xf numFmtId="0" fontId="39" fillId="0" borderId="193" xfId="0" applyFont="1" applyBorder="1" applyAlignment="1">
      <alignment horizontal="center" vertical="center"/>
    </xf>
    <xf numFmtId="3" fontId="39" fillId="0" borderId="51" xfId="0" applyNumberFormat="1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 vertical="top" wrapText="1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75" xfId="0" applyFont="1" applyBorder="1" applyAlignment="1">
      <alignment horizontal="center" vertical="center"/>
    </xf>
    <xf numFmtId="0" fontId="52" fillId="0" borderId="176" xfId="0" applyFont="1" applyBorder="1" applyAlignment="1">
      <alignment horizontal="center" vertical="center"/>
    </xf>
    <xf numFmtId="0" fontId="56" fillId="0" borderId="97" xfId="0" applyFont="1" applyBorder="1" applyAlignment="1">
      <alignment horizontal="center" vertical="center"/>
    </xf>
    <xf numFmtId="0" fontId="53" fillId="0" borderId="90" xfId="0" applyFont="1" applyBorder="1" applyAlignment="1">
      <alignment horizontal="center" vertical="center"/>
    </xf>
    <xf numFmtId="0" fontId="52" fillId="0" borderId="82" xfId="0" applyFont="1" applyBorder="1" applyAlignment="1">
      <alignment horizontal="center" vertical="center"/>
    </xf>
    <xf numFmtId="0" fontId="52" fillId="0" borderId="177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75" xfId="0" applyFont="1" applyBorder="1" applyAlignment="1">
      <alignment horizontal="center" vertical="center" wrapText="1"/>
    </xf>
    <xf numFmtId="0" fontId="39" fillId="0" borderId="176" xfId="0" applyFont="1" applyBorder="1" applyAlignment="1">
      <alignment horizontal="center" vertical="center" wrapText="1"/>
    </xf>
    <xf numFmtId="0" fontId="52" fillId="0" borderId="98" xfId="0" applyFont="1" applyBorder="1" applyAlignment="1">
      <alignment horizontal="center" vertical="center"/>
    </xf>
    <xf numFmtId="0" fontId="52" fillId="0" borderId="91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3" fillId="0" borderId="150" xfId="0" applyFont="1" applyBorder="1" applyAlignment="1">
      <alignment horizontal="center" vertical="center"/>
    </xf>
    <xf numFmtId="0" fontId="39" fillId="0" borderId="0" xfId="0" applyFont="1" applyAlignment="1">
      <alignment horizontal="left" wrapText="1"/>
    </xf>
    <xf numFmtId="0" fontId="105" fillId="0" borderId="95" xfId="103" applyFont="1" applyBorder="1" applyAlignment="1">
      <alignment horizontal="center" vertical="center" wrapText="1"/>
      <protection/>
    </xf>
    <xf numFmtId="0" fontId="104" fillId="0" borderId="95" xfId="0" applyFont="1" applyBorder="1" applyAlignment="1">
      <alignment horizontal="center" vertical="center" wrapText="1"/>
    </xf>
    <xf numFmtId="0" fontId="105" fillId="0" borderId="95" xfId="0" applyFont="1" applyBorder="1" applyAlignment="1">
      <alignment horizontal="center" vertical="center" wrapText="1"/>
    </xf>
    <xf numFmtId="0" fontId="105" fillId="0" borderId="181" xfId="0" applyFont="1" applyBorder="1" applyAlignment="1">
      <alignment horizontal="center"/>
    </xf>
    <xf numFmtId="0" fontId="105" fillId="0" borderId="179" xfId="0" applyFont="1" applyBorder="1" applyAlignment="1">
      <alignment horizontal="center"/>
    </xf>
    <xf numFmtId="0" fontId="105" fillId="0" borderId="96" xfId="0" applyFont="1" applyBorder="1" applyAlignment="1">
      <alignment horizontal="center"/>
    </xf>
    <xf numFmtId="3" fontId="104" fillId="0" borderId="199" xfId="0" applyNumberFormat="1" applyFont="1" applyBorder="1" applyAlignment="1">
      <alignment/>
    </xf>
    <xf numFmtId="0" fontId="104" fillId="0" borderId="200" xfId="0" applyFont="1" applyBorder="1" applyAlignment="1">
      <alignment/>
    </xf>
    <xf numFmtId="3" fontId="104" fillId="0" borderId="200" xfId="0" applyNumberFormat="1" applyFont="1" applyBorder="1" applyAlignment="1">
      <alignment/>
    </xf>
    <xf numFmtId="14" fontId="104" fillId="0" borderId="199" xfId="0" applyNumberFormat="1" applyFont="1" applyBorder="1" applyAlignment="1">
      <alignment/>
    </xf>
    <xf numFmtId="0" fontId="105" fillId="0" borderId="95" xfId="103" applyFont="1" applyBorder="1" applyAlignment="1">
      <alignment horizontal="center" vertical="center"/>
      <protection/>
    </xf>
    <xf numFmtId="0" fontId="104" fillId="0" borderId="95" xfId="103" applyFont="1" applyBorder="1" applyAlignment="1">
      <alignment vertical="center" wrapText="1"/>
      <protection/>
    </xf>
    <xf numFmtId="0" fontId="104" fillId="0" borderId="95" xfId="0" applyFont="1" applyBorder="1" applyAlignment="1">
      <alignment/>
    </xf>
    <xf numFmtId="0" fontId="0" fillId="0" borderId="56" xfId="0" applyFont="1" applyBorder="1" applyAlignment="1">
      <alignment horizontal="center" vertical="center" wrapText="1"/>
    </xf>
    <xf numFmtId="0" fontId="136" fillId="0" borderId="56" xfId="0" applyFont="1" applyBorder="1" applyAlignment="1">
      <alignment horizontal="center" vertical="center"/>
    </xf>
    <xf numFmtId="0" fontId="0" fillId="0" borderId="142" xfId="0" applyBorder="1" applyAlignment="1">
      <alignment horizontal="center" vertical="center" wrapText="1"/>
    </xf>
    <xf numFmtId="0" fontId="0" fillId="0" borderId="17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176" xfId="0" applyBorder="1" applyAlignment="1">
      <alignment horizontal="center" vertical="center" wrapText="1"/>
    </xf>
    <xf numFmtId="0" fontId="145" fillId="0" borderId="56" xfId="0" applyFont="1" applyBorder="1" applyAlignment="1">
      <alignment horizontal="center" vertical="center" wrapText="1"/>
    </xf>
    <xf numFmtId="0" fontId="0" fillId="0" borderId="79" xfId="0" applyBorder="1" applyAlignment="1">
      <alignment horizontal="left" wrapText="1"/>
    </xf>
    <xf numFmtId="0" fontId="0" fillId="0" borderId="69" xfId="0" applyBorder="1" applyAlignment="1">
      <alignment horizontal="left" wrapText="1"/>
    </xf>
    <xf numFmtId="0" fontId="0" fillId="0" borderId="81" xfId="0" applyBorder="1" applyAlignment="1">
      <alignment horizontal="left" wrapText="1"/>
    </xf>
    <xf numFmtId="0" fontId="41" fillId="0" borderId="0" xfId="104" applyFont="1" applyFill="1" applyAlignment="1">
      <alignment horizontal="center" vertical="top" wrapText="1"/>
      <protection/>
    </xf>
    <xf numFmtId="0" fontId="42" fillId="0" borderId="56" xfId="104" applyFont="1" applyFill="1" applyBorder="1" applyAlignment="1">
      <alignment horizontal="left" vertical="center" wrapText="1"/>
      <protection/>
    </xf>
    <xf numFmtId="3" fontId="0" fillId="0" borderId="56" xfId="0" applyNumberFormat="1" applyFont="1" applyBorder="1" applyAlignment="1">
      <alignment horizontal="center" vertical="center" wrapText="1"/>
    </xf>
    <xf numFmtId="3" fontId="0" fillId="0" borderId="56" xfId="0" applyNumberFormat="1" applyFont="1" applyBorder="1" applyAlignment="1">
      <alignment horizontal="center" vertical="center" wrapText="1"/>
    </xf>
    <xf numFmtId="3" fontId="136" fillId="0" borderId="56" xfId="0" applyNumberFormat="1" applyFont="1" applyBorder="1" applyAlignment="1">
      <alignment horizontal="center" vertical="center"/>
    </xf>
    <xf numFmtId="0" fontId="85" fillId="0" borderId="0" xfId="104" applyFont="1" applyFill="1" applyBorder="1" applyAlignment="1">
      <alignment horizontal="justify"/>
      <protection/>
    </xf>
    <xf numFmtId="0" fontId="85" fillId="0" borderId="0" xfId="104" applyFont="1" applyFill="1" applyAlignment="1">
      <alignment horizontal="justify"/>
      <protection/>
    </xf>
    <xf numFmtId="0" fontId="89" fillId="0" borderId="0" xfId="104" applyFont="1" applyAlignment="1">
      <alignment horizontal="left" vertical="center"/>
      <protection/>
    </xf>
    <xf numFmtId="0" fontId="90" fillId="0" borderId="56" xfId="104" applyFont="1" applyFill="1" applyBorder="1" applyAlignment="1">
      <alignment horizontal="left" vertical="center" wrapText="1"/>
      <protection/>
    </xf>
    <xf numFmtId="0" fontId="90" fillId="0" borderId="56" xfId="104" applyFont="1" applyFill="1" applyBorder="1" applyAlignment="1">
      <alignment horizontal="center" vertical="center" wrapText="1"/>
      <protection/>
    </xf>
    <xf numFmtId="0" fontId="90" fillId="0" borderId="0" xfId="104" applyFont="1" applyFill="1" applyBorder="1" applyAlignment="1">
      <alignment horizontal="left" vertical="center"/>
      <protection/>
    </xf>
    <xf numFmtId="3" fontId="42" fillId="0" borderId="56" xfId="97" applyNumberFormat="1" applyFont="1" applyFill="1" applyBorder="1" applyAlignment="1">
      <alignment horizontal="right" vertical="center" wrapText="1"/>
      <protection/>
    </xf>
    <xf numFmtId="3" fontId="42" fillId="0" borderId="56" xfId="97" applyNumberFormat="1" applyFont="1" applyFill="1" applyBorder="1" applyAlignment="1">
      <alignment horizontal="right" vertical="center" wrapText="1"/>
      <protection/>
    </xf>
    <xf numFmtId="3" fontId="42" fillId="0" borderId="56" xfId="93" applyNumberFormat="1" applyFont="1" applyFill="1" applyBorder="1" applyAlignment="1">
      <alignment horizontal="right" vertical="center"/>
      <protection/>
    </xf>
    <xf numFmtId="3" fontId="41" fillId="0" borderId="56" xfId="93" applyNumberFormat="1" applyFont="1" applyFill="1" applyBorder="1" applyAlignment="1">
      <alignment horizontal="right" vertical="center"/>
      <protection/>
    </xf>
    <xf numFmtId="49" fontId="44" fillId="0" borderId="56" xfId="93" applyNumberFormat="1" applyFont="1" applyFill="1" applyBorder="1" applyAlignment="1">
      <alignment horizontal="center" vertical="center"/>
      <protection/>
    </xf>
    <xf numFmtId="0" fontId="44" fillId="0" borderId="56" xfId="93" applyFont="1" applyBorder="1" applyAlignment="1">
      <alignment horizontal="left" vertical="center" wrapText="1"/>
      <protection/>
    </xf>
    <xf numFmtId="49" fontId="43" fillId="0" borderId="56" xfId="93" applyNumberFormat="1" applyFont="1" applyFill="1" applyBorder="1" applyAlignment="1">
      <alignment horizontal="center" vertical="center"/>
      <protection/>
    </xf>
    <xf numFmtId="0" fontId="43" fillId="0" borderId="56" xfId="93" applyFont="1" applyFill="1" applyBorder="1" applyAlignment="1">
      <alignment horizontal="left" vertical="center" wrapText="1"/>
      <protection/>
    </xf>
    <xf numFmtId="3" fontId="42" fillId="0" borderId="56" xfId="93" applyNumberFormat="1" applyFont="1" applyFill="1" applyBorder="1" applyAlignment="1">
      <alignment horizontal="right" vertical="center" wrapText="1"/>
      <protection/>
    </xf>
    <xf numFmtId="0" fontId="44" fillId="0" borderId="0" xfId="93" applyFont="1" applyBorder="1" applyAlignment="1">
      <alignment horizontal="center" vertical="center"/>
      <protection/>
    </xf>
    <xf numFmtId="3" fontId="41" fillId="0" borderId="56" xfId="93" applyNumberFormat="1" applyFont="1" applyFill="1" applyBorder="1" applyAlignment="1" quotePrefix="1">
      <alignment horizontal="right" vertical="center"/>
      <protection/>
    </xf>
    <xf numFmtId="0" fontId="44" fillId="0" borderId="0" xfId="93" applyFont="1" applyFill="1" applyBorder="1" applyAlignment="1">
      <alignment horizontal="center" vertical="center"/>
      <protection/>
    </xf>
    <xf numFmtId="0" fontId="44" fillId="0" borderId="56" xfId="93" applyFont="1" applyFill="1" applyBorder="1" applyAlignment="1">
      <alignment horizontal="left" vertical="center" wrapText="1"/>
      <protection/>
    </xf>
    <xf numFmtId="3" fontId="152" fillId="0" borderId="56" xfId="93" applyNumberFormat="1" applyFont="1" applyFill="1" applyBorder="1" applyAlignment="1">
      <alignment horizontal="right" vertical="center"/>
      <protection/>
    </xf>
    <xf numFmtId="0" fontId="43" fillId="0" borderId="0" xfId="93" applyFont="1" applyFill="1" applyBorder="1" applyAlignment="1">
      <alignment horizontal="center" vertical="center"/>
      <protection/>
    </xf>
    <xf numFmtId="3" fontId="152" fillId="0" borderId="56" xfId="93" applyNumberFormat="1" applyFont="1" applyFill="1" applyBorder="1" applyAlignment="1" quotePrefix="1">
      <alignment horizontal="right" vertical="center"/>
      <protection/>
    </xf>
    <xf numFmtId="3" fontId="41" fillId="0" borderId="56" xfId="96" applyNumberFormat="1" applyFont="1" applyFill="1" applyBorder="1" applyAlignment="1">
      <alignment horizontal="right" vertical="center" wrapText="1"/>
      <protection/>
    </xf>
    <xf numFmtId="3" fontId="41" fillId="0" borderId="56" xfId="93" applyNumberFormat="1" applyFont="1" applyFill="1" applyBorder="1" applyAlignment="1">
      <alignment horizontal="right" vertical="center" wrapText="1"/>
      <protection/>
    </xf>
    <xf numFmtId="0" fontId="43" fillId="0" borderId="0" xfId="93" applyFont="1" applyBorder="1" applyAlignment="1">
      <alignment horizontal="center" vertical="center"/>
      <protection/>
    </xf>
    <xf numFmtId="0" fontId="43" fillId="0" borderId="0" xfId="93" applyFont="1" applyFill="1" applyBorder="1" applyAlignment="1" quotePrefix="1">
      <alignment horizontal="center" vertical="center"/>
      <protection/>
    </xf>
    <xf numFmtId="0" fontId="43" fillId="0" borderId="56" xfId="93" applyFont="1" applyBorder="1" applyAlignment="1">
      <alignment horizontal="left" vertical="center" wrapText="1"/>
      <protection/>
    </xf>
    <xf numFmtId="0" fontId="43" fillId="0" borderId="56" xfId="93" applyFont="1" applyFill="1" applyBorder="1" applyAlignment="1">
      <alignment horizontal="left" vertical="center"/>
      <protection/>
    </xf>
    <xf numFmtId="0" fontId="44" fillId="0" borderId="0" xfId="93" applyFont="1" applyFill="1" applyBorder="1" applyAlignment="1" quotePrefix="1">
      <alignment horizontal="center" vertical="center"/>
      <protection/>
    </xf>
    <xf numFmtId="0" fontId="42" fillId="0" borderId="56" xfId="93" applyFont="1" applyFill="1" applyBorder="1" applyAlignment="1">
      <alignment vertical="center"/>
      <protection/>
    </xf>
    <xf numFmtId="0" fontId="41" fillId="0" borderId="56" xfId="93" applyFont="1" applyFill="1" applyBorder="1" applyAlignment="1">
      <alignment vertical="center"/>
      <protection/>
    </xf>
    <xf numFmtId="0" fontId="41" fillId="0" borderId="56" xfId="93" applyFont="1" applyBorder="1" applyAlignment="1">
      <alignment vertical="center"/>
      <protection/>
    </xf>
    <xf numFmtId="0" fontId="42" fillId="0" borderId="56" xfId="93" applyFont="1" applyBorder="1" applyAlignment="1">
      <alignment vertical="center"/>
      <protection/>
    </xf>
    <xf numFmtId="0" fontId="42" fillId="0" borderId="56" xfId="93" applyFont="1" applyBorder="1" applyAlignment="1">
      <alignment horizontal="center" vertical="center" wrapText="1"/>
      <protection/>
    </xf>
    <xf numFmtId="49" fontId="43" fillId="0" borderId="56" xfId="93" applyNumberFormat="1" applyFont="1" applyBorder="1" applyAlignment="1">
      <alignment horizontal="center" vertical="center"/>
      <protection/>
    </xf>
    <xf numFmtId="0" fontId="43" fillId="0" borderId="56" xfId="93" applyFont="1" applyBorder="1" applyAlignment="1">
      <alignment horizontal="left" vertical="center" wrapText="1"/>
      <protection/>
    </xf>
    <xf numFmtId="0" fontId="41" fillId="0" borderId="56" xfId="93" applyFont="1" applyBorder="1" applyAlignment="1">
      <alignment vertical="center" wrapText="1"/>
      <protection/>
    </xf>
    <xf numFmtId="0" fontId="44" fillId="0" borderId="0" xfId="93" applyFont="1" applyFill="1" applyBorder="1" applyAlignment="1">
      <alignment/>
      <protection/>
    </xf>
    <xf numFmtId="0" fontId="41" fillId="0" borderId="0" xfId="93" applyFont="1" applyBorder="1" applyAlignment="1">
      <alignment/>
      <protection/>
    </xf>
    <xf numFmtId="0" fontId="43" fillId="0" borderId="176" xfId="93" applyFont="1" applyFill="1" applyBorder="1" applyAlignment="1">
      <alignment horizontal="right"/>
      <protection/>
    </xf>
    <xf numFmtId="0" fontId="41" fillId="0" borderId="55" xfId="93" applyFont="1" applyBorder="1" applyAlignment="1">
      <alignment/>
      <protection/>
    </xf>
    <xf numFmtId="0" fontId="41" fillId="0" borderId="89" xfId="93" applyFont="1" applyBorder="1" applyAlignment="1">
      <alignment/>
      <protection/>
    </xf>
    <xf numFmtId="0" fontId="43" fillId="0" borderId="56" xfId="93" applyFont="1" applyBorder="1" applyAlignment="1">
      <alignment horizontal="center" vertical="center" wrapText="1"/>
      <protection/>
    </xf>
    <xf numFmtId="3" fontId="43" fillId="0" borderId="0" xfId="93" applyNumberFormat="1" applyFont="1" applyAlignment="1">
      <alignment horizontal="center"/>
      <protection/>
    </xf>
    <xf numFmtId="0" fontId="43" fillId="0" borderId="0" xfId="93" applyFont="1" applyAlignment="1">
      <alignment horizontal="center"/>
      <protection/>
    </xf>
    <xf numFmtId="3" fontId="43" fillId="0" borderId="56" xfId="95" applyNumberFormat="1" applyFont="1" applyFill="1" applyBorder="1" applyAlignment="1">
      <alignment horizontal="right" vertical="center"/>
      <protection/>
    </xf>
    <xf numFmtId="49" fontId="41" fillId="48" borderId="56" xfId="95" applyNumberFormat="1" applyFont="1" applyFill="1" applyBorder="1" applyAlignment="1">
      <alignment horizontal="center" vertical="center"/>
      <protection/>
    </xf>
    <xf numFmtId="0" fontId="44" fillId="48" borderId="56" xfId="95" applyFont="1" applyFill="1" applyBorder="1" applyAlignment="1">
      <alignment horizontal="left" vertical="center" wrapText="1"/>
      <protection/>
    </xf>
    <xf numFmtId="177" fontId="43" fillId="0" borderId="0" xfId="95" applyNumberFormat="1" applyFont="1" applyFill="1" applyBorder="1" applyAlignment="1">
      <alignment horizontal="center" vertical="center" wrapText="1"/>
      <protection/>
    </xf>
    <xf numFmtId="0" fontId="41" fillId="0" borderId="0" xfId="95" applyFont="1" applyBorder="1" applyAlignment="1">
      <alignment wrapText="1"/>
      <protection/>
    </xf>
    <xf numFmtId="0" fontId="41" fillId="0" borderId="76" xfId="95" applyFont="1" applyBorder="1" applyAlignment="1">
      <alignment horizontal="right"/>
      <protection/>
    </xf>
    <xf numFmtId="3" fontId="43" fillId="0" borderId="142" xfId="95" applyNumberFormat="1" applyFont="1" applyFill="1" applyBorder="1" applyAlignment="1">
      <alignment horizontal="center" vertical="center" wrapText="1"/>
      <protection/>
    </xf>
    <xf numFmtId="3" fontId="43" fillId="0" borderId="85" xfId="95" applyNumberFormat="1" applyFont="1" applyFill="1" applyBorder="1" applyAlignment="1">
      <alignment horizontal="center" vertical="center" wrapText="1"/>
      <protection/>
    </xf>
    <xf numFmtId="3" fontId="43" fillId="0" borderId="171" xfId="95" applyNumberFormat="1" applyFont="1" applyFill="1" applyBorder="1" applyAlignment="1">
      <alignment horizontal="center" vertical="center" wrapText="1"/>
      <protection/>
    </xf>
    <xf numFmtId="3" fontId="43" fillId="0" borderId="89" xfId="95" applyNumberFormat="1" applyFont="1" applyFill="1" applyBorder="1" applyAlignment="1">
      <alignment horizontal="center" vertical="center" wrapText="1"/>
      <protection/>
    </xf>
    <xf numFmtId="3" fontId="43" fillId="0" borderId="76" xfId="95" applyNumberFormat="1" applyFont="1" applyFill="1" applyBorder="1" applyAlignment="1">
      <alignment horizontal="center" vertical="center" wrapText="1"/>
      <protection/>
    </xf>
    <xf numFmtId="3" fontId="43" fillId="0" borderId="176" xfId="95" applyNumberFormat="1" applyFont="1" applyFill="1" applyBorder="1" applyAlignment="1">
      <alignment horizontal="center" vertical="center" wrapText="1"/>
      <protection/>
    </xf>
    <xf numFmtId="49" fontId="41" fillId="0" borderId="56" xfId="95" applyNumberFormat="1" applyFont="1" applyBorder="1" applyAlignment="1">
      <alignment horizontal="center" vertical="center"/>
      <protection/>
    </xf>
    <xf numFmtId="0" fontId="44" fillId="0" borderId="56" xfId="95" applyFont="1" applyBorder="1" applyAlignment="1">
      <alignment horizontal="left" vertical="center"/>
      <protection/>
    </xf>
    <xf numFmtId="0" fontId="44" fillId="0" borderId="56" xfId="95" applyFont="1" applyBorder="1" applyAlignment="1">
      <alignment horizontal="left" vertical="center" wrapText="1"/>
      <protection/>
    </xf>
    <xf numFmtId="49" fontId="42" fillId="0" borderId="56" xfId="95" applyNumberFormat="1" applyFont="1" applyBorder="1" applyAlignment="1">
      <alignment horizontal="center" vertical="center"/>
      <protection/>
    </xf>
    <xf numFmtId="0" fontId="43" fillId="0" borderId="56" xfId="95" applyFont="1" applyBorder="1" applyAlignment="1">
      <alignment horizontal="left" vertical="center" wrapText="1"/>
      <protection/>
    </xf>
    <xf numFmtId="0" fontId="44" fillId="0" borderId="56" xfId="95" applyFont="1" applyBorder="1" applyAlignment="1" quotePrefix="1">
      <alignment horizontal="left" vertical="center" wrapText="1"/>
      <protection/>
    </xf>
    <xf numFmtId="0" fontId="43" fillId="0" borderId="56" xfId="95" applyFont="1" applyBorder="1" applyAlignment="1">
      <alignment horizontal="left" vertical="center"/>
      <protection/>
    </xf>
    <xf numFmtId="0" fontId="44" fillId="0" borderId="79" xfId="95" applyFont="1" applyBorder="1" applyAlignment="1">
      <alignment horizontal="left" vertical="center" wrapText="1"/>
      <protection/>
    </xf>
    <xf numFmtId="0" fontId="44" fillId="0" borderId="69" xfId="95" applyFont="1" applyBorder="1" applyAlignment="1">
      <alignment horizontal="left" vertical="center" wrapText="1"/>
      <protection/>
    </xf>
    <xf numFmtId="0" fontId="44" fillId="0" borderId="81" xfId="95" applyFont="1" applyBorder="1" applyAlignment="1">
      <alignment horizontal="left" vertical="center" wrapText="1"/>
      <protection/>
    </xf>
    <xf numFmtId="49" fontId="41" fillId="0" borderId="79" xfId="95" applyNumberFormat="1" applyFont="1" applyBorder="1" applyAlignment="1">
      <alignment horizontal="center" vertical="center"/>
      <protection/>
    </xf>
    <xf numFmtId="49" fontId="41" fillId="0" borderId="69" xfId="95" applyNumberFormat="1" applyFont="1" applyBorder="1" applyAlignment="1">
      <alignment horizontal="center" vertical="center"/>
      <protection/>
    </xf>
    <xf numFmtId="49" fontId="41" fillId="0" borderId="81" xfId="95" applyNumberFormat="1" applyFont="1" applyBorder="1" applyAlignment="1">
      <alignment horizontal="center" vertical="center"/>
      <protection/>
    </xf>
    <xf numFmtId="0" fontId="44" fillId="0" borderId="56" xfId="95" applyFont="1" applyFill="1" applyBorder="1" applyAlignment="1">
      <alignment horizontal="left" vertical="center" wrapText="1"/>
      <protection/>
    </xf>
    <xf numFmtId="49" fontId="83" fillId="0" borderId="56" xfId="95" applyNumberFormat="1" applyFont="1" applyBorder="1" applyAlignment="1">
      <alignment horizontal="center" vertical="center"/>
      <protection/>
    </xf>
    <xf numFmtId="0" fontId="86" fillId="0" borderId="56" xfId="95" applyFont="1" applyFill="1" applyBorder="1" applyAlignment="1">
      <alignment horizontal="left" vertical="center" wrapText="1"/>
      <protection/>
    </xf>
    <xf numFmtId="3" fontId="86" fillId="0" borderId="56" xfId="95" applyNumberFormat="1" applyFont="1" applyFill="1" applyBorder="1" applyAlignment="1">
      <alignment horizontal="right" vertical="center"/>
      <protection/>
    </xf>
    <xf numFmtId="49" fontId="41" fillId="48" borderId="79" xfId="95" applyNumberFormat="1" applyFont="1" applyFill="1" applyBorder="1" applyAlignment="1">
      <alignment horizontal="center" vertical="center"/>
      <protection/>
    </xf>
    <xf numFmtId="49" fontId="41" fillId="48" borderId="69" xfId="95" applyNumberFormat="1" applyFont="1" applyFill="1" applyBorder="1" applyAlignment="1">
      <alignment horizontal="center" vertical="center"/>
      <protection/>
    </xf>
    <xf numFmtId="49" fontId="41" fillId="48" borderId="81" xfId="95" applyNumberFormat="1" applyFont="1" applyFill="1" applyBorder="1" applyAlignment="1">
      <alignment horizontal="center" vertical="center"/>
      <protection/>
    </xf>
    <xf numFmtId="0" fontId="44" fillId="48" borderId="79" xfId="95" applyFont="1" applyFill="1" applyBorder="1" applyAlignment="1">
      <alignment horizontal="left" vertical="center" wrapText="1"/>
      <protection/>
    </xf>
    <xf numFmtId="0" fontId="44" fillId="48" borderId="69" xfId="95" applyFont="1" applyFill="1" applyBorder="1" applyAlignment="1">
      <alignment horizontal="left" vertical="center" wrapText="1"/>
      <protection/>
    </xf>
    <xf numFmtId="0" fontId="44" fillId="48" borderId="81" xfId="95" applyFont="1" applyFill="1" applyBorder="1" applyAlignment="1">
      <alignment horizontal="left" vertical="center" wrapText="1"/>
      <protection/>
    </xf>
    <xf numFmtId="0" fontId="44" fillId="48" borderId="56" xfId="95" applyFont="1" applyFill="1" applyBorder="1" applyAlignment="1" quotePrefix="1">
      <alignment horizontal="left" vertical="center" wrapText="1"/>
      <protection/>
    </xf>
    <xf numFmtId="0" fontId="43" fillId="0" borderId="56" xfId="95" applyFont="1" applyFill="1" applyBorder="1" applyAlignment="1">
      <alignment horizontal="left" vertical="center" wrapText="1"/>
      <protection/>
    </xf>
    <xf numFmtId="0" fontId="43" fillId="0" borderId="142" xfId="95" applyFont="1" applyBorder="1" applyAlignment="1">
      <alignment horizontal="center" vertical="center" wrapText="1"/>
      <protection/>
    </xf>
    <xf numFmtId="0" fontId="43" fillId="0" borderId="85" xfId="95" applyFont="1" applyBorder="1" applyAlignment="1">
      <alignment horizontal="center" vertical="center" wrapText="1"/>
      <protection/>
    </xf>
    <xf numFmtId="0" fontId="43" fillId="0" borderId="89" xfId="95" applyFont="1" applyBorder="1" applyAlignment="1">
      <alignment horizontal="center" vertical="center" wrapText="1"/>
      <protection/>
    </xf>
    <xf numFmtId="0" fontId="43" fillId="0" borderId="76" xfId="95" applyFont="1" applyBorder="1" applyAlignment="1">
      <alignment horizontal="center" vertical="center" wrapText="1"/>
      <protection/>
    </xf>
    <xf numFmtId="0" fontId="43" fillId="0" borderId="171" xfId="95" applyFont="1" applyBorder="1" applyAlignment="1">
      <alignment horizontal="center" vertical="center" wrapText="1"/>
      <protection/>
    </xf>
    <xf numFmtId="0" fontId="43" fillId="0" borderId="176" xfId="95" applyFont="1" applyBorder="1" applyAlignment="1">
      <alignment horizontal="center" vertical="center" wrapText="1"/>
      <protection/>
    </xf>
    <xf numFmtId="49" fontId="42" fillId="48" borderId="56" xfId="95" applyNumberFormat="1" applyFont="1" applyFill="1" applyBorder="1" applyAlignment="1">
      <alignment horizontal="center" vertical="center"/>
      <protection/>
    </xf>
    <xf numFmtId="0" fontId="43" fillId="48" borderId="56" xfId="95" applyFont="1" applyFill="1" applyBorder="1" applyAlignment="1">
      <alignment horizontal="left" vertical="center" wrapText="1"/>
      <protection/>
    </xf>
    <xf numFmtId="0" fontId="43" fillId="0" borderId="56" xfId="95" applyFont="1" applyBorder="1" applyAlignment="1">
      <alignment horizontal="center" vertical="center" wrapText="1"/>
      <protection/>
    </xf>
    <xf numFmtId="177" fontId="43" fillId="0" borderId="142" xfId="95" applyNumberFormat="1" applyFont="1" applyFill="1" applyBorder="1" applyAlignment="1">
      <alignment horizontal="center" vertical="center" wrapText="1"/>
      <protection/>
    </xf>
    <xf numFmtId="0" fontId="41" fillId="0" borderId="85" xfId="95" applyFont="1" applyBorder="1" applyAlignment="1">
      <alignment/>
      <protection/>
    </xf>
    <xf numFmtId="0" fontId="41" fillId="0" borderId="171" xfId="95" applyFont="1" applyBorder="1" applyAlignment="1">
      <alignment/>
      <protection/>
    </xf>
    <xf numFmtId="0" fontId="43" fillId="0" borderId="56" xfId="95" applyFont="1" applyBorder="1" applyAlignment="1">
      <alignment horizontal="right"/>
      <protection/>
    </xf>
    <xf numFmtId="0" fontId="41" fillId="0" borderId="56" xfId="95" applyFont="1" applyBorder="1" applyAlignment="1">
      <alignment horizontal="right"/>
      <protection/>
    </xf>
    <xf numFmtId="0" fontId="43" fillId="0" borderId="56" xfId="95" applyFont="1" applyFill="1" applyBorder="1" applyAlignment="1">
      <alignment horizontal="center" vertical="center" wrapText="1"/>
      <protection/>
    </xf>
    <xf numFmtId="0" fontId="91" fillId="0" borderId="56" xfId="95" applyFont="1" applyFill="1" applyBorder="1" applyAlignment="1">
      <alignment horizontal="center" vertical="center" wrapText="1"/>
      <protection/>
    </xf>
    <xf numFmtId="49" fontId="44" fillId="0" borderId="56" xfId="95" applyNumberFormat="1" applyFont="1" applyBorder="1" applyAlignment="1">
      <alignment horizontal="center" vertical="center" wrapText="1"/>
      <protection/>
    </xf>
    <xf numFmtId="3" fontId="44" fillId="0" borderId="56" xfId="95" applyNumberFormat="1" applyFont="1" applyBorder="1" applyAlignment="1">
      <alignment horizontal="center" vertical="center" wrapText="1"/>
      <protection/>
    </xf>
    <xf numFmtId="49" fontId="44" fillId="0" borderId="79" xfId="95" applyNumberFormat="1" applyFont="1" applyBorder="1" applyAlignment="1">
      <alignment horizontal="center" vertical="center" wrapText="1"/>
      <protection/>
    </xf>
    <xf numFmtId="49" fontId="44" fillId="0" borderId="81" xfId="95" applyNumberFormat="1" applyFont="1" applyBorder="1" applyAlignment="1">
      <alignment horizontal="center" vertical="center" wrapText="1"/>
      <protection/>
    </xf>
    <xf numFmtId="3" fontId="42" fillId="49" borderId="56" xfId="98" applyNumberFormat="1" applyFont="1" applyFill="1" applyBorder="1" applyAlignment="1">
      <alignment horizontal="center" vertical="center" wrapText="1"/>
      <protection/>
    </xf>
    <xf numFmtId="3" fontId="43" fillId="49" borderId="56" xfId="95" applyNumberFormat="1" applyFont="1" applyFill="1" applyBorder="1" applyAlignment="1">
      <alignment horizontal="center" vertical="center" wrapText="1"/>
      <protection/>
    </xf>
    <xf numFmtId="3" fontId="42" fillId="49" borderId="56" xfId="95" applyNumberFormat="1" applyFont="1" applyFill="1" applyBorder="1" applyAlignment="1">
      <alignment horizontal="center" vertical="center" wrapText="1"/>
      <protection/>
    </xf>
    <xf numFmtId="49" fontId="43" fillId="0" borderId="79" xfId="95" applyNumberFormat="1" applyFont="1" applyBorder="1" applyAlignment="1">
      <alignment horizontal="center" vertical="center" wrapText="1"/>
      <protection/>
    </xf>
    <xf numFmtId="49" fontId="43" fillId="0" borderId="81" xfId="95" applyNumberFormat="1" applyFont="1" applyBorder="1" applyAlignment="1">
      <alignment horizontal="center" vertical="center" wrapText="1"/>
      <protection/>
    </xf>
    <xf numFmtId="2" fontId="100" fillId="0" borderId="0" xfId="102" applyNumberFormat="1" applyFont="1" applyAlignment="1">
      <alignment horizontal="left" vertical="top" wrapText="1"/>
      <protection/>
    </xf>
    <xf numFmtId="2" fontId="100" fillId="0" borderId="0" xfId="102" applyNumberFormat="1" applyFont="1" applyAlignment="1">
      <alignment horizontal="justify" vertical="top" wrapText="1"/>
      <protection/>
    </xf>
    <xf numFmtId="2" fontId="65" fillId="0" borderId="0" xfId="102" applyNumberFormat="1" applyFont="1" applyAlignment="1">
      <alignment horizontal="justify" vertical="top" wrapText="1"/>
      <protection/>
    </xf>
    <xf numFmtId="0" fontId="65" fillId="0" borderId="0" xfId="101" applyFont="1" applyAlignment="1">
      <alignment horizontal="justify" vertical="top" wrapText="1"/>
      <protection/>
    </xf>
    <xf numFmtId="0" fontId="58" fillId="0" borderId="84" xfId="102" applyFont="1" applyBorder="1" applyAlignment="1">
      <alignment horizontal="center" vertical="center"/>
      <protection/>
    </xf>
    <xf numFmtId="0" fontId="58" fillId="0" borderId="171" xfId="102" applyFont="1" applyBorder="1" applyAlignment="1">
      <alignment horizontal="center" vertical="center"/>
      <protection/>
    </xf>
    <xf numFmtId="0" fontId="59" fillId="0" borderId="75" xfId="102" applyFont="1" applyBorder="1" applyAlignment="1">
      <alignment vertical="center"/>
      <protection/>
    </xf>
    <xf numFmtId="0" fontId="59" fillId="0" borderId="176" xfId="102" applyFont="1" applyBorder="1" applyAlignment="1">
      <alignment vertical="center"/>
      <protection/>
    </xf>
    <xf numFmtId="0" fontId="58" fillId="0" borderId="79" xfId="102" applyFont="1" applyBorder="1" applyAlignment="1">
      <alignment horizontal="center" vertical="center" wrapText="1"/>
      <protection/>
    </xf>
    <xf numFmtId="0" fontId="59" fillId="0" borderId="172" xfId="101" applyFont="1" applyBorder="1" applyAlignment="1">
      <alignment horizontal="center" vertical="center" wrapText="1"/>
      <protection/>
    </xf>
    <xf numFmtId="0" fontId="60" fillId="0" borderId="71" xfId="102" applyFont="1" applyBorder="1" applyAlignment="1">
      <alignment horizontal="center"/>
      <protection/>
    </xf>
    <xf numFmtId="0" fontId="60" fillId="0" borderId="72" xfId="102" applyFont="1" applyBorder="1" applyAlignment="1">
      <alignment/>
      <protection/>
    </xf>
    <xf numFmtId="2" fontId="100" fillId="0" borderId="0" xfId="102" applyNumberFormat="1" applyFont="1" applyAlignment="1">
      <alignment horizontal="justify" wrapText="1"/>
      <protection/>
    </xf>
    <xf numFmtId="2" fontId="65" fillId="0" borderId="0" xfId="101" applyNumberFormat="1" applyFont="1" applyAlignment="1">
      <alignment horizontal="justify" wrapText="1"/>
      <protection/>
    </xf>
    <xf numFmtId="0" fontId="54" fillId="0" borderId="0" xfId="99" applyFont="1" applyAlignment="1">
      <alignment wrapText="1"/>
      <protection/>
    </xf>
    <xf numFmtId="0" fontId="83" fillId="0" borderId="26" xfId="99" applyFont="1" applyBorder="1" applyAlignment="1">
      <alignment horizontal="center" vertical="center"/>
      <protection/>
    </xf>
    <xf numFmtId="0" fontId="106" fillId="0" borderId="30" xfId="99" applyFont="1" applyBorder="1" applyAlignment="1">
      <alignment vertical="center"/>
      <protection/>
    </xf>
    <xf numFmtId="0" fontId="83" fillId="0" borderId="121" xfId="99" applyFont="1" applyBorder="1" applyAlignment="1">
      <alignment horizontal="center" vertical="center" wrapText="1"/>
      <protection/>
    </xf>
    <xf numFmtId="0" fontId="106" fillId="0" borderId="122" xfId="99" applyFont="1" applyBorder="1" applyAlignment="1">
      <alignment horizontal="center" vertical="center" wrapText="1"/>
      <protection/>
    </xf>
    <xf numFmtId="0" fontId="83" fillId="0" borderId="22" xfId="99" applyFont="1" applyBorder="1" applyAlignment="1">
      <alignment horizontal="center" vertical="center" wrapText="1"/>
      <protection/>
    </xf>
    <xf numFmtId="0" fontId="106" fillId="0" borderId="23" xfId="99" applyFont="1" applyBorder="1" applyAlignment="1">
      <alignment horizontal="center" vertical="center" wrapText="1"/>
      <protection/>
    </xf>
    <xf numFmtId="0" fontId="83" fillId="0" borderId="28" xfId="99" applyFont="1" applyBorder="1" applyAlignment="1">
      <alignment horizontal="center" vertical="center" wrapText="1"/>
      <protection/>
    </xf>
    <xf numFmtId="0" fontId="106" fillId="0" borderId="32" xfId="99" applyFont="1" applyBorder="1" applyAlignment="1">
      <alignment horizontal="center" vertical="center" wrapText="1"/>
      <protection/>
    </xf>
    <xf numFmtId="0" fontId="83" fillId="0" borderId="105" xfId="99" applyFont="1" applyBorder="1" applyAlignment="1">
      <alignment horizontal="center" vertical="center"/>
      <protection/>
    </xf>
    <xf numFmtId="0" fontId="106" fillId="0" borderId="197" xfId="99" applyFont="1" applyBorder="1" applyAlignment="1">
      <alignment vertical="center"/>
      <protection/>
    </xf>
    <xf numFmtId="0" fontId="106" fillId="0" borderId="198" xfId="99" applyFont="1" applyBorder="1" applyAlignment="1">
      <alignment vertical="center"/>
      <protection/>
    </xf>
    <xf numFmtId="0" fontId="83" fillId="0" borderId="201" xfId="99" applyFont="1" applyBorder="1" applyAlignment="1">
      <alignment horizontal="center" vertical="center"/>
      <protection/>
    </xf>
    <xf numFmtId="0" fontId="83" fillId="0" borderId="202" xfId="99" applyFont="1" applyBorder="1" applyAlignment="1">
      <alignment vertical="center"/>
      <protection/>
    </xf>
    <xf numFmtId="0" fontId="83" fillId="0" borderId="111" xfId="99" applyFont="1" applyBorder="1" applyAlignment="1">
      <alignment vertical="center"/>
      <protection/>
    </xf>
    <xf numFmtId="0" fontId="65" fillId="0" borderId="0" xfId="99" applyFont="1" applyAlignment="1">
      <alignment wrapText="1"/>
      <protection/>
    </xf>
    <xf numFmtId="0" fontId="65" fillId="0" borderId="0" xfId="99" applyFont="1" applyAlignment="1">
      <alignment horizontal="left" wrapText="1"/>
      <protection/>
    </xf>
    <xf numFmtId="0" fontId="54" fillId="0" borderId="0" xfId="99" applyFont="1" applyAlignment="1">
      <alignment horizontal="left" wrapText="1"/>
      <protection/>
    </xf>
    <xf numFmtId="0" fontId="35" fillId="0" borderId="5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 shrinkToFit="1"/>
    </xf>
    <xf numFmtId="2" fontId="18" fillId="0" borderId="182" xfId="0" applyNumberFormat="1" applyFont="1" applyFill="1" applyBorder="1" applyAlignment="1">
      <alignment horizontal="left" vertical="center" wrapText="1" shrinkToFit="1"/>
    </xf>
    <xf numFmtId="2" fontId="18" fillId="0" borderId="185" xfId="0" applyNumberFormat="1" applyFont="1" applyFill="1" applyBorder="1" applyAlignment="1">
      <alignment horizontal="left" vertical="center" wrapText="1" shrinkToFit="1"/>
    </xf>
    <xf numFmtId="0" fontId="20" fillId="0" borderId="0" xfId="0" applyFont="1" applyFill="1" applyAlignment="1">
      <alignment horizontal="center" vertical="center" shrinkToFit="1"/>
    </xf>
    <xf numFmtId="2" fontId="17" fillId="0" borderId="0" xfId="0" applyNumberFormat="1" applyFont="1" applyFill="1" applyAlignment="1">
      <alignment horizontal="center" shrinkToFit="1"/>
    </xf>
    <xf numFmtId="3" fontId="17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3" fontId="31" fillId="0" borderId="0" xfId="106" applyNumberFormat="1" applyFont="1" applyFill="1" applyAlignment="1">
      <alignment horizontal="center" vertical="center"/>
      <protection/>
    </xf>
    <xf numFmtId="3" fontId="17" fillId="0" borderId="0" xfId="106" applyNumberFormat="1" applyFont="1" applyFill="1" applyAlignment="1">
      <alignment horizontal="center"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95" fillId="0" borderId="0" xfId="99" applyFont="1" applyAlignment="1">
      <alignment horizontal="center"/>
      <protection/>
    </xf>
    <xf numFmtId="0" fontId="51" fillId="0" borderId="0" xfId="99" applyFont="1" applyAlignment="1">
      <alignment horizontal="center"/>
      <protection/>
    </xf>
    <xf numFmtId="0" fontId="39" fillId="0" borderId="0" xfId="0" applyFont="1" applyAlignment="1">
      <alignment horizontal="center"/>
    </xf>
    <xf numFmtId="0" fontId="108" fillId="0" borderId="0" xfId="0" applyNumberFormat="1" applyFont="1" applyAlignment="1">
      <alignment horizontal="center" vertical="center" wrapText="1"/>
    </xf>
    <xf numFmtId="0" fontId="5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3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41" fillId="0" borderId="0" xfId="104" applyNumberFormat="1" applyFont="1" applyFill="1" applyAlignment="1">
      <alignment horizontal="center"/>
      <protection/>
    </xf>
    <xf numFmtId="0" fontId="85" fillId="0" borderId="0" xfId="104" applyFont="1" applyFill="1" applyAlignment="1">
      <alignment horizontal="center"/>
      <protection/>
    </xf>
    <xf numFmtId="0" fontId="149" fillId="0" borderId="0" xfId="93" applyFont="1" applyAlignment="1">
      <alignment horizontal="center"/>
      <protection/>
    </xf>
    <xf numFmtId="0" fontId="41" fillId="0" borderId="0" xfId="93" applyFont="1" applyAlignment="1">
      <alignment horizontal="center"/>
      <protection/>
    </xf>
    <xf numFmtId="3" fontId="146" fillId="0" borderId="0" xfId="95" applyNumberFormat="1" applyFont="1" applyAlignment="1">
      <alignment horizontal="center"/>
      <protection/>
    </xf>
    <xf numFmtId="0" fontId="44" fillId="0" borderId="76" xfId="95" applyFont="1" applyBorder="1" applyAlignment="1">
      <alignment horizontal="center"/>
      <protection/>
    </xf>
  </cellXfs>
  <cellStyles count="105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Figyelmeztetés" xfId="73"/>
    <cellStyle name="Figyelmeztetés 2" xfId="74"/>
    <cellStyle name="Hyperlink" xfId="75"/>
    <cellStyle name="Hivatkozott cella" xfId="76"/>
    <cellStyle name="Hivatkozott cella 2" xfId="77"/>
    <cellStyle name="Jegyzet" xfId="78"/>
    <cellStyle name="Jegyzet 2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Jó 2" xfId="87"/>
    <cellStyle name="Kimenet" xfId="88"/>
    <cellStyle name="Kimenet 2" xfId="89"/>
    <cellStyle name="Followed Hyperlink" xfId="90"/>
    <cellStyle name="Magyarázó szöveg" xfId="91"/>
    <cellStyle name="Magyarázó szöveg 2" xfId="92"/>
    <cellStyle name="Normál 2" xfId="93"/>
    <cellStyle name="Normál 3" xfId="94"/>
    <cellStyle name="Normál 4" xfId="95"/>
    <cellStyle name="Normál_12_urlap_Mérleg_MJEL 01R_ABCDEF_2014re_nov19" xfId="96"/>
    <cellStyle name="Normál_12dmelléklet" xfId="97"/>
    <cellStyle name="Normál_12dmelléklet 2" xfId="98"/>
    <cellStyle name="Normál_2009.évi 2" xfId="99"/>
    <cellStyle name="Normal_KARSZJ3" xfId="100"/>
    <cellStyle name="Normál_kimutatások" xfId="101"/>
    <cellStyle name="Normál_közvetett tám" xfId="102"/>
    <cellStyle name="Normál_ktgvetés zárszám mellékletei 2" xfId="103"/>
    <cellStyle name="Normál_Mellékletek rendeleti" xfId="104"/>
    <cellStyle name="Normál_Munka1 2" xfId="105"/>
    <cellStyle name="Normál_végső rend. képv.mód-sal" xfId="106"/>
    <cellStyle name="Normál_végső rend. képv.mód-sal 2" xfId="107"/>
    <cellStyle name="Összesen" xfId="108"/>
    <cellStyle name="Összesen 2" xfId="109"/>
    <cellStyle name="Currency" xfId="110"/>
    <cellStyle name="Currency [0]" xfId="111"/>
    <cellStyle name="Rossz" xfId="112"/>
    <cellStyle name="Rossz 2" xfId="113"/>
    <cellStyle name="Semleges" xfId="114"/>
    <cellStyle name="Semleges 2" xfId="115"/>
    <cellStyle name="Számítás" xfId="116"/>
    <cellStyle name="Számítás 2" xfId="117"/>
    <cellStyle name="Percent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47625</xdr:rowOff>
    </xdr:from>
    <xdr:to>
      <xdr:col>10</xdr:col>
      <xdr:colOff>200025</xdr:colOff>
      <xdr:row>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552950" y="209550"/>
          <a:ext cx="4562475" cy="4000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 melléklet 
</a:t>
          </a:r>
          <a:r>
            <a:rPr lang="en-US" cap="none" sz="700" b="1" i="0" u="none" baseline="0">
              <a:solidFill>
                <a:srgbClr val="000000"/>
              </a:solidFill>
            </a:rPr>
            <a:t>ELŐIRÁNYZAT - FELHASZNÁLÁSI TERV
</a:t>
          </a:r>
          <a:r>
            <a:rPr lang="en-US" cap="none" sz="700" b="1" i="0" u="none" baseline="0">
              <a:solidFill>
                <a:srgbClr val="000000"/>
              </a:solidFill>
            </a:rPr>
            <a:t>( Az előirányzatok felhasználásának alakulásáról 2016. évben 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2352675</xdr:colOff>
      <xdr:row>1</xdr:row>
      <xdr:rowOff>171450</xdr:rowOff>
    </xdr:from>
    <xdr:to>
      <xdr:col>7</xdr:col>
      <xdr:colOff>657225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905125" y="361950"/>
          <a:ext cx="7267575" cy="5238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10. melléklet
</a:t>
          </a:r>
          <a:r>
            <a:rPr lang="en-US" cap="none" sz="1000" b="1" i="0" u="none" baseline="0">
              <a:solidFill>
                <a:srgbClr val="000000"/>
              </a:solidFill>
            </a:rPr>
            <a:t>KISKŐRÖS VÁROS ÖNKORMÁNYZATA
</a:t>
          </a:r>
          <a:r>
            <a:rPr lang="en-US" cap="none" sz="1000" b="1" i="0" u="none" baseline="0">
              <a:solidFill>
                <a:srgbClr val="000000"/>
              </a:solidFill>
            </a:rPr>
            <a:t>Tervezett adósságot keletkeztető ügyletek fejlesztési célok szerint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38100</xdr:rowOff>
    </xdr:from>
    <xdr:to>
      <xdr:col>6</xdr:col>
      <xdr:colOff>47625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48175" y="200025"/>
          <a:ext cx="3581400" cy="4191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2016. évi maradványkimutatás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66675</xdr:rowOff>
    </xdr:from>
    <xdr:to>
      <xdr:col>8</xdr:col>
      <xdr:colOff>361950</xdr:colOff>
      <xdr:row>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914650" y="266700"/>
          <a:ext cx="5600700" cy="1809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2016. évi maradvány felosztása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3962400</xdr:colOff>
      <xdr:row>1</xdr:row>
      <xdr:rowOff>104775</xdr:rowOff>
    </xdr:from>
    <xdr:to>
      <xdr:col>5</xdr:col>
      <xdr:colOff>28575</xdr:colOff>
      <xdr:row>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962400" y="266700"/>
          <a:ext cx="4905375" cy="4095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13/B.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2016. évi mérleg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3162300</xdr:colOff>
      <xdr:row>1</xdr:row>
      <xdr:rowOff>85725</xdr:rowOff>
    </xdr:from>
    <xdr:to>
      <xdr:col>3</xdr:col>
      <xdr:colOff>742950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162300" y="247650"/>
          <a:ext cx="462915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13/A.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2015. évi mérleg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1</xdr:row>
      <xdr:rowOff>0</xdr:rowOff>
    </xdr:from>
    <xdr:to>
      <xdr:col>1</xdr:col>
      <xdr:colOff>361950</xdr:colOff>
      <xdr:row>3</xdr:row>
      <xdr:rowOff>104775</xdr:rowOff>
    </xdr:to>
    <xdr:sp>
      <xdr:nvSpPr>
        <xdr:cNvPr id="1" name="Szöveg 1" descr="5%-os"/>
        <xdr:cNvSpPr>
          <a:spLocks/>
        </xdr:cNvSpPr>
      </xdr:nvSpPr>
      <xdr:spPr>
        <a:xfrm>
          <a:off x="1162050" y="190500"/>
          <a:ext cx="4848225" cy="409575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13/C. melléklet 
</a:t>
          </a:r>
          <a:r>
            <a:rPr lang="en-US" cap="none" sz="900" b="0" i="0" u="none" baseline="0">
              <a:solidFill>
                <a:srgbClr val="000000"/>
              </a:solidFill>
            </a:rPr>
            <a:t>Önkormányzat vagyonkimutatása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</xdr:row>
      <xdr:rowOff>161925</xdr:rowOff>
    </xdr:from>
    <xdr:to>
      <xdr:col>51</xdr:col>
      <xdr:colOff>180975</xdr:colOff>
      <xdr:row>1</xdr:row>
      <xdr:rowOff>714375</xdr:rowOff>
    </xdr:to>
    <xdr:sp>
      <xdr:nvSpPr>
        <xdr:cNvPr id="1" name="Szöveg 1" descr="5%-os"/>
        <xdr:cNvSpPr>
          <a:spLocks/>
        </xdr:cNvSpPr>
      </xdr:nvSpPr>
      <xdr:spPr>
        <a:xfrm>
          <a:off x="2162175" y="323850"/>
          <a:ext cx="8639175" cy="552450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13/D. melléklet
</a:t>
          </a:r>
          <a:r>
            <a:rPr lang="en-US" cap="none" sz="900" b="0" i="0" u="none" baseline="0">
              <a:solidFill>
                <a:srgbClr val="000000"/>
              </a:solidFill>
            </a:rPr>
            <a:t>Kimutatás az immateriális javak, tárgyi eszközök, koncesszióba, vagyonkezelésbe adott eszközök állományának alakulásáról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</xdr:row>
      <xdr:rowOff>66675</xdr:rowOff>
    </xdr:from>
    <xdr:to>
      <xdr:col>25</xdr:col>
      <xdr:colOff>666750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895850" y="228600"/>
          <a:ext cx="3590925" cy="4191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14/A.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2016. évi eredménykimutatás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</xdr:row>
      <xdr:rowOff>66675</xdr:rowOff>
    </xdr:from>
    <xdr:to>
      <xdr:col>25</xdr:col>
      <xdr:colOff>666750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895850" y="228600"/>
          <a:ext cx="3581400" cy="4191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14/B.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2015. évi eredménykimutatás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1</xdr:row>
      <xdr:rowOff>28575</xdr:rowOff>
    </xdr:from>
    <xdr:to>
      <xdr:col>37</xdr:col>
      <xdr:colOff>114300</xdr:colOff>
      <xdr:row>1</xdr:row>
      <xdr:rowOff>447675</xdr:rowOff>
    </xdr:to>
    <xdr:sp>
      <xdr:nvSpPr>
        <xdr:cNvPr id="1" name="AutoShape 1"/>
        <xdr:cNvSpPr>
          <a:spLocks/>
        </xdr:cNvSpPr>
      </xdr:nvSpPr>
      <xdr:spPr>
        <a:xfrm>
          <a:off x="4238625" y="190500"/>
          <a:ext cx="3629025" cy="4191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15. melléklet 
</a:t>
          </a:r>
          <a:r>
            <a:rPr lang="en-US" cap="none" sz="1000" b="0" i="0" u="none" baseline="0">
              <a:solidFill>
                <a:srgbClr val="000000"/>
              </a:solidFill>
            </a:rPr>
            <a:t>2016. év Az eszközök értékvesztésének alakulása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38100</xdr:rowOff>
    </xdr:from>
    <xdr:to>
      <xdr:col>3</xdr:col>
      <xdr:colOff>457200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52475" y="200025"/>
          <a:ext cx="5172075" cy="3238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2.  melléklet 
</a:t>
          </a:r>
          <a:r>
            <a:rPr lang="en-US" cap="none" sz="700" b="1" i="0" u="none" baseline="0">
              <a:solidFill>
                <a:srgbClr val="000000"/>
              </a:solidFill>
            </a:rPr>
            <a:t>KISKŐRÖS VÁROS 2016. ÉVI KÖLTSÉGVETÉSÉNEK ÖSSZEVONT MÉRLEGE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2143125</xdr:colOff>
      <xdr:row>0</xdr:row>
      <xdr:rowOff>0</xdr:rowOff>
    </xdr:from>
    <xdr:to>
      <xdr:col>4</xdr:col>
      <xdr:colOff>371475</xdr:colOff>
      <xdr:row>1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2400300" y="0"/>
          <a:ext cx="4876800" cy="371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3. kimutatás 
</a:t>
          </a:r>
          <a:r>
            <a:rPr lang="en-US" cap="none" sz="1000" b="0" i="0" u="none" baseline="0">
              <a:solidFill>
                <a:srgbClr val="000000"/>
              </a:solidFill>
            </a:rPr>
            <a:t>2016. állami támogatások részletezése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</xdr:row>
      <xdr:rowOff>19050</xdr:rowOff>
    </xdr:from>
    <xdr:to>
      <xdr:col>6</xdr:col>
      <xdr:colOff>476250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895475" y="171450"/>
          <a:ext cx="6524625" cy="2952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3. melléklet  Kiskőrös Város 2016. ÉVI KÖLTSÉGVETÉSI BEVÉTELEI ÉS KIADÁSAI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1276350</xdr:colOff>
      <xdr:row>1</xdr:row>
      <xdr:rowOff>47625</xdr:rowOff>
    </xdr:from>
    <xdr:to>
      <xdr:col>9</xdr:col>
      <xdr:colOff>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238375" y="209550"/>
          <a:ext cx="59531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4. melléklet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AZ ÖNKORMÁNYZAT ÁLTAL IRÁNYÍTOTT KÖLTSÉGVETÉSI SZERVEK  2016. ÉVI BEVÉTELEI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2352675</xdr:colOff>
      <xdr:row>1</xdr:row>
      <xdr:rowOff>47625</xdr:rowOff>
    </xdr:from>
    <xdr:to>
      <xdr:col>12</xdr:col>
      <xdr:colOff>219075</xdr:colOff>
      <xdr:row>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371850" y="209550"/>
          <a:ext cx="6038850" cy="4191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5. melléklet  2016. ÉVI KÖLTSÉGVETÉSI KIADÁSOK
</a:t>
          </a:r>
          <a:r>
            <a:rPr lang="en-US" cap="none" sz="1000" b="0" i="0" u="none" baseline="0">
              <a:solidFill>
                <a:srgbClr val="000000"/>
              </a:solidFill>
            </a:rPr>
            <a:t>( Címek, alcímek és kiemelt előirányzatok szerint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1</xdr:row>
      <xdr:rowOff>9525</xdr:rowOff>
    </xdr:from>
    <xdr:to>
      <xdr:col>4</xdr:col>
      <xdr:colOff>676275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409700" y="161925"/>
          <a:ext cx="5934075" cy="4381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6.  melléklet
</a:t>
          </a:r>
          <a:r>
            <a:rPr lang="en-US" cap="none" sz="700" b="1" i="0" u="none" baseline="0">
              <a:solidFill>
                <a:srgbClr val="000000"/>
              </a:solidFill>
            </a:rPr>
            <a:t>BERUHÁZÁSOK, FELÚJÍTÁSOK , EGYÉB FELHALMOZÁSI JELLEGŰ KIADÁSOK, FINANSZÍROZÁSI KIADÁSOK
</a:t>
          </a:r>
          <a:r>
            <a:rPr lang="en-US" cap="none" sz="700" b="1" i="0" u="none" baseline="0">
              <a:solidFill>
                <a:srgbClr val="000000"/>
              </a:solidFill>
            </a:rPr>
            <a:t>( beruházásonként, felújításonként 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1790700</xdr:colOff>
      <xdr:row>3</xdr:row>
      <xdr:rowOff>0</xdr:rowOff>
    </xdr:from>
    <xdr:to>
      <xdr:col>4</xdr:col>
      <xdr:colOff>790575</xdr:colOff>
      <xdr:row>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228850" y="485775"/>
          <a:ext cx="5934075" cy="8191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7. melléklet 
</a:t>
          </a:r>
          <a:r>
            <a:rPr lang="en-US" cap="none" sz="1000" b="1" i="0" u="none" baseline="0">
              <a:solidFill>
                <a:srgbClr val="000000"/>
              </a:solidFill>
            </a:rPr>
            <a:t>KISKŐRÖS VÁROS ÖNKORMÁNYZATA
</a:t>
          </a:r>
          <a:r>
            <a:rPr lang="en-US" cap="none" sz="1000" b="1" i="0" u="none" baseline="0">
              <a:solidFill>
                <a:srgbClr val="000000"/>
              </a:solidFill>
            </a:rPr>
            <a:t>2016. ÉVI CÉLTARTALÉKA
</a:t>
          </a:r>
          <a:r>
            <a:rPr lang="en-US" cap="none" sz="1000" b="1" i="0" u="none" baseline="0">
              <a:solidFill>
                <a:srgbClr val="000000"/>
              </a:solidFill>
            </a:rPr>
            <a:t>(feladatonként)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1</xdr:row>
      <xdr:rowOff>76200</xdr:rowOff>
    </xdr:from>
    <xdr:to>
      <xdr:col>7</xdr:col>
      <xdr:colOff>200025</xdr:colOff>
      <xdr:row>1</xdr:row>
      <xdr:rowOff>476250</xdr:rowOff>
    </xdr:to>
    <xdr:sp>
      <xdr:nvSpPr>
        <xdr:cNvPr id="1" name="AutoShape 1"/>
        <xdr:cNvSpPr>
          <a:spLocks/>
        </xdr:cNvSpPr>
      </xdr:nvSpPr>
      <xdr:spPr>
        <a:xfrm>
          <a:off x="1524000" y="266700"/>
          <a:ext cx="7953375" cy="4000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8  melléklet 
</a:t>
          </a:r>
          <a:r>
            <a:rPr lang="en-US" cap="none" sz="700" b="0" i="0" u="none" baseline="0">
              <a:solidFill>
                <a:srgbClr val="000000"/>
              </a:solidFill>
            </a:rPr>
            <a:t>KISKŐRÖS VÁROS 2016. ÉVI EURÓPAI UNIÓS FORRÁSBÓL FINANSZÍROZOTT TÁMOGATÁSSAL MEGVALÓSULÓ PROGRAMJAI, PROJEKTJEI, ILLETVE ILYEN PROJEKTEKHEZ TÖRTÉNŐ HOZZÁJÁRULÁSAI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1</xdr:row>
      <xdr:rowOff>133350</xdr:rowOff>
    </xdr:from>
    <xdr:to>
      <xdr:col>6</xdr:col>
      <xdr:colOff>247650</xdr:colOff>
      <xdr:row>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104900" y="304800"/>
          <a:ext cx="6591300" cy="4095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9. melléklet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Több éves kihatással járó döntések (előirányzatai) számszerűsítése évenkénti bontásban és összesítve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lnareva\Documents\2015\rendeletm&#243;dos&#237;t&#225;s\&#225;prilis\&#225;pr%20m&#243;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lnareva\Documents\2016\k&#246;lts&#233;gvet&#233;s\el&#337;terjeszt&#233;s\el&#337;terj%202016%20ktgvet&#233;s%2002%2005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ell"/>
      <sheetName val="2.mell"/>
      <sheetName val="3.mell"/>
      <sheetName val="4.mell "/>
      <sheetName val="5.mell"/>
      <sheetName val="6.mell"/>
      <sheetName val="7.mell"/>
      <sheetName val="8.mell"/>
      <sheetName val="9 több év"/>
      <sheetName val="10.mell "/>
      <sheetName val="1.kim"/>
    </sheetNames>
    <sheetDataSet>
      <sheetData sheetId="2">
        <row r="63">
          <cell r="F63">
            <v>21083</v>
          </cell>
        </row>
        <row r="79">
          <cell r="G79">
            <v>917</v>
          </cell>
        </row>
      </sheetData>
      <sheetData sheetId="4">
        <row r="78">
          <cell r="Q78">
            <v>22000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mell"/>
      <sheetName val="2.mell"/>
      <sheetName val="3.mell"/>
      <sheetName val="4.mell "/>
      <sheetName val="5.mell"/>
      <sheetName val="6.mell"/>
      <sheetName val="7.mell"/>
      <sheetName val="8.mell"/>
      <sheetName val="9 több év"/>
      <sheetName val="10.mell "/>
      <sheetName val="1.kim"/>
      <sheetName val="2.kim"/>
      <sheetName val="3.kim"/>
    </sheetNames>
    <sheetDataSet>
      <sheetData sheetId="1">
        <row r="12">
          <cell r="C12">
            <v>101714</v>
          </cell>
        </row>
        <row r="13">
          <cell r="C13">
            <v>31905</v>
          </cell>
        </row>
        <row r="15">
          <cell r="C15">
            <v>785678</v>
          </cell>
        </row>
        <row r="16">
          <cell r="D16">
            <v>35526</v>
          </cell>
        </row>
        <row r="17">
          <cell r="C17">
            <v>591500</v>
          </cell>
        </row>
        <row r="18">
          <cell r="C18">
            <v>93362</v>
          </cell>
        </row>
        <row r="19">
          <cell r="D19">
            <v>0</v>
          </cell>
        </row>
        <row r="20">
          <cell r="C20">
            <v>0</v>
          </cell>
        </row>
        <row r="21">
          <cell r="D21">
            <v>2500</v>
          </cell>
        </row>
        <row r="26">
          <cell r="E26">
            <v>1246432</v>
          </cell>
        </row>
        <row r="27">
          <cell r="E27">
            <v>5000000</v>
          </cell>
        </row>
        <row r="34">
          <cell r="C34">
            <v>585068</v>
          </cell>
        </row>
        <row r="35">
          <cell r="C35">
            <v>155518</v>
          </cell>
        </row>
        <row r="36">
          <cell r="C36">
            <v>785713</v>
          </cell>
        </row>
        <row r="37">
          <cell r="C37">
            <v>8450</v>
          </cell>
        </row>
        <row r="38">
          <cell r="C38">
            <v>575046</v>
          </cell>
        </row>
        <row r="41">
          <cell r="D41">
            <v>592184</v>
          </cell>
        </row>
        <row r="42">
          <cell r="D42">
            <v>117159</v>
          </cell>
        </row>
        <row r="43">
          <cell r="D43">
            <v>19267</v>
          </cell>
        </row>
        <row r="47">
          <cell r="E47">
            <v>5018307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selection activeCell="K1" sqref="K1:O1"/>
    </sheetView>
  </sheetViews>
  <sheetFormatPr defaultColWidth="7.75390625" defaultRowHeight="12.75"/>
  <cols>
    <col min="1" max="1" width="3.125" style="833" customWidth="1"/>
    <col min="2" max="2" width="37.375" style="833" customWidth="1"/>
    <col min="3" max="3" width="8.625" style="833" customWidth="1"/>
    <col min="4" max="4" width="9.625" style="833" customWidth="1"/>
    <col min="5" max="5" width="9.75390625" style="833" customWidth="1"/>
    <col min="6" max="6" width="9.375" style="833" customWidth="1"/>
    <col min="7" max="7" width="8.75390625" style="833" customWidth="1"/>
    <col min="8" max="8" width="9.625" style="833" customWidth="1"/>
    <col min="9" max="9" width="9.125" style="833" customWidth="1"/>
    <col min="10" max="10" width="11.625" style="833" customWidth="1"/>
    <col min="11" max="11" width="11.875" style="833" customWidth="1"/>
    <col min="12" max="12" width="11.25390625" style="833" customWidth="1"/>
    <col min="13" max="13" width="11.00390625" style="833" customWidth="1"/>
    <col min="14" max="14" width="11.125" style="833" customWidth="1"/>
    <col min="15" max="15" width="13.375" style="833" customWidth="1"/>
    <col min="16" max="16" width="4.375" style="835" customWidth="1"/>
    <col min="17" max="16384" width="7.75390625" style="835" customWidth="1"/>
  </cols>
  <sheetData>
    <row r="1" spans="10:15" ht="12.75">
      <c r="J1" s="835"/>
      <c r="K1" s="1926" t="s">
        <v>1072</v>
      </c>
      <c r="L1" s="1926"/>
      <c r="M1" s="1926"/>
      <c r="N1" s="1926"/>
      <c r="O1" s="1926"/>
    </row>
    <row r="2" ht="12.75">
      <c r="O2" s="834"/>
    </row>
    <row r="4" ht="19.5" customHeight="1" thickBot="1">
      <c r="O4" s="836" t="s">
        <v>2</v>
      </c>
    </row>
    <row r="5" spans="1:15" ht="17.25" customHeight="1" thickBot="1">
      <c r="A5" s="1434" t="s">
        <v>553</v>
      </c>
      <c r="B5" s="1435"/>
      <c r="C5" s="1435"/>
      <c r="D5" s="1435"/>
      <c r="E5" s="1435"/>
      <c r="F5" s="1435"/>
      <c r="G5" s="1435"/>
      <c r="H5" s="1435"/>
      <c r="I5" s="1435"/>
      <c r="J5" s="1435"/>
      <c r="K5" s="1435"/>
      <c r="L5" s="1435"/>
      <c r="M5" s="1435"/>
      <c r="N5" s="1435"/>
      <c r="O5" s="1436"/>
    </row>
    <row r="6" spans="1:15" s="841" customFormat="1" ht="12.75">
      <c r="A6" s="837"/>
      <c r="B6" s="838"/>
      <c r="C6" s="839" t="s">
        <v>554</v>
      </c>
      <c r="D6" s="839" t="s">
        <v>555</v>
      </c>
      <c r="E6" s="839" t="s">
        <v>556</v>
      </c>
      <c r="F6" s="839" t="s">
        <v>557</v>
      </c>
      <c r="G6" s="839" t="s">
        <v>558</v>
      </c>
      <c r="H6" s="839" t="s">
        <v>559</v>
      </c>
      <c r="I6" s="884" t="s">
        <v>563</v>
      </c>
      <c r="J6" s="888" t="s">
        <v>564</v>
      </c>
      <c r="K6" s="839" t="s">
        <v>565</v>
      </c>
      <c r="L6" s="839" t="s">
        <v>566</v>
      </c>
      <c r="M6" s="839" t="s">
        <v>567</v>
      </c>
      <c r="N6" s="889" t="s">
        <v>568</v>
      </c>
      <c r="O6" s="840" t="s">
        <v>3</v>
      </c>
    </row>
    <row r="7" spans="1:17" ht="15" customHeight="1">
      <c r="A7" s="842" t="s">
        <v>4</v>
      </c>
      <c r="B7" s="843" t="s">
        <v>560</v>
      </c>
      <c r="C7" s="844">
        <v>7782</v>
      </c>
      <c r="D7" s="844">
        <v>8696</v>
      </c>
      <c r="E7" s="844">
        <v>8416</v>
      </c>
      <c r="F7" s="844">
        <v>8628</v>
      </c>
      <c r="G7" s="844">
        <v>8950</v>
      </c>
      <c r="H7" s="844">
        <v>8988</v>
      </c>
      <c r="I7" s="885">
        <v>9151</v>
      </c>
      <c r="J7" s="890">
        <v>11011</v>
      </c>
      <c r="K7" s="844">
        <v>9198</v>
      </c>
      <c r="L7" s="844">
        <v>9122</v>
      </c>
      <c r="M7" s="844">
        <v>8860</v>
      </c>
      <c r="N7" s="891">
        <v>13491</v>
      </c>
      <c r="O7" s="845">
        <f>'2. '!E13</f>
        <v>112293</v>
      </c>
      <c r="P7" s="846"/>
      <c r="Q7" s="846"/>
    </row>
    <row r="8" spans="1:17" ht="23.25" customHeight="1">
      <c r="A8" s="847" t="s">
        <v>5</v>
      </c>
      <c r="B8" s="848" t="s">
        <v>306</v>
      </c>
      <c r="C8" s="849">
        <v>67425</v>
      </c>
      <c r="D8" s="849">
        <v>63142</v>
      </c>
      <c r="E8" s="849">
        <v>73159</v>
      </c>
      <c r="F8" s="849">
        <v>54000</v>
      </c>
      <c r="G8" s="849">
        <v>168341</v>
      </c>
      <c r="H8" s="849">
        <v>52061</v>
      </c>
      <c r="I8" s="886">
        <v>53568</v>
      </c>
      <c r="J8" s="892">
        <v>84560</v>
      </c>
      <c r="K8" s="849">
        <v>88351</v>
      </c>
      <c r="L8" s="849">
        <v>76505</v>
      </c>
      <c r="M8" s="849">
        <v>51615</v>
      </c>
      <c r="N8" s="875">
        <v>72802</v>
      </c>
      <c r="O8" s="850">
        <f>'2. '!E22</f>
        <v>905529</v>
      </c>
      <c r="P8" s="846"/>
      <c r="Q8" s="846"/>
    </row>
    <row r="9" spans="1:17" ht="30.75" customHeight="1">
      <c r="A9" s="847" t="s">
        <v>6</v>
      </c>
      <c r="B9" s="851" t="s">
        <v>307</v>
      </c>
      <c r="C9" s="849"/>
      <c r="D9" s="849">
        <v>917</v>
      </c>
      <c r="E9" s="849">
        <v>16536</v>
      </c>
      <c r="F9" s="849"/>
      <c r="G9" s="849">
        <v>97986</v>
      </c>
      <c r="H9" s="849"/>
      <c r="I9" s="886">
        <v>6923</v>
      </c>
      <c r="J9" s="892"/>
      <c r="K9" s="849"/>
      <c r="L9" s="849"/>
      <c r="M9" s="849"/>
      <c r="N9" s="875">
        <v>23349</v>
      </c>
      <c r="O9" s="850">
        <f>'2. '!E26</f>
        <v>145711</v>
      </c>
      <c r="P9" s="846"/>
      <c r="Q9" s="846"/>
    </row>
    <row r="10" spans="1:17" ht="12.75">
      <c r="A10" s="847" t="s">
        <v>7</v>
      </c>
      <c r="B10" s="848" t="s">
        <v>106</v>
      </c>
      <c r="C10" s="849">
        <v>6862</v>
      </c>
      <c r="D10" s="849">
        <v>6708</v>
      </c>
      <c r="E10" s="849">
        <v>293169</v>
      </c>
      <c r="F10" s="849">
        <v>32576</v>
      </c>
      <c r="G10" s="849">
        <v>34723</v>
      </c>
      <c r="H10" s="849">
        <v>33567</v>
      </c>
      <c r="I10" s="886">
        <v>10825</v>
      </c>
      <c r="J10" s="892">
        <v>27577</v>
      </c>
      <c r="K10" s="849">
        <v>340196</v>
      </c>
      <c r="L10" s="849">
        <v>11030</v>
      </c>
      <c r="M10" s="849">
        <v>12823</v>
      </c>
      <c r="N10" s="875">
        <v>88069</v>
      </c>
      <c r="O10" s="850">
        <f>'2. '!E30</f>
        <v>898125</v>
      </c>
      <c r="P10" s="846"/>
      <c r="Q10" s="846"/>
    </row>
    <row r="11" spans="1:17" ht="12.75">
      <c r="A11" s="847" t="s">
        <v>8</v>
      </c>
      <c r="B11" s="848" t="s">
        <v>308</v>
      </c>
      <c r="C11" s="849">
        <v>6425</v>
      </c>
      <c r="D11" s="849">
        <v>7031</v>
      </c>
      <c r="E11" s="849">
        <v>10398</v>
      </c>
      <c r="F11" s="849">
        <v>10315</v>
      </c>
      <c r="G11" s="849">
        <v>6477</v>
      </c>
      <c r="H11" s="849">
        <v>5626</v>
      </c>
      <c r="I11" s="886">
        <v>12472</v>
      </c>
      <c r="J11" s="892">
        <v>3787</v>
      </c>
      <c r="K11" s="849">
        <v>13119</v>
      </c>
      <c r="L11" s="849">
        <v>10097</v>
      </c>
      <c r="M11" s="849">
        <v>11748</v>
      </c>
      <c r="N11" s="875">
        <v>15196</v>
      </c>
      <c r="O11" s="850">
        <f>'2. '!E34</f>
        <v>112691</v>
      </c>
      <c r="P11" s="846"/>
      <c r="Q11" s="846"/>
    </row>
    <row r="12" spans="1:17" ht="13.5" customHeight="1">
      <c r="A12" s="847" t="s">
        <v>9</v>
      </c>
      <c r="B12" s="848" t="s">
        <v>309</v>
      </c>
      <c r="C12" s="849"/>
      <c r="D12" s="849"/>
      <c r="E12" s="849">
        <v>2510</v>
      </c>
      <c r="F12" s="849">
        <v>200</v>
      </c>
      <c r="G12" s="849"/>
      <c r="H12" s="849">
        <v>47500</v>
      </c>
      <c r="I12" s="886">
        <v>24914</v>
      </c>
      <c r="J12" s="892"/>
      <c r="K12" s="849"/>
      <c r="L12" s="849">
        <v>6603</v>
      </c>
      <c r="M12" s="849"/>
      <c r="N12" s="875">
        <v>14856</v>
      </c>
      <c r="O12" s="850">
        <f>'2. '!E38</f>
        <v>96583</v>
      </c>
      <c r="P12" s="846"/>
      <c r="Q12" s="846"/>
    </row>
    <row r="13" spans="1:17" ht="12.75">
      <c r="A13" s="847" t="s">
        <v>10</v>
      </c>
      <c r="B13" s="848" t="s">
        <v>310</v>
      </c>
      <c r="C13" s="849"/>
      <c r="D13" s="849"/>
      <c r="E13" s="849">
        <v>8324</v>
      </c>
      <c r="F13" s="849"/>
      <c r="G13" s="849"/>
      <c r="H13" s="849"/>
      <c r="I13" s="886"/>
      <c r="J13" s="892"/>
      <c r="K13" s="849"/>
      <c r="L13" s="849"/>
      <c r="M13" s="849"/>
      <c r="N13" s="875"/>
      <c r="O13" s="850">
        <f>'2. '!C42</f>
        <v>8324</v>
      </c>
      <c r="P13" s="846"/>
      <c r="Q13" s="846"/>
    </row>
    <row r="14" spans="1:17" ht="13.5" customHeight="1">
      <c r="A14" s="847" t="s">
        <v>11</v>
      </c>
      <c r="B14" s="848" t="s">
        <v>216</v>
      </c>
      <c r="C14" s="849">
        <v>1507</v>
      </c>
      <c r="D14" s="849">
        <v>198</v>
      </c>
      <c r="E14" s="849">
        <v>7</v>
      </c>
      <c r="F14" s="849">
        <v>109</v>
      </c>
      <c r="G14" s="849">
        <v>14</v>
      </c>
      <c r="H14" s="849">
        <v>7</v>
      </c>
      <c r="I14" s="886">
        <v>105</v>
      </c>
      <c r="J14" s="892">
        <v>14</v>
      </c>
      <c r="K14" s="849">
        <v>1507</v>
      </c>
      <c r="L14" s="849">
        <v>94</v>
      </c>
      <c r="M14" s="849">
        <v>263</v>
      </c>
      <c r="N14" s="875">
        <v>430</v>
      </c>
      <c r="O14" s="850">
        <f>'2. '!E46</f>
        <v>4255</v>
      </c>
      <c r="P14" s="846"/>
      <c r="Q14" s="846"/>
    </row>
    <row r="15" spans="1:17" ht="13.5" thickBot="1">
      <c r="A15" s="847" t="s">
        <v>12</v>
      </c>
      <c r="B15" s="848" t="s">
        <v>197</v>
      </c>
      <c r="C15" s="849">
        <v>120000</v>
      </c>
      <c r="D15" s="849">
        <v>500000</v>
      </c>
      <c r="E15" s="849">
        <v>1137000</v>
      </c>
      <c r="F15" s="849">
        <v>507000</v>
      </c>
      <c r="G15" s="849">
        <v>1346493</v>
      </c>
      <c r="H15" s="849">
        <v>60000</v>
      </c>
      <c r="I15" s="886">
        <v>312011</v>
      </c>
      <c r="J15" s="892">
        <v>221239</v>
      </c>
      <c r="K15" s="849">
        <v>653762</v>
      </c>
      <c r="L15" s="849">
        <v>373000</v>
      </c>
      <c r="M15" s="849">
        <v>100000</v>
      </c>
      <c r="N15" s="875">
        <v>263330</v>
      </c>
      <c r="O15" s="850">
        <f>'2. '!E75+'2. '!E67+'2. '!E63+'2. '!E71</f>
        <v>5593835</v>
      </c>
      <c r="P15" s="846"/>
      <c r="Q15" s="846"/>
    </row>
    <row r="16" spans="1:17" s="854" customFormat="1" ht="14.25" thickBot="1" thickTop="1">
      <c r="A16" s="1437" t="s">
        <v>3</v>
      </c>
      <c r="B16" s="1438"/>
      <c r="C16" s="852">
        <f aca="true" t="shared" si="0" ref="C16:O16">SUM(C7:C15)</f>
        <v>210001</v>
      </c>
      <c r="D16" s="852">
        <f t="shared" si="0"/>
        <v>586692</v>
      </c>
      <c r="E16" s="852">
        <f t="shared" si="0"/>
        <v>1549519</v>
      </c>
      <c r="F16" s="852">
        <f t="shared" si="0"/>
        <v>612828</v>
      </c>
      <c r="G16" s="852">
        <f t="shared" si="0"/>
        <v>1662984</v>
      </c>
      <c r="H16" s="852">
        <f t="shared" si="0"/>
        <v>207749</v>
      </c>
      <c r="I16" s="852">
        <f t="shared" si="0"/>
        <v>429969</v>
      </c>
      <c r="J16" s="852">
        <f t="shared" si="0"/>
        <v>348188</v>
      </c>
      <c r="K16" s="852">
        <f t="shared" si="0"/>
        <v>1106133</v>
      </c>
      <c r="L16" s="852">
        <f t="shared" si="0"/>
        <v>486451</v>
      </c>
      <c r="M16" s="852">
        <f t="shared" si="0"/>
        <v>185309</v>
      </c>
      <c r="N16" s="852">
        <f t="shared" si="0"/>
        <v>491523</v>
      </c>
      <c r="O16" s="853">
        <f t="shared" si="0"/>
        <v>7877346</v>
      </c>
      <c r="P16" s="846"/>
      <c r="Q16" s="846"/>
    </row>
    <row r="17" spans="1:17" ht="7.5" customHeight="1" thickBot="1" thickTop="1">
      <c r="A17" s="855"/>
      <c r="B17" s="856"/>
      <c r="C17" s="857"/>
      <c r="D17" s="858"/>
      <c r="E17" s="858"/>
      <c r="F17" s="858"/>
      <c r="G17" s="858"/>
      <c r="H17" s="858"/>
      <c r="I17" s="856"/>
      <c r="J17" s="856"/>
      <c r="K17" s="856"/>
      <c r="L17" s="856"/>
      <c r="M17" s="856"/>
      <c r="N17" s="856"/>
      <c r="O17" s="859"/>
      <c r="P17" s="846"/>
      <c r="Q17" s="846"/>
    </row>
    <row r="18" spans="1:17" ht="3.75" customHeight="1">
      <c r="A18" s="860"/>
      <c r="B18" s="860"/>
      <c r="C18" s="860"/>
      <c r="D18" s="860"/>
      <c r="E18" s="860"/>
      <c r="F18" s="860"/>
      <c r="G18" s="860"/>
      <c r="H18" s="860"/>
      <c r="I18" s="860"/>
      <c r="J18" s="860"/>
      <c r="K18" s="860"/>
      <c r="L18" s="860"/>
      <c r="M18" s="860"/>
      <c r="N18" s="860"/>
      <c r="O18" s="861"/>
      <c r="P18" s="846"/>
      <c r="Q18" s="846"/>
    </row>
    <row r="19" spans="1:17" ht="7.5" customHeight="1" thickBot="1">
      <c r="A19" s="860"/>
      <c r="B19" s="860"/>
      <c r="C19" s="860"/>
      <c r="D19" s="860"/>
      <c r="E19" s="860"/>
      <c r="F19" s="860"/>
      <c r="G19" s="860"/>
      <c r="H19" s="860"/>
      <c r="I19" s="860"/>
      <c r="J19" s="860"/>
      <c r="K19" s="860"/>
      <c r="L19" s="860"/>
      <c r="M19" s="860"/>
      <c r="N19" s="860"/>
      <c r="O19" s="862" t="s">
        <v>55</v>
      </c>
      <c r="P19" s="846"/>
      <c r="Q19" s="846"/>
    </row>
    <row r="20" spans="1:17" ht="16.5" customHeight="1" thickBot="1">
      <c r="A20" s="1434" t="s">
        <v>561</v>
      </c>
      <c r="B20" s="1435"/>
      <c r="C20" s="1435"/>
      <c r="D20" s="1435"/>
      <c r="E20" s="1435"/>
      <c r="F20" s="1435"/>
      <c r="G20" s="1435"/>
      <c r="H20" s="1435"/>
      <c r="I20" s="1435"/>
      <c r="J20" s="1435"/>
      <c r="K20" s="1435"/>
      <c r="L20" s="1435"/>
      <c r="M20" s="1435"/>
      <c r="N20" s="1435"/>
      <c r="O20" s="1436"/>
      <c r="P20" s="846"/>
      <c r="Q20" s="846"/>
    </row>
    <row r="21" spans="1:17" s="841" customFormat="1" ht="12.75">
      <c r="A21" s="837"/>
      <c r="B21" s="838"/>
      <c r="C21" s="863" t="s">
        <v>554</v>
      </c>
      <c r="D21" s="863" t="s">
        <v>555</v>
      </c>
      <c r="E21" s="863" t="s">
        <v>556</v>
      </c>
      <c r="F21" s="863" t="s">
        <v>557</v>
      </c>
      <c r="G21" s="863" t="s">
        <v>558</v>
      </c>
      <c r="H21" s="863" t="s">
        <v>559</v>
      </c>
      <c r="I21" s="884" t="s">
        <v>563</v>
      </c>
      <c r="J21" s="839" t="s">
        <v>564</v>
      </c>
      <c r="K21" s="839" t="s">
        <v>565</v>
      </c>
      <c r="L21" s="839" t="s">
        <v>566</v>
      </c>
      <c r="M21" s="839" t="s">
        <v>567</v>
      </c>
      <c r="N21" s="839" t="s">
        <v>568</v>
      </c>
      <c r="O21" s="840" t="s">
        <v>3</v>
      </c>
      <c r="P21" s="846"/>
      <c r="Q21" s="846"/>
    </row>
    <row r="22" spans="1:17" ht="5.25" customHeight="1">
      <c r="A22" s="864"/>
      <c r="B22" s="860"/>
      <c r="C22" s="865"/>
      <c r="D22" s="865"/>
      <c r="E22" s="865"/>
      <c r="F22" s="865"/>
      <c r="G22" s="865"/>
      <c r="H22" s="865"/>
      <c r="I22" s="860"/>
      <c r="J22" s="865"/>
      <c r="K22" s="865"/>
      <c r="L22" s="865"/>
      <c r="M22" s="865"/>
      <c r="N22" s="865"/>
      <c r="O22" s="866"/>
      <c r="P22" s="846"/>
      <c r="Q22" s="846"/>
    </row>
    <row r="23" spans="1:17" ht="12.75">
      <c r="A23" s="867" t="s">
        <v>4</v>
      </c>
      <c r="B23" s="868" t="s">
        <v>13</v>
      </c>
      <c r="C23" s="844">
        <v>42900</v>
      </c>
      <c r="D23" s="844">
        <v>41082</v>
      </c>
      <c r="E23" s="844">
        <v>43128</v>
      </c>
      <c r="F23" s="844">
        <v>49552</v>
      </c>
      <c r="G23" s="844">
        <v>48482</v>
      </c>
      <c r="H23" s="844">
        <v>49106</v>
      </c>
      <c r="I23" s="885">
        <v>49658</v>
      </c>
      <c r="J23" s="844">
        <v>51010</v>
      </c>
      <c r="K23" s="844">
        <v>53025</v>
      </c>
      <c r="L23" s="844">
        <v>47385</v>
      </c>
      <c r="M23" s="844">
        <v>43020</v>
      </c>
      <c r="N23" s="844">
        <v>66706</v>
      </c>
      <c r="O23" s="845">
        <f>'2. '!C88</f>
        <v>585054</v>
      </c>
      <c r="P23" s="846"/>
      <c r="Q23" s="846"/>
    </row>
    <row r="24" spans="1:17" ht="25.5" customHeight="1">
      <c r="A24" s="847" t="s">
        <v>5</v>
      </c>
      <c r="B24" s="869" t="s">
        <v>112</v>
      </c>
      <c r="C24" s="849">
        <v>13054</v>
      </c>
      <c r="D24" s="849">
        <v>12175</v>
      </c>
      <c r="E24" s="849">
        <v>11458</v>
      </c>
      <c r="F24" s="849">
        <v>14365</v>
      </c>
      <c r="G24" s="849">
        <v>12312</v>
      </c>
      <c r="H24" s="849">
        <v>12671</v>
      </c>
      <c r="I24" s="886">
        <v>14206</v>
      </c>
      <c r="J24" s="849">
        <v>13100</v>
      </c>
      <c r="K24" s="849">
        <v>13901</v>
      </c>
      <c r="L24" s="849">
        <v>13467</v>
      </c>
      <c r="M24" s="849">
        <v>11722</v>
      </c>
      <c r="N24" s="849">
        <v>14457</v>
      </c>
      <c r="O24" s="850">
        <f>'2. '!E92</f>
        <v>156888</v>
      </c>
      <c r="P24" s="846"/>
      <c r="Q24" s="846"/>
    </row>
    <row r="25" spans="1:17" ht="12.75">
      <c r="A25" s="847" t="s">
        <v>6</v>
      </c>
      <c r="B25" s="870" t="s">
        <v>14</v>
      </c>
      <c r="C25" s="849">
        <v>26243</v>
      </c>
      <c r="D25" s="849">
        <v>40372</v>
      </c>
      <c r="E25" s="849">
        <v>57586</v>
      </c>
      <c r="F25" s="849">
        <v>40719</v>
      </c>
      <c r="G25" s="849">
        <v>49258</v>
      </c>
      <c r="H25" s="849">
        <v>56542</v>
      </c>
      <c r="I25" s="886">
        <v>52405</v>
      </c>
      <c r="J25" s="849">
        <v>48349</v>
      </c>
      <c r="K25" s="849">
        <v>46039</v>
      </c>
      <c r="L25" s="849">
        <v>53346</v>
      </c>
      <c r="M25" s="849">
        <v>42457</v>
      </c>
      <c r="N25" s="849">
        <v>98778</v>
      </c>
      <c r="O25" s="850">
        <f>'2. '!E96</f>
        <v>612094</v>
      </c>
      <c r="P25" s="846"/>
      <c r="Q25" s="846"/>
    </row>
    <row r="26" spans="1:17" ht="12.75">
      <c r="A26" s="871" t="s">
        <v>7</v>
      </c>
      <c r="B26" s="872" t="s">
        <v>562</v>
      </c>
      <c r="C26" s="844">
        <v>27</v>
      </c>
      <c r="D26" s="844">
        <v>325</v>
      </c>
      <c r="E26" s="844">
        <v>618</v>
      </c>
      <c r="F26" s="844">
        <v>393</v>
      </c>
      <c r="G26" s="844">
        <v>185</v>
      </c>
      <c r="H26" s="844">
        <v>195</v>
      </c>
      <c r="I26" s="885">
        <v>82</v>
      </c>
      <c r="J26" s="844">
        <v>417</v>
      </c>
      <c r="K26" s="844">
        <v>563</v>
      </c>
      <c r="L26" s="844">
        <v>72</v>
      </c>
      <c r="M26" s="844">
        <v>382</v>
      </c>
      <c r="N26" s="844">
        <v>4560</v>
      </c>
      <c r="O26" s="845">
        <f>'2. '!E100</f>
        <v>7819</v>
      </c>
      <c r="P26" s="846"/>
      <c r="Q26" s="846"/>
    </row>
    <row r="27" spans="1:17" ht="13.5" customHeight="1">
      <c r="A27" s="871" t="s">
        <v>8</v>
      </c>
      <c r="B27" s="873" t="s">
        <v>90</v>
      </c>
      <c r="C27" s="844">
        <v>12754</v>
      </c>
      <c r="D27" s="844">
        <v>13261</v>
      </c>
      <c r="E27" s="844">
        <v>17630</v>
      </c>
      <c r="F27" s="844">
        <v>15113</v>
      </c>
      <c r="G27" s="844">
        <v>17285</v>
      </c>
      <c r="H27" s="844">
        <v>24717</v>
      </c>
      <c r="I27" s="885">
        <v>19425</v>
      </c>
      <c r="J27" s="844">
        <v>36140</v>
      </c>
      <c r="K27" s="844">
        <v>45471</v>
      </c>
      <c r="L27" s="844">
        <v>20696</v>
      </c>
      <c r="M27" s="844">
        <v>15802</v>
      </c>
      <c r="N27" s="844">
        <v>20625</v>
      </c>
      <c r="O27" s="845">
        <f>'2. '!E104</f>
        <v>258919</v>
      </c>
      <c r="P27" s="846"/>
      <c r="Q27" s="846"/>
    </row>
    <row r="28" spans="1:17" ht="14.25" customHeight="1">
      <c r="A28" s="871" t="s">
        <v>9</v>
      </c>
      <c r="B28" s="832" t="s">
        <v>24</v>
      </c>
      <c r="C28" s="844">
        <v>2432</v>
      </c>
      <c r="D28" s="844">
        <v>29838</v>
      </c>
      <c r="E28" s="844">
        <v>10347</v>
      </c>
      <c r="F28" s="844">
        <v>13038</v>
      </c>
      <c r="G28" s="844">
        <v>4617</v>
      </c>
      <c r="H28" s="844">
        <v>22249</v>
      </c>
      <c r="I28" s="885">
        <v>30107</v>
      </c>
      <c r="J28" s="844">
        <v>109105</v>
      </c>
      <c r="K28" s="844">
        <v>102759</v>
      </c>
      <c r="L28" s="844">
        <v>19513</v>
      </c>
      <c r="M28" s="844">
        <v>10307</v>
      </c>
      <c r="N28" s="844">
        <v>26504</v>
      </c>
      <c r="O28" s="845">
        <f>'2. '!E113</f>
        <v>380816</v>
      </c>
      <c r="P28" s="846"/>
      <c r="Q28" s="846"/>
    </row>
    <row r="29" spans="1:17" ht="12.75">
      <c r="A29" s="871" t="s">
        <v>10</v>
      </c>
      <c r="B29" s="874" t="s">
        <v>25</v>
      </c>
      <c r="C29" s="875">
        <v>114</v>
      </c>
      <c r="D29" s="849">
        <v>878</v>
      </c>
      <c r="E29" s="849"/>
      <c r="F29" s="849">
        <v>1378</v>
      </c>
      <c r="G29" s="849">
        <v>2652</v>
      </c>
      <c r="H29" s="849"/>
      <c r="I29" s="886">
        <v>572</v>
      </c>
      <c r="J29" s="849">
        <v>4581</v>
      </c>
      <c r="K29" s="849">
        <v>7265</v>
      </c>
      <c r="L29" s="849">
        <v>28811</v>
      </c>
      <c r="M29" s="849">
        <v>645</v>
      </c>
      <c r="N29" s="849"/>
      <c r="O29" s="850">
        <f>'2. '!E117</f>
        <v>46896</v>
      </c>
      <c r="P29" s="846"/>
      <c r="Q29" s="846"/>
    </row>
    <row r="30" spans="1:17" ht="12.75">
      <c r="A30" s="871" t="s">
        <v>11</v>
      </c>
      <c r="B30" s="876" t="s">
        <v>32</v>
      </c>
      <c r="C30" s="875"/>
      <c r="D30" s="849"/>
      <c r="E30" s="849">
        <v>2000</v>
      </c>
      <c r="F30" s="849"/>
      <c r="G30" s="849">
        <v>-2000</v>
      </c>
      <c r="H30" s="849"/>
      <c r="I30" s="886">
        <v>6923</v>
      </c>
      <c r="J30" s="849"/>
      <c r="K30" s="849"/>
      <c r="L30" s="849">
        <v>10377</v>
      </c>
      <c r="M30" s="849"/>
      <c r="N30" s="849"/>
      <c r="O30" s="850">
        <f>'2. '!E121</f>
        <v>17300</v>
      </c>
      <c r="P30" s="846"/>
      <c r="Q30" s="846"/>
    </row>
    <row r="31" spans="1:17" ht="14.25" customHeight="1" thickBot="1">
      <c r="A31" s="877" t="s">
        <v>12</v>
      </c>
      <c r="B31" s="878" t="s">
        <v>64</v>
      </c>
      <c r="C31" s="879">
        <v>1117317</v>
      </c>
      <c r="D31" s="879">
        <v>450000</v>
      </c>
      <c r="E31" s="879">
        <v>1282000</v>
      </c>
      <c r="F31" s="879">
        <v>601000</v>
      </c>
      <c r="G31" s="879">
        <v>60000</v>
      </c>
      <c r="H31" s="879">
        <v>240000</v>
      </c>
      <c r="I31" s="887">
        <v>222490</v>
      </c>
      <c r="J31" s="879">
        <v>80000</v>
      </c>
      <c r="K31" s="879">
        <v>754900</v>
      </c>
      <c r="L31" s="879">
        <v>419311</v>
      </c>
      <c r="M31" s="879"/>
      <c r="N31" s="879">
        <v>150000</v>
      </c>
      <c r="O31" s="880">
        <f>'2. '!C129</f>
        <v>5377018</v>
      </c>
      <c r="P31" s="846"/>
      <c r="Q31" s="846"/>
    </row>
    <row r="32" spans="1:17" ht="14.25" thickBot="1" thickTop="1">
      <c r="A32" s="1439" t="s">
        <v>3</v>
      </c>
      <c r="B32" s="1440"/>
      <c r="C32" s="881">
        <f aca="true" t="shared" si="1" ref="C32:O32">SUM(C23:C31)</f>
        <v>1214841</v>
      </c>
      <c r="D32" s="881">
        <f t="shared" si="1"/>
        <v>587931</v>
      </c>
      <c r="E32" s="881">
        <f t="shared" si="1"/>
        <v>1424767</v>
      </c>
      <c r="F32" s="881">
        <f t="shared" si="1"/>
        <v>735558</v>
      </c>
      <c r="G32" s="881">
        <f t="shared" si="1"/>
        <v>192791</v>
      </c>
      <c r="H32" s="881">
        <f t="shared" si="1"/>
        <v>405480</v>
      </c>
      <c r="I32" s="881">
        <f t="shared" si="1"/>
        <v>395868</v>
      </c>
      <c r="J32" s="881">
        <f t="shared" si="1"/>
        <v>342702</v>
      </c>
      <c r="K32" s="881">
        <f t="shared" si="1"/>
        <v>1023923</v>
      </c>
      <c r="L32" s="881">
        <f t="shared" si="1"/>
        <v>612978</v>
      </c>
      <c r="M32" s="881">
        <f t="shared" si="1"/>
        <v>124335</v>
      </c>
      <c r="N32" s="881">
        <f t="shared" si="1"/>
        <v>381630</v>
      </c>
      <c r="O32" s="893">
        <f t="shared" si="1"/>
        <v>7442804</v>
      </c>
      <c r="P32" s="846"/>
      <c r="Q32" s="846"/>
    </row>
    <row r="33" spans="1:17" ht="7.5" customHeight="1">
      <c r="A33" s="882"/>
      <c r="B33" s="860"/>
      <c r="C33" s="860"/>
      <c r="D33" s="860"/>
      <c r="E33" s="860"/>
      <c r="F33" s="860"/>
      <c r="G33" s="860"/>
      <c r="H33" s="860"/>
      <c r="I33" s="860"/>
      <c r="J33" s="860"/>
      <c r="K33" s="860"/>
      <c r="L33" s="860"/>
      <c r="M33" s="860"/>
      <c r="N33" s="860"/>
      <c r="O33" s="860"/>
      <c r="Q33" s="846"/>
    </row>
    <row r="35" spans="3:15" ht="12.75">
      <c r="C35" s="883"/>
      <c r="D35" s="883"/>
      <c r="E35" s="883"/>
      <c r="F35" s="883"/>
      <c r="G35" s="883"/>
      <c r="H35" s="883"/>
      <c r="I35" s="883"/>
      <c r="J35" s="883"/>
      <c r="K35" s="883"/>
      <c r="L35" s="883"/>
      <c r="M35" s="883"/>
      <c r="N35" s="883"/>
      <c r="O35" s="883"/>
    </row>
    <row r="37" spans="3:14" ht="12.75">
      <c r="C37" s="883"/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</row>
  </sheetData>
  <sheetProtection/>
  <mergeCells count="5">
    <mergeCell ref="A5:O5"/>
    <mergeCell ref="A16:B16"/>
    <mergeCell ref="A20:O20"/>
    <mergeCell ref="A32:B32"/>
    <mergeCell ref="K1:O1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66" r:id="rId2"/>
  <rowBreaks count="1" manualBreakCount="1">
    <brk id="32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85" zoomScalePageLayoutView="0" workbookViewId="0" topLeftCell="A1">
      <selection activeCell="I2" sqref="I2"/>
    </sheetView>
  </sheetViews>
  <sheetFormatPr defaultColWidth="9.00390625" defaultRowHeight="12.75"/>
  <cols>
    <col min="1" max="1" width="7.25390625" style="1417" customWidth="1"/>
    <col min="2" max="2" width="38.125" style="1417" customWidth="1"/>
    <col min="3" max="3" width="23.375" style="1417" customWidth="1"/>
    <col min="4" max="4" width="13.25390625" style="1417" customWidth="1"/>
    <col min="5" max="5" width="11.375" style="1417" customWidth="1"/>
    <col min="6" max="8" width="15.75390625" style="27" customWidth="1"/>
    <col min="9" max="9" width="12.125" style="27" customWidth="1"/>
    <col min="10" max="10" width="11.25390625" style="27" bestFit="1" customWidth="1"/>
    <col min="11" max="16384" width="9.125" style="27" customWidth="1"/>
  </cols>
  <sheetData>
    <row r="1" spans="1:10" ht="15">
      <c r="A1" s="1416"/>
      <c r="B1" s="1416"/>
      <c r="C1" s="1416"/>
      <c r="D1" s="1416"/>
      <c r="E1" s="1938" t="s">
        <v>1081</v>
      </c>
      <c r="F1" s="1937"/>
      <c r="G1" s="1937"/>
      <c r="H1" s="1937"/>
      <c r="I1" s="1937"/>
      <c r="J1" s="1937"/>
    </row>
    <row r="2" spans="1:6" ht="15">
      <c r="A2" s="1416"/>
      <c r="B2" s="1416"/>
      <c r="C2" s="1416"/>
      <c r="D2" s="1416"/>
      <c r="E2" s="1416"/>
      <c r="F2" s="966"/>
    </row>
    <row r="3" spans="1:6" ht="15">
      <c r="A3" s="1416"/>
      <c r="B3" s="1416"/>
      <c r="C3" s="1416"/>
      <c r="D3" s="1416"/>
      <c r="E3" s="1416"/>
      <c r="F3" s="966"/>
    </row>
    <row r="4" spans="1:6" ht="15">
      <c r="A4" s="1416"/>
      <c r="B4" s="1416"/>
      <c r="C4" s="1416"/>
      <c r="D4" s="1416"/>
      <c r="E4" s="1416"/>
      <c r="F4" s="966"/>
    </row>
    <row r="5" spans="1:10" ht="15.75" thickBot="1">
      <c r="A5" s="1416"/>
      <c r="B5" s="1416"/>
      <c r="C5" s="1416"/>
      <c r="D5" s="1416"/>
      <c r="E5" s="1416"/>
      <c r="F5" s="1348"/>
      <c r="G5" s="1348"/>
      <c r="J5" s="1415" t="s">
        <v>748</v>
      </c>
    </row>
    <row r="6" spans="1:10" s="1417" customFormat="1" ht="18" customHeight="1" thickBot="1">
      <c r="A6" s="1761" t="s">
        <v>1056</v>
      </c>
      <c r="B6" s="1760" t="s">
        <v>998</v>
      </c>
      <c r="C6" s="1750" t="s">
        <v>999</v>
      </c>
      <c r="D6" s="1750" t="s">
        <v>1000</v>
      </c>
      <c r="E6" s="1750" t="s">
        <v>1001</v>
      </c>
      <c r="F6" s="1751"/>
      <c r="G6" s="1752" t="s">
        <v>1002</v>
      </c>
      <c r="H6" s="1753" t="s">
        <v>1049</v>
      </c>
      <c r="I6" s="1754"/>
      <c r="J6" s="1755"/>
    </row>
    <row r="7" spans="1:10" s="1419" customFormat="1" ht="48" customHeight="1" thickBot="1">
      <c r="A7" s="1762"/>
      <c r="B7" s="1762"/>
      <c r="C7" s="1762"/>
      <c r="D7" s="1762"/>
      <c r="E7" s="1407" t="s">
        <v>1003</v>
      </c>
      <c r="F7" s="1360" t="s">
        <v>1004</v>
      </c>
      <c r="G7" s="1752"/>
      <c r="H7" s="1418" t="s">
        <v>1050</v>
      </c>
      <c r="I7" s="1418" t="s">
        <v>1051</v>
      </c>
      <c r="J7" s="1418" t="s">
        <v>1052</v>
      </c>
    </row>
    <row r="8" spans="1:10" ht="49.5" customHeight="1" thickBot="1">
      <c r="A8" s="1349" t="s">
        <v>4</v>
      </c>
      <c r="B8" s="1350" t="s">
        <v>1005</v>
      </c>
      <c r="C8" s="1349" t="s">
        <v>1006</v>
      </c>
      <c r="D8" s="1351">
        <v>20000</v>
      </c>
      <c r="E8" s="1351">
        <v>0</v>
      </c>
      <c r="F8" s="1351">
        <v>20000</v>
      </c>
      <c r="G8" s="1352">
        <f>0+SUM(F8*0.06)/2</f>
        <v>600</v>
      </c>
      <c r="H8" s="1756">
        <v>80000</v>
      </c>
      <c r="I8" s="1756">
        <v>46223</v>
      </c>
      <c r="J8" s="1759">
        <v>44713</v>
      </c>
    </row>
    <row r="9" spans="1:10" ht="63" customHeight="1" thickBot="1">
      <c r="A9" s="1349" t="s">
        <v>5</v>
      </c>
      <c r="B9" s="1350" t="s">
        <v>1007</v>
      </c>
      <c r="C9" s="1349" t="s">
        <v>1006</v>
      </c>
      <c r="D9" s="1351">
        <v>60000</v>
      </c>
      <c r="E9" s="1351">
        <v>0</v>
      </c>
      <c r="F9" s="1351">
        <v>60000</v>
      </c>
      <c r="G9" s="1352">
        <f>0+SUM(F9*0.06)/2</f>
        <v>1800</v>
      </c>
      <c r="H9" s="1757"/>
      <c r="I9" s="1758"/>
      <c r="J9" s="1757"/>
    </row>
    <row r="10" spans="1:10" ht="22.5" customHeight="1" thickBot="1">
      <c r="A10" s="1349" t="s">
        <v>6</v>
      </c>
      <c r="B10" s="1350" t="s">
        <v>1008</v>
      </c>
      <c r="C10" s="1349" t="s">
        <v>1009</v>
      </c>
      <c r="D10" s="1351">
        <v>600000</v>
      </c>
      <c r="E10" s="1351">
        <v>400000</v>
      </c>
      <c r="F10" s="1351">
        <v>200000</v>
      </c>
      <c r="G10" s="1353">
        <f>10000+SUM(F10*0.06)/2</f>
        <v>16000</v>
      </c>
      <c r="H10" s="1353">
        <v>0</v>
      </c>
      <c r="I10" s="1353">
        <v>0</v>
      </c>
      <c r="J10" s="1412" t="s">
        <v>1053</v>
      </c>
    </row>
    <row r="11" spans="1:10" ht="48.75" customHeight="1" thickBot="1">
      <c r="A11" s="1349" t="s">
        <v>7</v>
      </c>
      <c r="B11" s="1350" t="s">
        <v>1010</v>
      </c>
      <c r="C11" s="1350" t="s">
        <v>1011</v>
      </c>
      <c r="D11" s="1351">
        <v>500000</v>
      </c>
      <c r="E11" s="1351">
        <v>200000</v>
      </c>
      <c r="F11" s="1351">
        <v>300000</v>
      </c>
      <c r="G11" s="1353">
        <f>15000+SUM(F11*0.06)/2</f>
        <v>24000</v>
      </c>
      <c r="H11" s="1353">
        <v>300000</v>
      </c>
      <c r="I11" s="1353">
        <v>150000</v>
      </c>
      <c r="J11" s="1413">
        <v>46174</v>
      </c>
    </row>
    <row r="12" spans="1:10" ht="22.5" customHeight="1" thickBot="1">
      <c r="A12" s="1349" t="s">
        <v>8</v>
      </c>
      <c r="B12" s="1350" t="s">
        <v>1012</v>
      </c>
      <c r="C12" s="1349" t="s">
        <v>1006</v>
      </c>
      <c r="D12" s="1351">
        <v>250000</v>
      </c>
      <c r="E12" s="1351">
        <v>200000</v>
      </c>
      <c r="F12" s="1351">
        <v>50000</v>
      </c>
      <c r="G12" s="1352">
        <f aca="true" t="shared" si="0" ref="G12:G17">0+SUM(F12*0.06)/4</f>
        <v>750</v>
      </c>
      <c r="H12" s="1353">
        <v>0</v>
      </c>
      <c r="I12" s="1353">
        <v>0</v>
      </c>
      <c r="J12" s="1414" t="s">
        <v>1053</v>
      </c>
    </row>
    <row r="13" spans="1:10" ht="33.75" customHeight="1" thickBot="1">
      <c r="A13" s="1349" t="s">
        <v>9</v>
      </c>
      <c r="B13" s="1350" t="s">
        <v>1055</v>
      </c>
      <c r="C13" s="1349" t="s">
        <v>1006</v>
      </c>
      <c r="D13" s="1351">
        <v>400000</v>
      </c>
      <c r="E13" s="1351">
        <v>320000</v>
      </c>
      <c r="F13" s="1351">
        <v>80000</v>
      </c>
      <c r="G13" s="1352">
        <f t="shared" si="0"/>
        <v>1200</v>
      </c>
      <c r="H13" s="1353">
        <v>0</v>
      </c>
      <c r="I13" s="1353">
        <v>0</v>
      </c>
      <c r="J13" s="1412" t="s">
        <v>1053</v>
      </c>
    </row>
    <row r="14" spans="1:10" ht="42" customHeight="1" thickBot="1">
      <c r="A14" s="1349" t="s">
        <v>10</v>
      </c>
      <c r="B14" s="1354" t="s">
        <v>1013</v>
      </c>
      <c r="C14" s="1355" t="s">
        <v>1006</v>
      </c>
      <c r="D14" s="1356">
        <v>800000</v>
      </c>
      <c r="E14" s="1356">
        <v>600000</v>
      </c>
      <c r="F14" s="1356">
        <v>200000</v>
      </c>
      <c r="G14" s="1352">
        <f t="shared" si="0"/>
        <v>3000</v>
      </c>
      <c r="H14" s="1353">
        <v>0</v>
      </c>
      <c r="I14" s="1353">
        <v>0</v>
      </c>
      <c r="J14" s="1412" t="s">
        <v>1053</v>
      </c>
    </row>
    <row r="15" spans="1:10" ht="49.5" customHeight="1" thickBot="1">
      <c r="A15" s="1349" t="s">
        <v>11</v>
      </c>
      <c r="B15" s="1350" t="s">
        <v>1014</v>
      </c>
      <c r="C15" s="1357" t="s">
        <v>1015</v>
      </c>
      <c r="D15" s="1351">
        <v>500000</v>
      </c>
      <c r="E15" s="1351">
        <v>400000</v>
      </c>
      <c r="F15" s="1351">
        <v>100000</v>
      </c>
      <c r="G15" s="1352">
        <f t="shared" si="0"/>
        <v>1500</v>
      </c>
      <c r="H15" s="1353">
        <v>0</v>
      </c>
      <c r="I15" s="1353">
        <v>0</v>
      </c>
      <c r="J15" s="1412" t="s">
        <v>1053</v>
      </c>
    </row>
    <row r="16" spans="1:10" ht="27.75" customHeight="1" thickBot="1">
      <c r="A16" s="1349" t="s">
        <v>12</v>
      </c>
      <c r="B16" s="1350" t="s">
        <v>1016</v>
      </c>
      <c r="C16" s="1358" t="s">
        <v>1017</v>
      </c>
      <c r="D16" s="1351">
        <v>100000</v>
      </c>
      <c r="E16" s="1351">
        <v>80000</v>
      </c>
      <c r="F16" s="1351">
        <v>20000</v>
      </c>
      <c r="G16" s="1352">
        <f t="shared" si="0"/>
        <v>300</v>
      </c>
      <c r="H16" s="1353">
        <v>0</v>
      </c>
      <c r="I16" s="1353">
        <v>0</v>
      </c>
      <c r="J16" s="1412" t="s">
        <v>1053</v>
      </c>
    </row>
    <row r="17" spans="1:10" ht="34.5" customHeight="1" thickBot="1">
      <c r="A17" s="1349" t="s">
        <v>731</v>
      </c>
      <c r="B17" s="1354" t="s">
        <v>1018</v>
      </c>
      <c r="C17" s="1350" t="s">
        <v>1054</v>
      </c>
      <c r="D17" s="1351">
        <v>200000</v>
      </c>
      <c r="E17" s="1351">
        <v>100000</v>
      </c>
      <c r="F17" s="1351">
        <v>100000</v>
      </c>
      <c r="G17" s="1352">
        <f t="shared" si="0"/>
        <v>1500</v>
      </c>
      <c r="H17" s="1353">
        <v>0</v>
      </c>
      <c r="I17" s="1353">
        <v>0</v>
      </c>
      <c r="J17" s="1412" t="s">
        <v>1053</v>
      </c>
    </row>
    <row r="18" spans="1:10" ht="35.25" customHeight="1" thickBot="1">
      <c r="A18" s="1760" t="s">
        <v>594</v>
      </c>
      <c r="B18" s="1760"/>
      <c r="C18" s="1359"/>
      <c r="D18" s="1360">
        <f aca="true" t="shared" si="1" ref="D18:I18">SUM(D8:D17)</f>
        <v>3430000</v>
      </c>
      <c r="E18" s="1361">
        <f t="shared" si="1"/>
        <v>2300000</v>
      </c>
      <c r="F18" s="1362">
        <f t="shared" si="1"/>
        <v>1130000</v>
      </c>
      <c r="G18" s="1363">
        <f t="shared" si="1"/>
        <v>50650</v>
      </c>
      <c r="H18" s="1363">
        <f t="shared" si="1"/>
        <v>380000</v>
      </c>
      <c r="I18" s="1363">
        <f t="shared" si="1"/>
        <v>196223</v>
      </c>
      <c r="J18" s="1412" t="s">
        <v>1053</v>
      </c>
    </row>
  </sheetData>
  <sheetProtection/>
  <mergeCells count="12">
    <mergeCell ref="A18:B18"/>
    <mergeCell ref="A6:A7"/>
    <mergeCell ref="B6:B7"/>
    <mergeCell ref="C6:C7"/>
    <mergeCell ref="D6:D7"/>
    <mergeCell ref="E1:J1"/>
    <mergeCell ref="E6:F6"/>
    <mergeCell ref="G6:G7"/>
    <mergeCell ref="H6:J6"/>
    <mergeCell ref="H8:H9"/>
    <mergeCell ref="I8:I9"/>
    <mergeCell ref="J8:J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N30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00390625" style="0" customWidth="1"/>
    <col min="2" max="2" width="45.375" style="0" customWidth="1"/>
    <col min="3" max="3" width="12.375" style="1157" customWidth="1"/>
    <col min="4" max="4" width="12.75390625" style="1157" customWidth="1"/>
    <col min="5" max="5" width="18.25390625" style="1124" customWidth="1"/>
    <col min="6" max="6" width="12.00390625" style="1157" customWidth="1"/>
    <col min="7" max="7" width="12.625" style="1157" customWidth="1"/>
    <col min="8" max="8" width="14.375" style="1157" customWidth="1"/>
    <col min="9" max="9" width="13.375" style="0" customWidth="1"/>
    <col min="11" max="11" width="14.75390625" style="0" customWidth="1"/>
    <col min="13" max="13" width="14.125" style="0" customWidth="1"/>
    <col min="14" max="14" width="13.875" style="0" customWidth="1"/>
  </cols>
  <sheetData>
    <row r="1" spans="6:9" ht="12.75">
      <c r="F1" s="1939" t="s">
        <v>1082</v>
      </c>
      <c r="G1" s="1939"/>
      <c r="H1" s="1939"/>
      <c r="I1" s="1939"/>
    </row>
    <row r="4" ht="12.75">
      <c r="I4" s="828" t="s">
        <v>925</v>
      </c>
    </row>
    <row r="5" spans="1:9" ht="12.75" customHeight="1">
      <c r="A5" s="1765" t="s">
        <v>926</v>
      </c>
      <c r="B5" s="1766"/>
      <c r="C5" s="1763" t="s">
        <v>333</v>
      </c>
      <c r="D5" s="1763" t="s">
        <v>534</v>
      </c>
      <c r="E5" s="1769" t="s">
        <v>159</v>
      </c>
      <c r="F5" s="1763" t="s">
        <v>160</v>
      </c>
      <c r="G5" s="1763" t="s">
        <v>60</v>
      </c>
      <c r="H5" s="1763" t="s">
        <v>334</v>
      </c>
      <c r="I5" s="1764" t="s">
        <v>18</v>
      </c>
    </row>
    <row r="6" spans="1:11" ht="40.5" customHeight="1">
      <c r="A6" s="1767"/>
      <c r="B6" s="1768"/>
      <c r="C6" s="1763"/>
      <c r="D6" s="1763"/>
      <c r="E6" s="1769"/>
      <c r="F6" s="1763"/>
      <c r="G6" s="1763"/>
      <c r="H6" s="1763"/>
      <c r="I6" s="1764"/>
      <c r="K6" s="818"/>
    </row>
    <row r="7" spans="1:11" ht="19.5" customHeight="1">
      <c r="A7" s="761" t="s">
        <v>335</v>
      </c>
      <c r="B7" s="762" t="s">
        <v>336</v>
      </c>
      <c r="C7" s="1050">
        <v>2158926608</v>
      </c>
      <c r="D7" s="1050">
        <v>12291366</v>
      </c>
      <c r="E7" s="1050">
        <v>104663101</v>
      </c>
      <c r="F7" s="1050">
        <v>1697140</v>
      </c>
      <c r="G7" s="1050">
        <v>1285166</v>
      </c>
      <c r="H7" s="1050">
        <v>4647384</v>
      </c>
      <c r="I7" s="763">
        <f>SUM(C7:H7)</f>
        <v>2283510765</v>
      </c>
      <c r="K7" s="818"/>
    </row>
    <row r="8" spans="1:11" ht="15.75" customHeight="1">
      <c r="A8" s="761" t="s">
        <v>337</v>
      </c>
      <c r="B8" s="762" t="s">
        <v>338</v>
      </c>
      <c r="C8" s="1050">
        <v>1275723003</v>
      </c>
      <c r="D8" s="1050">
        <v>240994497</v>
      </c>
      <c r="E8" s="1050">
        <v>239811742</v>
      </c>
      <c r="F8" s="1050">
        <v>232527204</v>
      </c>
      <c r="G8" s="1050">
        <v>36945459</v>
      </c>
      <c r="H8" s="1050">
        <v>39784197</v>
      </c>
      <c r="I8" s="763">
        <f>SUM(C8:H8)</f>
        <v>2065786102</v>
      </c>
      <c r="K8" s="818"/>
    </row>
    <row r="9" spans="1:9" ht="28.5" customHeight="1">
      <c r="A9" s="764" t="s">
        <v>339</v>
      </c>
      <c r="B9" s="765" t="s">
        <v>340</v>
      </c>
      <c r="C9" s="1158">
        <f aca="true" t="shared" si="0" ref="C9:I9">C7-C8</f>
        <v>883203605</v>
      </c>
      <c r="D9" s="1158">
        <f t="shared" si="0"/>
        <v>-228703131</v>
      </c>
      <c r="E9" s="1158">
        <f t="shared" si="0"/>
        <v>-135148641</v>
      </c>
      <c r="F9" s="1158">
        <f t="shared" si="0"/>
        <v>-230830064</v>
      </c>
      <c r="G9" s="1158">
        <f t="shared" si="0"/>
        <v>-35660293</v>
      </c>
      <c r="H9" s="1158">
        <f t="shared" si="0"/>
        <v>-35136813</v>
      </c>
      <c r="I9" s="766">
        <f t="shared" si="0"/>
        <v>217724663</v>
      </c>
    </row>
    <row r="10" spans="1:14" ht="18.75" customHeight="1">
      <c r="A10" s="761" t="s">
        <v>341</v>
      </c>
      <c r="B10" s="762" t="s">
        <v>342</v>
      </c>
      <c r="C10" s="1050">
        <v>5539359859</v>
      </c>
      <c r="D10" s="1050">
        <v>254787904</v>
      </c>
      <c r="E10" s="1050">
        <v>141956823</v>
      </c>
      <c r="F10" s="1050">
        <v>239937678</v>
      </c>
      <c r="G10" s="1050">
        <v>38130888</v>
      </c>
      <c r="H10" s="1050">
        <v>37230676</v>
      </c>
      <c r="I10" s="763">
        <f>SUM(C10:H10)</f>
        <v>6251403828</v>
      </c>
      <c r="K10" s="818"/>
      <c r="M10" s="818"/>
      <c r="N10" s="818"/>
    </row>
    <row r="11" spans="1:11" ht="18.75" customHeight="1">
      <c r="A11" s="761" t="s">
        <v>343</v>
      </c>
      <c r="B11" s="762" t="s">
        <v>344</v>
      </c>
      <c r="C11" s="1050">
        <v>6034586538</v>
      </c>
      <c r="D11" s="1050">
        <v>0</v>
      </c>
      <c r="E11" s="1050">
        <v>0</v>
      </c>
      <c r="F11" s="1050">
        <v>0</v>
      </c>
      <c r="G11" s="1050">
        <v>0</v>
      </c>
      <c r="H11" s="1050">
        <v>0</v>
      </c>
      <c r="I11" s="763">
        <f>SUM(C11:H11)</f>
        <v>6034586538</v>
      </c>
      <c r="K11" s="818"/>
    </row>
    <row r="12" spans="1:11" ht="29.25" customHeight="1">
      <c r="A12" s="764" t="s">
        <v>345</v>
      </c>
      <c r="B12" s="765" t="s">
        <v>346</v>
      </c>
      <c r="C12" s="1158">
        <f>C10-C11</f>
        <v>-495226679</v>
      </c>
      <c r="D12" s="1158">
        <f aca="true" t="shared" si="1" ref="D12:I12">D10-D11</f>
        <v>254787904</v>
      </c>
      <c r="E12" s="1158">
        <f t="shared" si="1"/>
        <v>141956823</v>
      </c>
      <c r="F12" s="1158">
        <f>F10-F11</f>
        <v>239937678</v>
      </c>
      <c r="G12" s="1158">
        <f t="shared" si="1"/>
        <v>38130888</v>
      </c>
      <c r="H12" s="1158">
        <f t="shared" si="1"/>
        <v>37230676</v>
      </c>
      <c r="I12" s="766">
        <f t="shared" si="1"/>
        <v>216817290</v>
      </c>
      <c r="K12" s="818"/>
    </row>
    <row r="13" spans="1:9" ht="17.25" customHeight="1">
      <c r="A13" s="767" t="s">
        <v>222</v>
      </c>
      <c r="B13" s="768" t="s">
        <v>347</v>
      </c>
      <c r="C13" s="1159">
        <f>C9+C12</f>
        <v>387976926</v>
      </c>
      <c r="D13" s="1159">
        <f aca="true" t="shared" si="2" ref="D13:I13">D9+D12</f>
        <v>26084773</v>
      </c>
      <c r="E13" s="1159">
        <f t="shared" si="2"/>
        <v>6808182</v>
      </c>
      <c r="F13" s="1159">
        <f t="shared" si="2"/>
        <v>9107614</v>
      </c>
      <c r="G13" s="1159">
        <f t="shared" si="2"/>
        <v>2470595</v>
      </c>
      <c r="H13" s="1159">
        <f t="shared" si="2"/>
        <v>2093863</v>
      </c>
      <c r="I13" s="763">
        <f t="shared" si="2"/>
        <v>434541953</v>
      </c>
    </row>
    <row r="14" spans="1:9" ht="21" customHeight="1">
      <c r="A14" s="761" t="s">
        <v>348</v>
      </c>
      <c r="B14" s="762" t="s">
        <v>349</v>
      </c>
      <c r="C14" s="1050"/>
      <c r="D14" s="1050"/>
      <c r="E14" s="1050"/>
      <c r="F14" s="1050"/>
      <c r="G14" s="1050"/>
      <c r="H14" s="1050"/>
      <c r="I14" s="763">
        <f>SUM(C14:H14)</f>
        <v>0</v>
      </c>
    </row>
    <row r="15" spans="1:9" ht="20.25" customHeight="1">
      <c r="A15" s="761" t="s">
        <v>350</v>
      </c>
      <c r="B15" s="762" t="s">
        <v>351</v>
      </c>
      <c r="C15" s="1050"/>
      <c r="D15" s="1050"/>
      <c r="E15" s="1050"/>
      <c r="F15" s="1050"/>
      <c r="G15" s="1050"/>
      <c r="H15" s="1050"/>
      <c r="I15" s="763">
        <f>SUM(C15:H15)</f>
        <v>0</v>
      </c>
    </row>
    <row r="16" spans="1:9" ht="31.5" customHeight="1">
      <c r="A16" s="764" t="s">
        <v>352</v>
      </c>
      <c r="B16" s="765" t="s">
        <v>353</v>
      </c>
      <c r="C16" s="1158">
        <f>C14-C15</f>
        <v>0</v>
      </c>
      <c r="D16" s="1158">
        <f aca="true" t="shared" si="3" ref="D16:I16">D14-D15</f>
        <v>0</v>
      </c>
      <c r="E16" s="1158">
        <f t="shared" si="3"/>
        <v>0</v>
      </c>
      <c r="F16" s="1158">
        <f t="shared" si="3"/>
        <v>0</v>
      </c>
      <c r="G16" s="1158">
        <f t="shared" si="3"/>
        <v>0</v>
      </c>
      <c r="H16" s="1158">
        <f t="shared" si="3"/>
        <v>0</v>
      </c>
      <c r="I16" s="766">
        <f t="shared" si="3"/>
        <v>0</v>
      </c>
    </row>
    <row r="17" spans="1:11" ht="26.25" customHeight="1">
      <c r="A17" s="761" t="s">
        <v>354</v>
      </c>
      <c r="B17" s="762" t="s">
        <v>355</v>
      </c>
      <c r="C17" s="1050"/>
      <c r="D17" s="1050"/>
      <c r="E17" s="1050"/>
      <c r="F17" s="1050"/>
      <c r="G17" s="1050"/>
      <c r="H17" s="1050"/>
      <c r="I17" s="763">
        <f>SUM(C17:H17)</f>
        <v>0</v>
      </c>
      <c r="K17" s="818"/>
    </row>
    <row r="18" spans="1:9" ht="21" customHeight="1">
      <c r="A18" s="761" t="s">
        <v>356</v>
      </c>
      <c r="B18" s="762" t="s">
        <v>357</v>
      </c>
      <c r="C18" s="1050"/>
      <c r="D18" s="1050"/>
      <c r="E18" s="1050"/>
      <c r="F18" s="1050"/>
      <c r="G18" s="1050"/>
      <c r="H18" s="1050"/>
      <c r="I18" s="763">
        <f>SUM(C18:H18)</f>
        <v>0</v>
      </c>
    </row>
    <row r="19" spans="1:9" ht="30.75" customHeight="1">
      <c r="A19" s="764" t="s">
        <v>358</v>
      </c>
      <c r="B19" s="765" t="s">
        <v>359</v>
      </c>
      <c r="C19" s="1158">
        <f>C17-C18</f>
        <v>0</v>
      </c>
      <c r="D19" s="1158">
        <f aca="true" t="shared" si="4" ref="D19:I19">D17-D18</f>
        <v>0</v>
      </c>
      <c r="E19" s="1158">
        <f t="shared" si="4"/>
        <v>0</v>
      </c>
      <c r="F19" s="1158">
        <f t="shared" si="4"/>
        <v>0</v>
      </c>
      <c r="G19" s="1158">
        <f t="shared" si="4"/>
        <v>0</v>
      </c>
      <c r="H19" s="1158">
        <f t="shared" si="4"/>
        <v>0</v>
      </c>
      <c r="I19" s="766">
        <f t="shared" si="4"/>
        <v>0</v>
      </c>
    </row>
    <row r="20" spans="1:9" ht="32.25" customHeight="1">
      <c r="A20" s="767" t="s">
        <v>225</v>
      </c>
      <c r="B20" s="768" t="s">
        <v>360</v>
      </c>
      <c r="C20" s="1159">
        <f>C16+C19</f>
        <v>0</v>
      </c>
      <c r="D20" s="1159">
        <f aca="true" t="shared" si="5" ref="D20:I20">D16+D19</f>
        <v>0</v>
      </c>
      <c r="E20" s="1159">
        <f t="shared" si="5"/>
        <v>0</v>
      </c>
      <c r="F20" s="1159">
        <f t="shared" si="5"/>
        <v>0</v>
      </c>
      <c r="G20" s="1159">
        <f t="shared" si="5"/>
        <v>0</v>
      </c>
      <c r="H20" s="1159">
        <f t="shared" si="5"/>
        <v>0</v>
      </c>
      <c r="I20" s="763">
        <f t="shared" si="5"/>
        <v>0</v>
      </c>
    </row>
    <row r="21" spans="1:13" ht="19.5" customHeight="1">
      <c r="A21" s="767" t="s">
        <v>361</v>
      </c>
      <c r="B21" s="768" t="s">
        <v>362</v>
      </c>
      <c r="C21" s="763">
        <f>C13+C20</f>
        <v>387976926</v>
      </c>
      <c r="D21" s="763">
        <f aca="true" t="shared" si="6" ref="D21:I21">D13+D20</f>
        <v>26084773</v>
      </c>
      <c r="E21" s="763">
        <f t="shared" si="6"/>
        <v>6808182</v>
      </c>
      <c r="F21" s="763">
        <f t="shared" si="6"/>
        <v>9107614</v>
      </c>
      <c r="G21" s="763">
        <f t="shared" si="6"/>
        <v>2470595</v>
      </c>
      <c r="H21" s="763">
        <f t="shared" si="6"/>
        <v>2093863</v>
      </c>
      <c r="I21" s="763">
        <f t="shared" si="6"/>
        <v>434541953</v>
      </c>
      <c r="M21" s="818"/>
    </row>
    <row r="22" spans="1:12" ht="30.75" customHeight="1">
      <c r="A22" s="769" t="s">
        <v>363</v>
      </c>
      <c r="B22" s="762" t="s">
        <v>364</v>
      </c>
      <c r="C22" s="1050">
        <v>143146355</v>
      </c>
      <c r="D22" s="1050">
        <v>0</v>
      </c>
      <c r="E22" s="1050">
        <v>704300</v>
      </c>
      <c r="F22" s="1050">
        <v>2599993</v>
      </c>
      <c r="G22" s="1050">
        <v>1153379</v>
      </c>
      <c r="H22" s="1050">
        <v>803129</v>
      </c>
      <c r="I22" s="763">
        <f>SUM(C22:H22)</f>
        <v>148407156</v>
      </c>
      <c r="K22" s="818"/>
      <c r="L22" s="818"/>
    </row>
    <row r="23" spans="1:11" ht="21" customHeight="1">
      <c r="A23" s="769" t="s">
        <v>365</v>
      </c>
      <c r="B23" s="762" t="s">
        <v>366</v>
      </c>
      <c r="C23" s="1050">
        <f>C13-C22</f>
        <v>244830571</v>
      </c>
      <c r="D23" s="1050">
        <f aca="true" t="shared" si="7" ref="D23:I23">D13-D22</f>
        <v>26084773</v>
      </c>
      <c r="E23" s="1050">
        <f t="shared" si="7"/>
        <v>6103882</v>
      </c>
      <c r="F23" s="1050">
        <f t="shared" si="7"/>
        <v>6507621</v>
      </c>
      <c r="G23" s="1050">
        <f t="shared" si="7"/>
        <v>1317216</v>
      </c>
      <c r="H23" s="1050">
        <f t="shared" si="7"/>
        <v>1290734</v>
      </c>
      <c r="I23" s="763">
        <f t="shared" si="7"/>
        <v>286134797</v>
      </c>
      <c r="K23" s="818"/>
    </row>
    <row r="24" spans="1:11" ht="28.5" customHeight="1">
      <c r="A24" s="769" t="s">
        <v>367</v>
      </c>
      <c r="B24" s="762" t="s">
        <v>368</v>
      </c>
      <c r="C24" s="1050">
        <f>C20*0.1</f>
        <v>0</v>
      </c>
      <c r="D24" s="1050">
        <f aca="true" t="shared" si="8" ref="D24:I24">D20*0.1</f>
        <v>0</v>
      </c>
      <c r="E24" s="1050">
        <f t="shared" si="8"/>
        <v>0</v>
      </c>
      <c r="F24" s="1050">
        <f t="shared" si="8"/>
        <v>0</v>
      </c>
      <c r="G24" s="1050">
        <f t="shared" si="8"/>
        <v>0</v>
      </c>
      <c r="H24" s="1050">
        <f t="shared" si="8"/>
        <v>0</v>
      </c>
      <c r="I24" s="763">
        <f t="shared" si="8"/>
        <v>0</v>
      </c>
      <c r="K24" s="818"/>
    </row>
    <row r="25" spans="1:9" ht="27" customHeight="1">
      <c r="A25" s="769" t="s">
        <v>369</v>
      </c>
      <c r="B25" s="762" t="s">
        <v>370</v>
      </c>
      <c r="C25" s="1050">
        <f>C20-C24</f>
        <v>0</v>
      </c>
      <c r="D25" s="1050">
        <f aca="true" t="shared" si="9" ref="D25:I25">D20-D24</f>
        <v>0</v>
      </c>
      <c r="E25" s="1125">
        <f t="shared" si="9"/>
        <v>0</v>
      </c>
      <c r="F25" s="1050">
        <f t="shared" si="9"/>
        <v>0</v>
      </c>
      <c r="G25" s="1050">
        <f t="shared" si="9"/>
        <v>0</v>
      </c>
      <c r="H25" s="1050">
        <f t="shared" si="9"/>
        <v>0</v>
      </c>
      <c r="I25" s="763">
        <f t="shared" si="9"/>
        <v>0</v>
      </c>
    </row>
    <row r="28" spans="2:9" ht="12.75">
      <c r="B28" s="1071"/>
      <c r="I28" s="818"/>
    </row>
    <row r="29" spans="4:9" ht="12.75">
      <c r="D29" s="1160"/>
      <c r="I29" s="818"/>
    </row>
    <row r="30" ht="12.75">
      <c r="I30" s="818"/>
    </row>
  </sheetData>
  <sheetProtection/>
  <mergeCells count="9">
    <mergeCell ref="F1:I1"/>
    <mergeCell ref="G5:G6"/>
    <mergeCell ref="H5:H6"/>
    <mergeCell ref="I5:I6"/>
    <mergeCell ref="A5:B6"/>
    <mergeCell ref="C5:C6"/>
    <mergeCell ref="D5:D6"/>
    <mergeCell ref="E5:E6"/>
    <mergeCell ref="F5:F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G1" sqref="G1:K1"/>
    </sheetView>
  </sheetViews>
  <sheetFormatPr defaultColWidth="9.00390625" defaultRowHeight="12.75"/>
  <cols>
    <col min="1" max="1" width="37.625" style="823" customWidth="1"/>
    <col min="2" max="2" width="9.375" style="1160" customWidth="1"/>
    <col min="3" max="3" width="9.875" style="1160" customWidth="1"/>
    <col min="4" max="4" width="10.375" style="1160" customWidth="1"/>
    <col min="5" max="5" width="10.00390625" style="1160" customWidth="1"/>
    <col min="6" max="6" width="7.125" style="1160" customWidth="1"/>
    <col min="7" max="7" width="10.375" style="829" customWidth="1"/>
    <col min="8" max="8" width="12.25390625" style="1160" customWidth="1"/>
    <col min="9" max="9" width="9.125" style="1160" customWidth="1"/>
    <col min="10" max="10" width="10.125" style="829" customWidth="1"/>
    <col min="11" max="11" width="11.625" style="829" customWidth="1"/>
    <col min="12" max="13" width="12.125" style="0" customWidth="1"/>
    <col min="14" max="14" width="9.875" style="0" bestFit="1" customWidth="1"/>
  </cols>
  <sheetData>
    <row r="1" spans="7:11" ht="15.75" customHeight="1">
      <c r="G1" s="1941" t="s">
        <v>1083</v>
      </c>
      <c r="H1" s="1940"/>
      <c r="I1" s="1940"/>
      <c r="J1" s="1940"/>
      <c r="K1" s="1940"/>
    </row>
    <row r="2" ht="16.5" customHeight="1">
      <c r="K2" s="830" t="s">
        <v>540</v>
      </c>
    </row>
    <row r="3" spans="1:11" s="824" customFormat="1" ht="58.5" customHeight="1">
      <c r="A3" s="822" t="s">
        <v>924</v>
      </c>
      <c r="B3" s="1161" t="s">
        <v>541</v>
      </c>
      <c r="C3" s="1161" t="s">
        <v>542</v>
      </c>
      <c r="D3" s="1161" t="s">
        <v>543</v>
      </c>
      <c r="E3" s="1161" t="s">
        <v>549</v>
      </c>
      <c r="F3" s="1161" t="s">
        <v>1026</v>
      </c>
      <c r="G3" s="831" t="s">
        <v>544</v>
      </c>
      <c r="H3" s="1161" t="s">
        <v>548</v>
      </c>
      <c r="I3" s="1161" t="s">
        <v>546</v>
      </c>
      <c r="J3" s="831" t="s">
        <v>547</v>
      </c>
      <c r="K3" s="831" t="s">
        <v>545</v>
      </c>
    </row>
    <row r="4" spans="1:11" ht="30" customHeight="1">
      <c r="A4" s="762" t="s">
        <v>159</v>
      </c>
      <c r="B4" s="1340"/>
      <c r="C4" s="1340"/>
      <c r="D4" s="1050">
        <v>704300</v>
      </c>
      <c r="E4" s="1050">
        <v>0</v>
      </c>
      <c r="F4" s="1050"/>
      <c r="G4" s="827">
        <f aca="true" t="shared" si="0" ref="G4:G9">SUM(B4:F4)</f>
        <v>704300</v>
      </c>
      <c r="H4" s="1050"/>
      <c r="I4" s="1050"/>
      <c r="J4" s="827">
        <f>SUM(H4:I4)</f>
        <v>0</v>
      </c>
      <c r="K4" s="827">
        <f>G4+J4</f>
        <v>704300</v>
      </c>
    </row>
    <row r="5" spans="1:14" ht="16.5" customHeight="1">
      <c r="A5" s="762" t="s">
        <v>160</v>
      </c>
      <c r="B5" s="1050">
        <v>1551000</v>
      </c>
      <c r="C5" s="1050">
        <v>341221</v>
      </c>
      <c r="D5" s="1050">
        <v>707772</v>
      </c>
      <c r="E5" s="1050">
        <v>0</v>
      </c>
      <c r="F5" s="1050"/>
      <c r="G5" s="827">
        <f t="shared" si="0"/>
        <v>2599993</v>
      </c>
      <c r="H5" s="1050"/>
      <c r="I5" s="1050"/>
      <c r="J5" s="827">
        <f aca="true" t="shared" si="1" ref="J5:J24">SUM(H5:I5)</f>
        <v>0</v>
      </c>
      <c r="K5" s="827">
        <f aca="true" t="shared" si="2" ref="K5:K32">G5+J5</f>
        <v>2599993</v>
      </c>
      <c r="N5" s="818"/>
    </row>
    <row r="6" spans="1:11" ht="16.5" customHeight="1">
      <c r="A6" s="762" t="s">
        <v>60</v>
      </c>
      <c r="B6" s="1050"/>
      <c r="C6" s="1050">
        <v>0</v>
      </c>
      <c r="D6" s="1050">
        <v>1153379</v>
      </c>
      <c r="E6" s="1050">
        <v>0</v>
      </c>
      <c r="F6" s="1050"/>
      <c r="G6" s="827">
        <f t="shared" si="0"/>
        <v>1153379</v>
      </c>
      <c r="H6" s="1050"/>
      <c r="I6" s="1050"/>
      <c r="J6" s="827">
        <f t="shared" si="1"/>
        <v>0</v>
      </c>
      <c r="K6" s="827">
        <f t="shared" si="2"/>
        <v>1153379</v>
      </c>
    </row>
    <row r="7" spans="1:11" ht="16.5" customHeight="1">
      <c r="A7" s="762" t="s">
        <v>316</v>
      </c>
      <c r="B7" s="1050">
        <v>0</v>
      </c>
      <c r="C7" s="1050">
        <v>67043</v>
      </c>
      <c r="D7" s="1050">
        <v>736086</v>
      </c>
      <c r="E7" s="1050">
        <v>0</v>
      </c>
      <c r="F7" s="1050"/>
      <c r="G7" s="827">
        <f t="shared" si="0"/>
        <v>803129</v>
      </c>
      <c r="H7" s="1050"/>
      <c r="I7" s="1050"/>
      <c r="J7" s="827">
        <f t="shared" si="1"/>
        <v>0</v>
      </c>
      <c r="K7" s="827">
        <f t="shared" si="2"/>
        <v>803129</v>
      </c>
    </row>
    <row r="8" spans="1:18" s="1009" customFormat="1" ht="16.5" customHeight="1">
      <c r="A8" s="1007" t="s">
        <v>552</v>
      </c>
      <c r="B8" s="1008">
        <f>SUM(B4:B7)</f>
        <v>1551000</v>
      </c>
      <c r="C8" s="1008">
        <f>SUM(C4:C7)</f>
        <v>408264</v>
      </c>
      <c r="D8" s="1008">
        <f>SUM(D4:D7)</f>
        <v>3301537</v>
      </c>
      <c r="E8" s="1008">
        <f>SUM(E4:E7)</f>
        <v>0</v>
      </c>
      <c r="F8" s="1008">
        <f>SUM(F4:F7)</f>
        <v>0</v>
      </c>
      <c r="G8" s="1008">
        <f t="shared" si="0"/>
        <v>5260801</v>
      </c>
      <c r="H8" s="1008">
        <f>SUM(H4:H7)</f>
        <v>0</v>
      </c>
      <c r="I8" s="1008">
        <f>SUM(I4:I7)</f>
        <v>0</v>
      </c>
      <c r="J8" s="1008">
        <f t="shared" si="1"/>
        <v>0</v>
      </c>
      <c r="K8" s="1008">
        <f t="shared" si="2"/>
        <v>5260801</v>
      </c>
      <c r="N8" s="1010"/>
      <c r="R8" s="1010"/>
    </row>
    <row r="9" spans="1:11" s="1009" customFormat="1" ht="16.5" customHeight="1">
      <c r="A9" s="1007" t="s">
        <v>534</v>
      </c>
      <c r="B9" s="1008"/>
      <c r="C9" s="1008"/>
      <c r="D9" s="1008"/>
      <c r="E9" s="1008">
        <v>0</v>
      </c>
      <c r="F9" s="1008"/>
      <c r="G9" s="1008">
        <f t="shared" si="0"/>
        <v>0</v>
      </c>
      <c r="H9" s="1008"/>
      <c r="I9" s="1008"/>
      <c r="J9" s="1008">
        <f t="shared" si="1"/>
        <v>0</v>
      </c>
      <c r="K9" s="1008">
        <f t="shared" si="2"/>
        <v>0</v>
      </c>
    </row>
    <row r="10" spans="1:11" ht="16.5" customHeight="1">
      <c r="A10" s="1770" t="s">
        <v>638</v>
      </c>
      <c r="B10" s="1771"/>
      <c r="C10" s="1771"/>
      <c r="D10" s="1771"/>
      <c r="E10" s="1771"/>
      <c r="F10" s="1771"/>
      <c r="G10" s="1771"/>
      <c r="H10" s="1771"/>
      <c r="I10" s="1771"/>
      <c r="J10" s="1771"/>
      <c r="K10" s="1772"/>
    </row>
    <row r="11" spans="1:11" ht="16.5" customHeight="1">
      <c r="A11" s="1372" t="s">
        <v>177</v>
      </c>
      <c r="B11" s="1125"/>
      <c r="C11" s="1125"/>
      <c r="D11" s="1125">
        <f>29500-171</f>
        <v>29329</v>
      </c>
      <c r="E11" s="1125"/>
      <c r="F11" s="1125"/>
      <c r="G11" s="1373">
        <f>SUM(B11:F11)</f>
        <v>29329</v>
      </c>
      <c r="H11" s="1125">
        <f>18706846+5746385</f>
        <v>24453231</v>
      </c>
      <c r="I11" s="1125"/>
      <c r="J11" s="1373">
        <f>SUM(H11:I11)</f>
        <v>24453231</v>
      </c>
      <c r="K11" s="1373">
        <f t="shared" si="2"/>
        <v>24482560</v>
      </c>
    </row>
    <row r="12" spans="1:11" ht="15" customHeight="1">
      <c r="A12" s="1372" t="s">
        <v>1</v>
      </c>
      <c r="B12" s="1125"/>
      <c r="C12" s="1125"/>
      <c r="D12" s="1125"/>
      <c r="E12" s="1125"/>
      <c r="F12" s="1125"/>
      <c r="G12" s="1373">
        <f aca="true" t="shared" si="3" ref="G12:G32">SUM(B12:F12)</f>
        <v>0</v>
      </c>
      <c r="H12" s="1125">
        <f>11336319+9945189</f>
        <v>21281508</v>
      </c>
      <c r="I12" s="1125"/>
      <c r="J12" s="1373">
        <f t="shared" si="1"/>
        <v>21281508</v>
      </c>
      <c r="K12" s="1373">
        <f t="shared" si="2"/>
        <v>21281508</v>
      </c>
    </row>
    <row r="13" spans="1:11" ht="17.25" customHeight="1">
      <c r="A13" s="1372" t="s">
        <v>200</v>
      </c>
      <c r="B13" s="1125"/>
      <c r="C13" s="1125"/>
      <c r="D13" s="1125">
        <v>5160298</v>
      </c>
      <c r="E13" s="1125"/>
      <c r="F13" s="1125"/>
      <c r="G13" s="1373">
        <f t="shared" si="3"/>
        <v>5160298</v>
      </c>
      <c r="H13" s="1125"/>
      <c r="I13" s="1125"/>
      <c r="J13" s="1373">
        <f t="shared" si="1"/>
        <v>0</v>
      </c>
      <c r="K13" s="1373">
        <f t="shared" si="2"/>
        <v>5160298</v>
      </c>
    </row>
    <row r="14" spans="1:11" ht="16.5" customHeight="1">
      <c r="A14" s="1372" t="s">
        <v>1021</v>
      </c>
      <c r="B14" s="1125"/>
      <c r="C14" s="1125"/>
      <c r="D14" s="1125">
        <f>133098+289125-2370-2+1601000+73990</f>
        <v>2094841</v>
      </c>
      <c r="E14" s="1125"/>
      <c r="F14" s="1125"/>
      <c r="G14" s="1373">
        <f t="shared" si="3"/>
        <v>2094841</v>
      </c>
      <c r="H14" s="1125">
        <f>558800</f>
        <v>558800</v>
      </c>
      <c r="I14" s="1125"/>
      <c r="J14" s="1373">
        <f t="shared" si="1"/>
        <v>558800</v>
      </c>
      <c r="K14" s="1373">
        <f t="shared" si="2"/>
        <v>2653641</v>
      </c>
    </row>
    <row r="15" spans="1:11" ht="65.25" customHeight="1">
      <c r="A15" s="1372" t="s">
        <v>176</v>
      </c>
      <c r="B15" s="1125"/>
      <c r="C15" s="1125"/>
      <c r="D15" s="1125">
        <f>2841123</f>
        <v>2841123</v>
      </c>
      <c r="E15" s="1125"/>
      <c r="F15" s="1125"/>
      <c r="G15" s="1373">
        <f t="shared" si="3"/>
        <v>2841123</v>
      </c>
      <c r="H15" s="1125"/>
      <c r="I15" s="1125"/>
      <c r="J15" s="1373">
        <f t="shared" si="1"/>
        <v>0</v>
      </c>
      <c r="K15" s="1373">
        <f t="shared" si="2"/>
        <v>2841123</v>
      </c>
    </row>
    <row r="16" spans="1:11" ht="27" customHeight="1">
      <c r="A16" s="1372" t="s">
        <v>327</v>
      </c>
      <c r="B16" s="1125"/>
      <c r="C16" s="1125"/>
      <c r="D16" s="1125"/>
      <c r="E16" s="1125"/>
      <c r="F16" s="1125"/>
      <c r="G16" s="1373">
        <f t="shared" si="3"/>
        <v>0</v>
      </c>
      <c r="H16" s="1125">
        <v>680104</v>
      </c>
      <c r="I16" s="1125"/>
      <c r="J16" s="1373">
        <f t="shared" si="1"/>
        <v>680104</v>
      </c>
      <c r="K16" s="1373">
        <f t="shared" si="2"/>
        <v>680104</v>
      </c>
    </row>
    <row r="17" spans="1:11" ht="16.5" customHeight="1">
      <c r="A17" s="1372" t="s">
        <v>639</v>
      </c>
      <c r="B17" s="1125"/>
      <c r="C17" s="1125"/>
      <c r="D17" s="1125">
        <v>387576</v>
      </c>
      <c r="E17" s="1125"/>
      <c r="F17" s="1125"/>
      <c r="G17" s="1373">
        <f t="shared" si="3"/>
        <v>387576</v>
      </c>
      <c r="H17" s="1125"/>
      <c r="I17" s="1125"/>
      <c r="J17" s="1373">
        <f t="shared" si="1"/>
        <v>0</v>
      </c>
      <c r="K17" s="1373">
        <f t="shared" si="2"/>
        <v>387576</v>
      </c>
    </row>
    <row r="18" spans="1:11" ht="27" customHeight="1">
      <c r="A18" s="1372" t="s">
        <v>72</v>
      </c>
      <c r="B18" s="1125"/>
      <c r="C18" s="1125"/>
      <c r="D18" s="1125">
        <v>64298</v>
      </c>
      <c r="E18" s="1125"/>
      <c r="F18" s="1125"/>
      <c r="G18" s="1373">
        <f t="shared" si="3"/>
        <v>64298</v>
      </c>
      <c r="H18" s="1125"/>
      <c r="I18" s="1125"/>
      <c r="J18" s="1373">
        <f t="shared" si="1"/>
        <v>0</v>
      </c>
      <c r="K18" s="1373">
        <f t="shared" si="2"/>
        <v>64298</v>
      </c>
    </row>
    <row r="19" spans="1:11" ht="18" customHeight="1">
      <c r="A19" s="1372" t="s">
        <v>68</v>
      </c>
      <c r="B19" s="1125"/>
      <c r="C19" s="1125"/>
      <c r="D19" s="1125">
        <f>-2+630221+60580-392-5374-279094+52692-42980+99060-2-6-138</f>
        <v>514565</v>
      </c>
      <c r="E19" s="1125"/>
      <c r="F19" s="1125"/>
      <c r="G19" s="1373">
        <f t="shared" si="3"/>
        <v>514565</v>
      </c>
      <c r="H19" s="1125">
        <f>3670300+135000-135000</f>
        <v>3670300</v>
      </c>
      <c r="I19" s="1125"/>
      <c r="J19" s="1373">
        <f t="shared" si="1"/>
        <v>3670300</v>
      </c>
      <c r="K19" s="1373">
        <f t="shared" si="2"/>
        <v>4184865</v>
      </c>
    </row>
    <row r="20" spans="1:11" ht="13.5" customHeight="1">
      <c r="A20" s="1372" t="s">
        <v>53</v>
      </c>
      <c r="B20" s="1125"/>
      <c r="C20" s="1125"/>
      <c r="D20" s="1125">
        <v>319821</v>
      </c>
      <c r="E20" s="1125"/>
      <c r="F20" s="1125"/>
      <c r="G20" s="1373">
        <f t="shared" si="3"/>
        <v>319821</v>
      </c>
      <c r="H20" s="1125"/>
      <c r="I20" s="1125"/>
      <c r="J20" s="1373">
        <f t="shared" si="1"/>
        <v>0</v>
      </c>
      <c r="K20" s="1373">
        <f t="shared" si="2"/>
        <v>319821</v>
      </c>
    </row>
    <row r="21" spans="1:11" ht="27" customHeight="1">
      <c r="A21" s="1372" t="s">
        <v>81</v>
      </c>
      <c r="B21" s="1125"/>
      <c r="C21" s="1125"/>
      <c r="D21" s="1125">
        <f>1109032+126995</f>
        <v>1236027</v>
      </c>
      <c r="E21" s="1125"/>
      <c r="F21" s="1125"/>
      <c r="G21" s="1373">
        <f t="shared" si="3"/>
        <v>1236027</v>
      </c>
      <c r="H21" s="1125">
        <f>11373612+3775551</f>
        <v>15149163</v>
      </c>
      <c r="I21" s="1125"/>
      <c r="J21" s="1373">
        <f t="shared" si="1"/>
        <v>15149163</v>
      </c>
      <c r="K21" s="1373">
        <f t="shared" si="2"/>
        <v>16385190</v>
      </c>
    </row>
    <row r="22" spans="1:11" ht="16.5" customHeight="1">
      <c r="A22" s="1372" t="s">
        <v>864</v>
      </c>
      <c r="B22" s="1125"/>
      <c r="C22" s="1125"/>
      <c r="D22" s="1125"/>
      <c r="E22" s="1125"/>
      <c r="F22" s="1125"/>
      <c r="G22" s="1373">
        <f t="shared" si="3"/>
        <v>0</v>
      </c>
      <c r="H22" s="1125">
        <f>3784969+8880163</f>
        <v>12665132</v>
      </c>
      <c r="I22" s="1125"/>
      <c r="J22" s="1373">
        <f t="shared" si="1"/>
        <v>12665132</v>
      </c>
      <c r="K22" s="1373">
        <f t="shared" si="2"/>
        <v>12665132</v>
      </c>
    </row>
    <row r="23" spans="1:11" ht="28.5" customHeight="1">
      <c r="A23" s="1372" t="s">
        <v>1022</v>
      </c>
      <c r="B23" s="1125"/>
      <c r="C23" s="1125"/>
      <c r="D23" s="1125">
        <f>5715000+7760000</f>
        <v>13475000</v>
      </c>
      <c r="E23" s="1125"/>
      <c r="F23" s="1125"/>
      <c r="G23" s="1373">
        <f t="shared" si="3"/>
        <v>13475000</v>
      </c>
      <c r="H23" s="1125"/>
      <c r="I23" s="1125"/>
      <c r="J23" s="1373">
        <f t="shared" si="1"/>
        <v>0</v>
      </c>
      <c r="K23" s="1373">
        <f t="shared" si="2"/>
        <v>13475000</v>
      </c>
    </row>
    <row r="24" spans="1:11" ht="25.5" customHeight="1">
      <c r="A24" s="1372" t="s">
        <v>861</v>
      </c>
      <c r="B24" s="1125"/>
      <c r="C24" s="1125"/>
      <c r="D24" s="1125"/>
      <c r="E24" s="1125"/>
      <c r="F24" s="1125"/>
      <c r="G24" s="1373">
        <f t="shared" si="3"/>
        <v>0</v>
      </c>
      <c r="H24" s="1125">
        <v>1714564</v>
      </c>
      <c r="I24" s="1125"/>
      <c r="J24" s="1373">
        <f t="shared" si="1"/>
        <v>1714564</v>
      </c>
      <c r="K24" s="1373">
        <f t="shared" si="2"/>
        <v>1714564</v>
      </c>
    </row>
    <row r="25" spans="1:11" ht="14.25" customHeight="1">
      <c r="A25" s="1372" t="s">
        <v>1023</v>
      </c>
      <c r="B25" s="1125"/>
      <c r="C25" s="1125"/>
      <c r="D25" s="1125"/>
      <c r="E25" s="1125">
        <v>13293448</v>
      </c>
      <c r="F25" s="1125"/>
      <c r="G25" s="1373">
        <f t="shared" si="3"/>
        <v>13293448</v>
      </c>
      <c r="H25" s="1125"/>
      <c r="I25" s="1125"/>
      <c r="J25" s="1373">
        <f aca="true" t="shared" si="4" ref="J25:J32">SUM(H25:I25)</f>
        <v>0</v>
      </c>
      <c r="K25" s="1373">
        <f>G25+J25</f>
        <v>13293448</v>
      </c>
    </row>
    <row r="26" spans="1:11" ht="26.25" customHeight="1">
      <c r="A26" s="1372" t="s">
        <v>733</v>
      </c>
      <c r="B26" s="1125"/>
      <c r="C26" s="1125"/>
      <c r="D26" s="1125"/>
      <c r="E26" s="1125">
        <v>17107324</v>
      </c>
      <c r="F26" s="1125"/>
      <c r="G26" s="1373">
        <f t="shared" si="3"/>
        <v>17107324</v>
      </c>
      <c r="H26" s="1125"/>
      <c r="I26" s="1125"/>
      <c r="J26" s="1373">
        <f t="shared" si="4"/>
        <v>0</v>
      </c>
      <c r="K26" s="1373">
        <f t="shared" si="2"/>
        <v>17107324</v>
      </c>
    </row>
    <row r="27" spans="1:11" ht="13.5" customHeight="1">
      <c r="A27" s="1372" t="s">
        <v>104</v>
      </c>
      <c r="B27" s="1125"/>
      <c r="C27" s="1125"/>
      <c r="D27" s="1125">
        <v>304800</v>
      </c>
      <c r="E27" s="1125"/>
      <c r="F27" s="1125"/>
      <c r="G27" s="1373">
        <f t="shared" si="3"/>
        <v>304800</v>
      </c>
      <c r="H27" s="1125"/>
      <c r="I27" s="1125"/>
      <c r="J27" s="1373">
        <f t="shared" si="4"/>
        <v>0</v>
      </c>
      <c r="K27" s="1373">
        <f t="shared" si="2"/>
        <v>304800</v>
      </c>
    </row>
    <row r="28" spans="1:11" ht="19.5" customHeight="1">
      <c r="A28" s="1372" t="s">
        <v>1024</v>
      </c>
      <c r="B28" s="1125"/>
      <c r="C28" s="1125"/>
      <c r="D28" s="1125">
        <f>1198582+70995</f>
        <v>1269577</v>
      </c>
      <c r="E28" s="1125"/>
      <c r="F28" s="1125"/>
      <c r="G28" s="1373">
        <f t="shared" si="3"/>
        <v>1269577</v>
      </c>
      <c r="H28" s="1125"/>
      <c r="I28" s="1125"/>
      <c r="J28" s="1373">
        <f t="shared" si="4"/>
        <v>0</v>
      </c>
      <c r="K28" s="1373">
        <f t="shared" si="2"/>
        <v>1269577</v>
      </c>
    </row>
    <row r="29" spans="1:14" ht="16.5" customHeight="1">
      <c r="A29" s="1372" t="s">
        <v>137</v>
      </c>
      <c r="B29" s="1125"/>
      <c r="C29" s="1125"/>
      <c r="D29" s="1125">
        <v>687926</v>
      </c>
      <c r="E29" s="1125"/>
      <c r="F29" s="1125"/>
      <c r="G29" s="1373">
        <f t="shared" si="3"/>
        <v>687926</v>
      </c>
      <c r="H29" s="1125"/>
      <c r="I29" s="1125"/>
      <c r="J29" s="1373">
        <f t="shared" si="4"/>
        <v>0</v>
      </c>
      <c r="K29" s="1373">
        <f>G29+J29</f>
        <v>687926</v>
      </c>
      <c r="N29" s="1069"/>
    </row>
    <row r="30" spans="1:14" ht="28.5" customHeight="1">
      <c r="A30" s="1372" t="s">
        <v>1025</v>
      </c>
      <c r="B30" s="1125"/>
      <c r="C30" s="1125"/>
      <c r="D30" s="1125">
        <v>1879600</v>
      </c>
      <c r="E30" s="1125"/>
      <c r="F30" s="1125"/>
      <c r="G30" s="1373">
        <f t="shared" si="3"/>
        <v>1879600</v>
      </c>
      <c r="H30" s="1125"/>
      <c r="I30" s="1125"/>
      <c r="J30" s="1373">
        <f t="shared" si="4"/>
        <v>0</v>
      </c>
      <c r="K30" s="1373">
        <f>G30+J30</f>
        <v>1879600</v>
      </c>
      <c r="N30" s="1069"/>
    </row>
    <row r="31" spans="1:14" ht="15" customHeight="1">
      <c r="A31" s="1372" t="s">
        <v>897</v>
      </c>
      <c r="B31" s="1125"/>
      <c r="C31" s="1125"/>
      <c r="D31" s="1125"/>
      <c r="E31" s="1125"/>
      <c r="F31" s="1125"/>
      <c r="G31" s="1373">
        <f t="shared" si="3"/>
        <v>0</v>
      </c>
      <c r="H31" s="1125">
        <v>1778000</v>
      </c>
      <c r="I31" s="1125"/>
      <c r="J31" s="1373">
        <f t="shared" si="4"/>
        <v>1778000</v>
      </c>
      <c r="K31" s="1373">
        <f>G31+J31</f>
        <v>1778000</v>
      </c>
      <c r="N31" s="1069"/>
    </row>
    <row r="32" spans="1:11" ht="16.5" customHeight="1">
      <c r="A32" s="1372" t="s">
        <v>136</v>
      </c>
      <c r="B32" s="1125"/>
      <c r="C32" s="1125"/>
      <c r="D32" s="1125"/>
      <c r="E32" s="1125">
        <v>530000</v>
      </c>
      <c r="F32" s="1125"/>
      <c r="G32" s="1373">
        <f t="shared" si="3"/>
        <v>530000</v>
      </c>
      <c r="H32" s="1125"/>
      <c r="I32" s="1125"/>
      <c r="J32" s="1373">
        <f t="shared" si="4"/>
        <v>0</v>
      </c>
      <c r="K32" s="1373">
        <f t="shared" si="2"/>
        <v>530000</v>
      </c>
    </row>
    <row r="33" spans="1:13" s="1009" customFormat="1" ht="16.5" customHeight="1">
      <c r="A33" s="1007" t="s">
        <v>550</v>
      </c>
      <c r="B33" s="1008">
        <f aca="true" t="shared" si="5" ref="B33:K33">SUM(B11:B32)</f>
        <v>0</v>
      </c>
      <c r="C33" s="1008">
        <f t="shared" si="5"/>
        <v>0</v>
      </c>
      <c r="D33" s="1008">
        <f t="shared" si="5"/>
        <v>30264781</v>
      </c>
      <c r="E33" s="1008">
        <f t="shared" si="5"/>
        <v>30930772</v>
      </c>
      <c r="F33" s="1008">
        <f t="shared" si="5"/>
        <v>0</v>
      </c>
      <c r="G33" s="1008">
        <f t="shared" si="5"/>
        <v>61195553</v>
      </c>
      <c r="H33" s="1008">
        <f t="shared" si="5"/>
        <v>81950802</v>
      </c>
      <c r="I33" s="1008">
        <f t="shared" si="5"/>
        <v>0</v>
      </c>
      <c r="J33" s="1008">
        <f t="shared" si="5"/>
        <v>81950802</v>
      </c>
      <c r="K33" s="1008">
        <f t="shared" si="5"/>
        <v>143146355</v>
      </c>
      <c r="L33" s="1010"/>
      <c r="M33" s="1010"/>
    </row>
    <row r="34" spans="1:11" s="1009" customFormat="1" ht="16.5" customHeight="1">
      <c r="A34" s="1007" t="s">
        <v>551</v>
      </c>
      <c r="B34" s="1008">
        <f aca="true" t="shared" si="6" ref="B34:K34">B8+B9+B33</f>
        <v>1551000</v>
      </c>
      <c r="C34" s="1008">
        <f t="shared" si="6"/>
        <v>408264</v>
      </c>
      <c r="D34" s="1008">
        <f t="shared" si="6"/>
        <v>33566318</v>
      </c>
      <c r="E34" s="1008">
        <f t="shared" si="6"/>
        <v>30930772</v>
      </c>
      <c r="F34" s="1008">
        <f t="shared" si="6"/>
        <v>0</v>
      </c>
      <c r="G34" s="1008">
        <f t="shared" si="6"/>
        <v>66456354</v>
      </c>
      <c r="H34" s="1008">
        <f t="shared" si="6"/>
        <v>81950802</v>
      </c>
      <c r="I34" s="1008">
        <f t="shared" si="6"/>
        <v>0</v>
      </c>
      <c r="J34" s="1008">
        <f t="shared" si="6"/>
        <v>81950802</v>
      </c>
      <c r="K34" s="1008">
        <f t="shared" si="6"/>
        <v>148407156</v>
      </c>
    </row>
  </sheetData>
  <sheetProtection/>
  <mergeCells count="2">
    <mergeCell ref="A10:K10"/>
    <mergeCell ref="G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O121"/>
  <sheetViews>
    <sheetView zoomScalePageLayoutView="0" workbookViewId="0" topLeftCell="A1">
      <selection activeCell="D1" sqref="D1:H1"/>
    </sheetView>
  </sheetViews>
  <sheetFormatPr defaultColWidth="9.00390625" defaultRowHeight="12.75"/>
  <cols>
    <col min="1" max="1" width="66.25390625" style="771" customWidth="1"/>
    <col min="2" max="2" width="15.125" style="802" customWidth="1"/>
    <col min="3" max="3" width="11.375" style="802" customWidth="1"/>
    <col min="4" max="4" width="12.625" style="802" customWidth="1"/>
    <col min="5" max="5" width="10.625" style="802" customWidth="1"/>
    <col min="6" max="6" width="10.00390625" style="802" customWidth="1"/>
    <col min="7" max="7" width="10.25390625" style="1126" customWidth="1"/>
    <col min="8" max="8" width="15.75390625" style="802" customWidth="1"/>
    <col min="9" max="10" width="9.25390625" style="770" customWidth="1"/>
    <col min="11" max="11" width="6.125" style="770" customWidth="1"/>
    <col min="12" max="12" width="12.625" style="770" customWidth="1"/>
    <col min="13" max="13" width="8.875" style="770" customWidth="1"/>
    <col min="14" max="14" width="6.375" style="770" customWidth="1"/>
    <col min="15" max="15" width="9.00390625" style="770" customWidth="1"/>
    <col min="16" max="16384" width="9.125" style="770" customWidth="1"/>
  </cols>
  <sheetData>
    <row r="1" spans="4:8" ht="12.75">
      <c r="D1" s="1942" t="s">
        <v>1084</v>
      </c>
      <c r="E1" s="1942"/>
      <c r="F1" s="1942"/>
      <c r="G1" s="1942"/>
      <c r="H1" s="1942"/>
    </row>
    <row r="2" spans="1:8" ht="27" customHeight="1">
      <c r="A2" s="1773"/>
      <c r="B2" s="1773"/>
      <c r="C2" s="1773"/>
      <c r="D2" s="1773"/>
      <c r="E2" s="1773"/>
      <c r="F2" s="1773"/>
      <c r="G2" s="1773"/>
      <c r="H2" s="1773"/>
    </row>
    <row r="3" ht="14.25" customHeight="1">
      <c r="H3" s="803" t="s">
        <v>540</v>
      </c>
    </row>
    <row r="4" spans="1:15" s="774" customFormat="1" ht="9.75" customHeight="1">
      <c r="A4" s="1774" t="s">
        <v>1071</v>
      </c>
      <c r="B4" s="1775" t="s">
        <v>929</v>
      </c>
      <c r="C4" s="1775" t="s">
        <v>483</v>
      </c>
      <c r="D4" s="1775" t="s">
        <v>484</v>
      </c>
      <c r="E4" s="1775" t="s">
        <v>160</v>
      </c>
      <c r="F4" s="1775" t="s">
        <v>60</v>
      </c>
      <c r="G4" s="1775" t="s">
        <v>334</v>
      </c>
      <c r="H4" s="1777" t="s">
        <v>18</v>
      </c>
      <c r="I4" s="772"/>
      <c r="J4" s="773"/>
      <c r="K4" s="773"/>
      <c r="L4" s="773"/>
      <c r="M4" s="773"/>
      <c r="N4" s="773"/>
      <c r="O4" s="773"/>
    </row>
    <row r="5" spans="1:15" s="774" customFormat="1" ht="24.75" customHeight="1">
      <c r="A5" s="1774"/>
      <c r="B5" s="1776"/>
      <c r="C5" s="1775"/>
      <c r="D5" s="1775"/>
      <c r="E5" s="1775"/>
      <c r="F5" s="1775"/>
      <c r="G5" s="1775"/>
      <c r="H5" s="1777"/>
      <c r="I5" s="775"/>
      <c r="J5" s="773"/>
      <c r="K5" s="773"/>
      <c r="L5" s="773"/>
      <c r="M5" s="773"/>
      <c r="N5" s="773"/>
      <c r="O5" s="773"/>
    </row>
    <row r="6" spans="1:15" s="774" customFormat="1" ht="19.5" customHeight="1">
      <c r="A6" s="1774"/>
      <c r="B6" s="1776"/>
      <c r="C6" s="1775"/>
      <c r="D6" s="1775"/>
      <c r="E6" s="1775"/>
      <c r="F6" s="1775"/>
      <c r="G6" s="1775"/>
      <c r="H6" s="1777"/>
      <c r="I6" s="775"/>
      <c r="J6" s="773"/>
      <c r="K6" s="773"/>
      <c r="L6" s="773"/>
      <c r="M6" s="773"/>
      <c r="N6" s="773"/>
      <c r="O6" s="773"/>
    </row>
    <row r="7" spans="1:15" s="774" customFormat="1" ht="12.75" customHeight="1">
      <c r="A7" s="1774"/>
      <c r="B7" s="1776"/>
      <c r="C7" s="1775"/>
      <c r="D7" s="1775"/>
      <c r="E7" s="1775"/>
      <c r="F7" s="1775"/>
      <c r="G7" s="1775"/>
      <c r="H7" s="1777"/>
      <c r="I7" s="772"/>
      <c r="J7" s="773"/>
      <c r="K7" s="773"/>
      <c r="L7" s="773"/>
      <c r="M7" s="773"/>
      <c r="N7" s="773"/>
      <c r="O7" s="773"/>
    </row>
    <row r="8" spans="1:15" s="774" customFormat="1" ht="15" customHeight="1">
      <c r="A8" s="786" t="s">
        <v>371</v>
      </c>
      <c r="B8" s="787">
        <f aca="true" t="shared" si="0" ref="B8:G8">B9+B13+B19+B23</f>
        <v>12232939724</v>
      </c>
      <c r="C8" s="787">
        <f t="shared" si="0"/>
        <v>0</v>
      </c>
      <c r="D8" s="787">
        <f t="shared" si="0"/>
        <v>0</v>
      </c>
      <c r="E8" s="787">
        <f t="shared" si="0"/>
        <v>0</v>
      </c>
      <c r="F8" s="787">
        <f t="shared" si="0"/>
        <v>0</v>
      </c>
      <c r="G8" s="787">
        <f t="shared" si="0"/>
        <v>6294986</v>
      </c>
      <c r="H8" s="787">
        <f aca="true" t="shared" si="1" ref="H8:H39">SUM(B8:G8)</f>
        <v>12239234710</v>
      </c>
      <c r="I8" s="772"/>
      <c r="J8" s="776"/>
      <c r="K8" s="776"/>
      <c r="L8" s="776"/>
      <c r="M8" s="776"/>
      <c r="N8" s="776"/>
      <c r="O8" s="776"/>
    </row>
    <row r="9" spans="1:15" s="774" customFormat="1" ht="13.5" customHeight="1">
      <c r="A9" s="788" t="s">
        <v>372</v>
      </c>
      <c r="B9" s="789">
        <f aca="true" t="shared" si="2" ref="B9:G9">B10+B11+B12</f>
        <v>28270903</v>
      </c>
      <c r="C9" s="789">
        <f t="shared" si="2"/>
        <v>0</v>
      </c>
      <c r="D9" s="789">
        <f t="shared" si="2"/>
        <v>0</v>
      </c>
      <c r="E9" s="789">
        <f t="shared" si="2"/>
        <v>0</v>
      </c>
      <c r="F9" s="789">
        <f t="shared" si="2"/>
        <v>0</v>
      </c>
      <c r="G9" s="789">
        <f t="shared" si="2"/>
        <v>0</v>
      </c>
      <c r="H9" s="787">
        <f t="shared" si="1"/>
        <v>28270903</v>
      </c>
      <c r="I9" s="773"/>
      <c r="J9" s="777"/>
      <c r="K9" s="777"/>
      <c r="L9" s="777"/>
      <c r="M9" s="777"/>
      <c r="N9" s="777"/>
      <c r="O9" s="777"/>
    </row>
    <row r="10" spans="1:15" s="774" customFormat="1" ht="13.5" customHeight="1">
      <c r="A10" s="788" t="s">
        <v>373</v>
      </c>
      <c r="B10" s="789">
        <v>0</v>
      </c>
      <c r="C10" s="789"/>
      <c r="D10" s="789"/>
      <c r="E10" s="789"/>
      <c r="F10" s="789"/>
      <c r="G10" s="789"/>
      <c r="H10" s="787">
        <f t="shared" si="1"/>
        <v>0</v>
      </c>
      <c r="I10" s="773"/>
      <c r="J10" s="777"/>
      <c r="K10" s="777"/>
      <c r="L10" s="777"/>
      <c r="M10" s="777"/>
      <c r="N10" s="777"/>
      <c r="O10" s="777"/>
    </row>
    <row r="11" spans="1:15" s="774" customFormat="1" ht="13.5" customHeight="1">
      <c r="A11" s="788" t="s">
        <v>374</v>
      </c>
      <c r="B11" s="789">
        <v>28270903</v>
      </c>
      <c r="C11" s="789"/>
      <c r="D11" s="789"/>
      <c r="E11" s="789"/>
      <c r="F11" s="789"/>
      <c r="G11" s="789">
        <v>0</v>
      </c>
      <c r="H11" s="787">
        <f t="shared" si="1"/>
        <v>28270903</v>
      </c>
      <c r="I11" s="773"/>
      <c r="J11" s="777"/>
      <c r="K11" s="777"/>
      <c r="L11" s="777"/>
      <c r="M11" s="777"/>
      <c r="N11" s="777"/>
      <c r="O11" s="777"/>
    </row>
    <row r="12" spans="1:15" s="774" customFormat="1" ht="13.5" customHeight="1">
      <c r="A12" s="788" t="s">
        <v>375</v>
      </c>
      <c r="B12" s="789"/>
      <c r="C12" s="789"/>
      <c r="D12" s="789"/>
      <c r="E12" s="789"/>
      <c r="F12" s="789"/>
      <c r="G12" s="789"/>
      <c r="H12" s="787">
        <f t="shared" si="1"/>
        <v>0</v>
      </c>
      <c r="I12" s="773"/>
      <c r="J12" s="777"/>
      <c r="K12" s="777"/>
      <c r="L12" s="777"/>
      <c r="M12" s="777"/>
      <c r="N12" s="777"/>
      <c r="O12" s="777"/>
    </row>
    <row r="13" spans="1:15" s="774" customFormat="1" ht="13.5" customHeight="1">
      <c r="A13" s="788" t="s">
        <v>376</v>
      </c>
      <c r="B13" s="789">
        <f aca="true" t="shared" si="3" ref="B13:G13">SUM(B14:B18)</f>
        <v>12166532584</v>
      </c>
      <c r="C13" s="789">
        <f t="shared" si="3"/>
        <v>0</v>
      </c>
      <c r="D13" s="789">
        <f t="shared" si="3"/>
        <v>0</v>
      </c>
      <c r="E13" s="789">
        <f t="shared" si="3"/>
        <v>0</v>
      </c>
      <c r="F13" s="789">
        <f t="shared" si="3"/>
        <v>0</v>
      </c>
      <c r="G13" s="789">
        <f t="shared" si="3"/>
        <v>6294986</v>
      </c>
      <c r="H13" s="787">
        <f t="shared" si="1"/>
        <v>12172827570</v>
      </c>
      <c r="I13" s="772"/>
      <c r="J13" s="777"/>
      <c r="K13" s="777"/>
      <c r="L13" s="777"/>
      <c r="M13" s="777"/>
      <c r="N13" s="777"/>
      <c r="O13" s="777"/>
    </row>
    <row r="14" spans="1:15" s="774" customFormat="1" ht="15.75" customHeight="1">
      <c r="A14" s="788" t="s">
        <v>377</v>
      </c>
      <c r="B14" s="789">
        <v>11268614099</v>
      </c>
      <c r="C14" s="789"/>
      <c r="D14" s="789"/>
      <c r="E14" s="789"/>
      <c r="F14" s="789"/>
      <c r="G14" s="789"/>
      <c r="H14" s="787">
        <f t="shared" si="1"/>
        <v>11268614099</v>
      </c>
      <c r="I14" s="773"/>
      <c r="J14" s="777"/>
      <c r="K14" s="777"/>
      <c r="L14" s="777"/>
      <c r="M14" s="777"/>
      <c r="N14" s="777"/>
      <c r="O14" s="777"/>
    </row>
    <row r="15" spans="1:15" s="774" customFormat="1" ht="15.75" customHeight="1">
      <c r="A15" s="788" t="s">
        <v>378</v>
      </c>
      <c r="B15" s="789">
        <v>678330268</v>
      </c>
      <c r="C15" s="789"/>
      <c r="D15" s="789"/>
      <c r="E15" s="789"/>
      <c r="F15" s="789"/>
      <c r="G15" s="789">
        <v>6294986</v>
      </c>
      <c r="H15" s="787">
        <f t="shared" si="1"/>
        <v>684625254</v>
      </c>
      <c r="I15" s="773"/>
      <c r="J15" s="777"/>
      <c r="K15" s="777"/>
      <c r="L15" s="777"/>
      <c r="M15" s="777"/>
      <c r="N15" s="777"/>
      <c r="O15" s="777"/>
    </row>
    <row r="16" spans="1:15" s="774" customFormat="1" ht="15.75" customHeight="1">
      <c r="A16" s="788" t="s">
        <v>379</v>
      </c>
      <c r="B16" s="789"/>
      <c r="C16" s="789"/>
      <c r="D16" s="789"/>
      <c r="E16" s="789"/>
      <c r="F16" s="789"/>
      <c r="G16" s="789"/>
      <c r="H16" s="787">
        <f t="shared" si="1"/>
        <v>0</v>
      </c>
      <c r="I16" s="773"/>
      <c r="J16" s="777"/>
      <c r="K16" s="777"/>
      <c r="L16" s="777"/>
      <c r="M16" s="777"/>
      <c r="N16" s="777"/>
      <c r="O16" s="777"/>
    </row>
    <row r="17" spans="1:15" s="774" customFormat="1" ht="15.75" customHeight="1">
      <c r="A17" s="788" t="s">
        <v>380</v>
      </c>
      <c r="B17" s="789">
        <v>219588217</v>
      </c>
      <c r="C17" s="789"/>
      <c r="D17" s="789"/>
      <c r="E17" s="789"/>
      <c r="F17" s="789"/>
      <c r="G17" s="789"/>
      <c r="H17" s="787">
        <f t="shared" si="1"/>
        <v>219588217</v>
      </c>
      <c r="I17" s="773"/>
      <c r="J17" s="777"/>
      <c r="K17" s="777"/>
      <c r="L17" s="777"/>
      <c r="M17" s="777"/>
      <c r="N17" s="777"/>
      <c r="O17" s="777"/>
    </row>
    <row r="18" spans="1:15" s="774" customFormat="1" ht="15.75" customHeight="1">
      <c r="A18" s="788" t="s">
        <v>381</v>
      </c>
      <c r="B18" s="789"/>
      <c r="C18" s="789"/>
      <c r="D18" s="789"/>
      <c r="E18" s="789"/>
      <c r="F18" s="789"/>
      <c r="G18" s="789"/>
      <c r="H18" s="787">
        <f t="shared" si="1"/>
        <v>0</v>
      </c>
      <c r="I18" s="773"/>
      <c r="J18" s="777"/>
      <c r="K18" s="777"/>
      <c r="L18" s="777"/>
      <c r="M18" s="777"/>
      <c r="N18" s="777"/>
      <c r="O18" s="777"/>
    </row>
    <row r="19" spans="1:15" s="774" customFormat="1" ht="15.75" customHeight="1">
      <c r="A19" s="788" t="s">
        <v>382</v>
      </c>
      <c r="B19" s="789">
        <f aca="true" t="shared" si="4" ref="B19:G19">SUM(B20:B22)</f>
        <v>38136237</v>
      </c>
      <c r="C19" s="789">
        <f t="shared" si="4"/>
        <v>0</v>
      </c>
      <c r="D19" s="789">
        <f t="shared" si="4"/>
        <v>0</v>
      </c>
      <c r="E19" s="789">
        <f t="shared" si="4"/>
        <v>0</v>
      </c>
      <c r="F19" s="789">
        <f t="shared" si="4"/>
        <v>0</v>
      </c>
      <c r="G19" s="789">
        <f t="shared" si="4"/>
        <v>0</v>
      </c>
      <c r="H19" s="787">
        <f t="shared" si="1"/>
        <v>38136237</v>
      </c>
      <c r="I19" s="773"/>
      <c r="J19" s="777"/>
      <c r="K19" s="777"/>
      <c r="L19" s="777"/>
      <c r="M19" s="777"/>
      <c r="N19" s="777"/>
      <c r="O19" s="777"/>
    </row>
    <row r="20" spans="1:15" s="774" customFormat="1" ht="15.75" customHeight="1">
      <c r="A20" s="788" t="s">
        <v>383</v>
      </c>
      <c r="B20" s="789">
        <v>38136237</v>
      </c>
      <c r="C20" s="789"/>
      <c r="D20" s="789"/>
      <c r="E20" s="789"/>
      <c r="F20" s="789"/>
      <c r="G20" s="789"/>
      <c r="H20" s="787">
        <f t="shared" si="1"/>
        <v>38136237</v>
      </c>
      <c r="I20" s="773"/>
      <c r="J20" s="777"/>
      <c r="K20" s="777"/>
      <c r="L20" s="777"/>
      <c r="M20" s="777"/>
      <c r="N20" s="777"/>
      <c r="O20" s="777"/>
    </row>
    <row r="21" spans="1:15" s="774" customFormat="1" ht="15.75" customHeight="1">
      <c r="A21" s="788" t="s">
        <v>384</v>
      </c>
      <c r="B21" s="789"/>
      <c r="C21" s="789"/>
      <c r="D21" s="789"/>
      <c r="E21" s="789"/>
      <c r="F21" s="789"/>
      <c r="G21" s="789"/>
      <c r="H21" s="787">
        <f t="shared" si="1"/>
        <v>0</v>
      </c>
      <c r="I21" s="773"/>
      <c r="J21" s="777"/>
      <c r="K21" s="777"/>
      <c r="L21" s="777"/>
      <c r="M21" s="777"/>
      <c r="N21" s="777"/>
      <c r="O21" s="777"/>
    </row>
    <row r="22" spans="1:15" s="774" customFormat="1" ht="15.75" customHeight="1">
      <c r="A22" s="788" t="s">
        <v>385</v>
      </c>
      <c r="B22" s="789"/>
      <c r="C22" s="789"/>
      <c r="D22" s="789"/>
      <c r="E22" s="789"/>
      <c r="F22" s="789"/>
      <c r="G22" s="789"/>
      <c r="H22" s="787">
        <f t="shared" si="1"/>
        <v>0</v>
      </c>
      <c r="I22" s="773"/>
      <c r="J22" s="777"/>
      <c r="K22" s="777"/>
      <c r="L22" s="777"/>
      <c r="M22" s="777"/>
      <c r="N22" s="777"/>
      <c r="O22" s="777"/>
    </row>
    <row r="23" spans="1:15" s="774" customFormat="1" ht="14.25" customHeight="1">
      <c r="A23" s="790" t="s">
        <v>386</v>
      </c>
      <c r="B23" s="789">
        <f aca="true" t="shared" si="5" ref="B23:G23">SUM(B24:B25)</f>
        <v>0</v>
      </c>
      <c r="C23" s="789">
        <f t="shared" si="5"/>
        <v>0</v>
      </c>
      <c r="D23" s="789">
        <f t="shared" si="5"/>
        <v>0</v>
      </c>
      <c r="E23" s="789">
        <f t="shared" si="5"/>
        <v>0</v>
      </c>
      <c r="F23" s="789">
        <f t="shared" si="5"/>
        <v>0</v>
      </c>
      <c r="G23" s="789">
        <f t="shared" si="5"/>
        <v>0</v>
      </c>
      <c r="H23" s="787">
        <f t="shared" si="1"/>
        <v>0</v>
      </c>
      <c r="I23" s="772"/>
      <c r="J23" s="778"/>
      <c r="K23" s="778"/>
      <c r="L23" s="778"/>
      <c r="M23" s="778"/>
      <c r="N23" s="778"/>
      <c r="O23" s="778"/>
    </row>
    <row r="24" spans="1:15" s="774" customFormat="1" ht="15.75" customHeight="1">
      <c r="A24" s="788" t="s">
        <v>387</v>
      </c>
      <c r="B24" s="789">
        <v>0</v>
      </c>
      <c r="C24" s="789"/>
      <c r="D24" s="789"/>
      <c r="E24" s="789"/>
      <c r="F24" s="789"/>
      <c r="G24" s="789"/>
      <c r="H24" s="787">
        <f t="shared" si="1"/>
        <v>0</v>
      </c>
      <c r="I24" s="772"/>
      <c r="J24" s="778"/>
      <c r="K24" s="778"/>
      <c r="L24" s="778"/>
      <c r="M24" s="778"/>
      <c r="N24" s="778"/>
      <c r="O24" s="778"/>
    </row>
    <row r="25" spans="1:15" s="774" customFormat="1" ht="15.75" customHeight="1">
      <c r="A25" s="788" t="s">
        <v>388</v>
      </c>
      <c r="B25" s="789"/>
      <c r="C25" s="789"/>
      <c r="D25" s="789"/>
      <c r="E25" s="789"/>
      <c r="F25" s="789"/>
      <c r="G25" s="789"/>
      <c r="H25" s="787">
        <f t="shared" si="1"/>
        <v>0</v>
      </c>
      <c r="I25" s="772"/>
      <c r="J25" s="778"/>
      <c r="K25" s="778"/>
      <c r="L25" s="778"/>
      <c r="M25" s="778"/>
      <c r="N25" s="778"/>
      <c r="O25" s="778"/>
    </row>
    <row r="26" spans="1:15" s="774" customFormat="1" ht="12" customHeight="1">
      <c r="A26" s="791" t="s">
        <v>389</v>
      </c>
      <c r="B26" s="792">
        <f aca="true" t="shared" si="6" ref="B26:G26">B27+B33</f>
        <v>1224700000</v>
      </c>
      <c r="C26" s="792">
        <f t="shared" si="6"/>
        <v>648042</v>
      </c>
      <c r="D26" s="792">
        <f t="shared" si="6"/>
        <v>1971655</v>
      </c>
      <c r="E26" s="792">
        <f t="shared" si="6"/>
        <v>724994</v>
      </c>
      <c r="F26" s="792">
        <f t="shared" si="6"/>
        <v>47000</v>
      </c>
      <c r="G26" s="1128">
        <f t="shared" si="6"/>
        <v>460692</v>
      </c>
      <c r="H26" s="787">
        <f t="shared" si="1"/>
        <v>1228552383</v>
      </c>
      <c r="I26" s="773"/>
      <c r="J26" s="777"/>
      <c r="K26" s="777"/>
      <c r="L26" s="777"/>
      <c r="M26" s="777"/>
      <c r="N26" s="777"/>
      <c r="O26" s="777"/>
    </row>
    <row r="27" spans="1:15" s="774" customFormat="1" ht="12" customHeight="1">
      <c r="A27" s="793" t="s">
        <v>390</v>
      </c>
      <c r="B27" s="789">
        <f aca="true" t="shared" si="7" ref="B27:G27">SUM(B28:B32)</f>
        <v>0</v>
      </c>
      <c r="C27" s="789">
        <f t="shared" si="7"/>
        <v>648042</v>
      </c>
      <c r="D27" s="789">
        <f t="shared" si="7"/>
        <v>1971655</v>
      </c>
      <c r="E27" s="789">
        <f t="shared" si="7"/>
        <v>724994</v>
      </c>
      <c r="F27" s="789">
        <f t="shared" si="7"/>
        <v>47000</v>
      </c>
      <c r="G27" s="1127">
        <f t="shared" si="7"/>
        <v>460692</v>
      </c>
      <c r="H27" s="787">
        <f t="shared" si="1"/>
        <v>3852383</v>
      </c>
      <c r="I27" s="773"/>
      <c r="J27" s="777"/>
      <c r="K27" s="777"/>
      <c r="L27" s="777"/>
      <c r="M27" s="777"/>
      <c r="N27" s="777"/>
      <c r="O27" s="777"/>
    </row>
    <row r="28" spans="1:15" s="774" customFormat="1" ht="12" customHeight="1">
      <c r="A28" s="788" t="s">
        <v>391</v>
      </c>
      <c r="B28" s="789"/>
      <c r="C28" s="789">
        <v>648042</v>
      </c>
      <c r="D28" s="789">
        <v>1971655</v>
      </c>
      <c r="E28" s="789">
        <v>724994</v>
      </c>
      <c r="F28" s="789">
        <v>47000</v>
      </c>
      <c r="G28" s="1127">
        <v>460692</v>
      </c>
      <c r="H28" s="787">
        <f t="shared" si="1"/>
        <v>3852383</v>
      </c>
      <c r="I28" s="773"/>
      <c r="J28" s="777"/>
      <c r="K28" s="777"/>
      <c r="L28" s="777"/>
      <c r="M28" s="777"/>
      <c r="N28" s="777"/>
      <c r="O28" s="777"/>
    </row>
    <row r="29" spans="1:15" s="774" customFormat="1" ht="12" customHeight="1">
      <c r="A29" s="788" t="s">
        <v>392</v>
      </c>
      <c r="B29" s="789"/>
      <c r="C29" s="789"/>
      <c r="D29" s="789"/>
      <c r="E29" s="789"/>
      <c r="F29" s="789"/>
      <c r="G29" s="1127"/>
      <c r="H29" s="787">
        <f t="shared" si="1"/>
        <v>0</v>
      </c>
      <c r="I29" s="773"/>
      <c r="J29" s="777"/>
      <c r="K29" s="777"/>
      <c r="L29" s="777"/>
      <c r="M29" s="777"/>
      <c r="N29" s="777"/>
      <c r="O29" s="777"/>
    </row>
    <row r="30" spans="1:15" s="774" customFormat="1" ht="12" customHeight="1">
      <c r="A30" s="788" t="s">
        <v>393</v>
      </c>
      <c r="B30" s="789"/>
      <c r="C30" s="789"/>
      <c r="D30" s="789"/>
      <c r="E30" s="789"/>
      <c r="F30" s="789"/>
      <c r="G30" s="1127"/>
      <c r="H30" s="787">
        <f t="shared" si="1"/>
        <v>0</v>
      </c>
      <c r="I30" s="773"/>
      <c r="J30" s="777"/>
      <c r="K30" s="777"/>
      <c r="L30" s="777"/>
      <c r="M30" s="777"/>
      <c r="N30" s="777"/>
      <c r="O30" s="777"/>
    </row>
    <row r="31" spans="1:15" s="774" customFormat="1" ht="12" customHeight="1">
      <c r="A31" s="788" t="s">
        <v>394</v>
      </c>
      <c r="B31" s="789">
        <v>0</v>
      </c>
      <c r="C31" s="789">
        <v>0</v>
      </c>
      <c r="D31" s="789">
        <v>0</v>
      </c>
      <c r="E31" s="789">
        <v>0</v>
      </c>
      <c r="F31" s="789">
        <v>0</v>
      </c>
      <c r="G31" s="1127">
        <v>0</v>
      </c>
      <c r="H31" s="787">
        <f t="shared" si="1"/>
        <v>0</v>
      </c>
      <c r="I31" s="773"/>
      <c r="J31" s="777"/>
      <c r="K31" s="777"/>
      <c r="L31" s="777"/>
      <c r="M31" s="777"/>
      <c r="N31" s="777"/>
      <c r="O31" s="777"/>
    </row>
    <row r="32" spans="1:15" s="774" customFormat="1" ht="12" customHeight="1">
      <c r="A32" s="790" t="s">
        <v>395</v>
      </c>
      <c r="B32" s="789"/>
      <c r="C32" s="789"/>
      <c r="D32" s="789"/>
      <c r="E32" s="789"/>
      <c r="F32" s="789"/>
      <c r="G32" s="1127"/>
      <c r="H32" s="787">
        <f t="shared" si="1"/>
        <v>0</v>
      </c>
      <c r="I32" s="773"/>
      <c r="J32" s="777"/>
      <c r="K32" s="777"/>
      <c r="L32" s="777"/>
      <c r="M32" s="777"/>
      <c r="N32" s="777"/>
      <c r="O32" s="777"/>
    </row>
    <row r="33" spans="1:15" s="774" customFormat="1" ht="12" customHeight="1">
      <c r="A33" s="794" t="s">
        <v>396</v>
      </c>
      <c r="B33" s="795">
        <f aca="true" t="shared" si="8" ref="B33:G33">B35+B34</f>
        <v>1224700000</v>
      </c>
      <c r="C33" s="795">
        <f t="shared" si="8"/>
        <v>0</v>
      </c>
      <c r="D33" s="795">
        <f t="shared" si="8"/>
        <v>0</v>
      </c>
      <c r="E33" s="795">
        <f t="shared" si="8"/>
        <v>0</v>
      </c>
      <c r="F33" s="795">
        <f t="shared" si="8"/>
        <v>0</v>
      </c>
      <c r="G33" s="1129">
        <f t="shared" si="8"/>
        <v>0</v>
      </c>
      <c r="H33" s="787">
        <f t="shared" si="1"/>
        <v>1224700000</v>
      </c>
      <c r="I33" s="773"/>
      <c r="J33" s="777"/>
      <c r="K33" s="777"/>
      <c r="L33" s="777"/>
      <c r="M33" s="777"/>
      <c r="N33" s="777"/>
      <c r="O33" s="777"/>
    </row>
    <row r="34" spans="1:15" s="774" customFormat="1" ht="12" customHeight="1">
      <c r="A34" s="794" t="s">
        <v>397</v>
      </c>
      <c r="B34" s="795"/>
      <c r="C34" s="795"/>
      <c r="D34" s="795"/>
      <c r="E34" s="795"/>
      <c r="F34" s="795"/>
      <c r="G34" s="1129"/>
      <c r="H34" s="787">
        <f t="shared" si="1"/>
        <v>0</v>
      </c>
      <c r="I34" s="773"/>
      <c r="J34" s="777"/>
      <c r="K34" s="777"/>
      <c r="L34" s="777"/>
      <c r="M34" s="777"/>
      <c r="N34" s="777"/>
      <c r="O34" s="777"/>
    </row>
    <row r="35" spans="1:15" s="774" customFormat="1" ht="12" customHeight="1">
      <c r="A35" s="788" t="s">
        <v>398</v>
      </c>
      <c r="B35" s="795">
        <v>1224700000</v>
      </c>
      <c r="C35" s="795"/>
      <c r="D35" s="795"/>
      <c r="E35" s="795"/>
      <c r="F35" s="795"/>
      <c r="G35" s="1129"/>
      <c r="H35" s="787">
        <f t="shared" si="1"/>
        <v>1224700000</v>
      </c>
      <c r="I35" s="773"/>
      <c r="J35" s="777"/>
      <c r="K35" s="777"/>
      <c r="L35" s="777"/>
      <c r="M35" s="777"/>
      <c r="N35" s="777"/>
      <c r="O35" s="777"/>
    </row>
    <row r="36" spans="1:15" s="774" customFormat="1" ht="12" customHeight="1">
      <c r="A36" s="796" t="s">
        <v>399</v>
      </c>
      <c r="B36" s="792">
        <f aca="true" t="shared" si="9" ref="B36:G36">SUM(B37:B40)</f>
        <v>271295030</v>
      </c>
      <c r="C36" s="792">
        <f t="shared" si="9"/>
        <v>18316580</v>
      </c>
      <c r="D36" s="792">
        <f t="shared" si="9"/>
        <v>11269018</v>
      </c>
      <c r="E36" s="792">
        <f t="shared" si="9"/>
        <v>9107675</v>
      </c>
      <c r="F36" s="792">
        <f t="shared" si="9"/>
        <v>2779840</v>
      </c>
      <c r="G36" s="1128">
        <f t="shared" si="9"/>
        <v>1978051</v>
      </c>
      <c r="H36" s="787">
        <f t="shared" si="1"/>
        <v>314746194</v>
      </c>
      <c r="I36" s="773"/>
      <c r="J36" s="777"/>
      <c r="K36" s="777"/>
      <c r="L36" s="777"/>
      <c r="M36" s="777"/>
      <c r="N36" s="777"/>
      <c r="O36" s="777"/>
    </row>
    <row r="37" spans="1:15" s="774" customFormat="1" ht="14.25" customHeight="1">
      <c r="A37" s="794" t="s">
        <v>944</v>
      </c>
      <c r="B37" s="789"/>
      <c r="C37" s="789"/>
      <c r="D37" s="789"/>
      <c r="E37" s="789"/>
      <c r="F37" s="789"/>
      <c r="G37" s="1127"/>
      <c r="H37" s="787">
        <f t="shared" si="1"/>
        <v>0</v>
      </c>
      <c r="I37" s="773"/>
      <c r="J37" s="777"/>
      <c r="K37" s="777"/>
      <c r="L37" s="777"/>
      <c r="M37" s="777"/>
      <c r="N37" s="777"/>
      <c r="O37" s="777"/>
    </row>
    <row r="38" spans="1:15" s="774" customFormat="1" ht="14.25" customHeight="1">
      <c r="A38" s="788" t="s">
        <v>400</v>
      </c>
      <c r="B38" s="789">
        <v>201630</v>
      </c>
      <c r="C38" s="789">
        <v>226370</v>
      </c>
      <c r="D38" s="789">
        <v>0</v>
      </c>
      <c r="E38" s="789">
        <v>0</v>
      </c>
      <c r="F38" s="789">
        <v>0</v>
      </c>
      <c r="G38" s="1127"/>
      <c r="H38" s="787">
        <f t="shared" si="1"/>
        <v>428000</v>
      </c>
      <c r="I38" s="773"/>
      <c r="J38" s="777"/>
      <c r="K38" s="777"/>
      <c r="L38" s="777"/>
      <c r="M38" s="777"/>
      <c r="N38" s="777"/>
      <c r="O38" s="777"/>
    </row>
    <row r="39" spans="1:15" s="774" customFormat="1" ht="14.25" customHeight="1">
      <c r="A39" s="788" t="s">
        <v>401</v>
      </c>
      <c r="B39" s="789">
        <v>271093400</v>
      </c>
      <c r="C39" s="789">
        <v>18090210</v>
      </c>
      <c r="D39" s="789">
        <v>11269018</v>
      </c>
      <c r="E39" s="789">
        <v>9107675</v>
      </c>
      <c r="F39" s="789">
        <v>2779840</v>
      </c>
      <c r="G39" s="1127">
        <v>1978051</v>
      </c>
      <c r="H39" s="787">
        <f t="shared" si="1"/>
        <v>314318194</v>
      </c>
      <c r="I39" s="773"/>
      <c r="J39" s="777"/>
      <c r="K39" s="777"/>
      <c r="L39" s="777"/>
      <c r="M39" s="777"/>
      <c r="N39" s="777"/>
      <c r="O39" s="777"/>
    </row>
    <row r="40" spans="1:15" s="774" customFormat="1" ht="14.25" customHeight="1">
      <c r="A40" s="788" t="s">
        <v>402</v>
      </c>
      <c r="B40" s="789">
        <v>0</v>
      </c>
      <c r="C40" s="789"/>
      <c r="D40" s="789"/>
      <c r="E40" s="789"/>
      <c r="F40" s="789"/>
      <c r="G40" s="1127"/>
      <c r="H40" s="787">
        <f aca="true" t="shared" si="10" ref="H40:H71">SUM(B40:G40)</f>
        <v>0</v>
      </c>
      <c r="I40" s="773"/>
      <c r="J40" s="777"/>
      <c r="K40" s="777"/>
      <c r="L40" s="777"/>
      <c r="M40" s="777"/>
      <c r="N40" s="777"/>
      <c r="O40" s="777"/>
    </row>
    <row r="41" spans="1:15" s="774" customFormat="1" ht="12" customHeight="1">
      <c r="A41" s="786" t="s">
        <v>403</v>
      </c>
      <c r="B41" s="792">
        <f aca="true" t="shared" si="11" ref="B41:G41">B60+B51+B42</f>
        <v>133253731</v>
      </c>
      <c r="C41" s="792">
        <f t="shared" si="11"/>
        <v>1366494</v>
      </c>
      <c r="D41" s="792">
        <f t="shared" si="11"/>
        <v>745271</v>
      </c>
      <c r="E41" s="792">
        <f t="shared" si="11"/>
        <v>0</v>
      </c>
      <c r="F41" s="792">
        <f t="shared" si="11"/>
        <v>44588</v>
      </c>
      <c r="G41" s="1128">
        <f t="shared" si="11"/>
        <v>290001</v>
      </c>
      <c r="H41" s="787">
        <f t="shared" si="10"/>
        <v>135700085</v>
      </c>
      <c r="I41" s="773"/>
      <c r="J41" s="777"/>
      <c r="K41" s="777"/>
      <c r="L41" s="777"/>
      <c r="M41" s="777"/>
      <c r="N41" s="777"/>
      <c r="O41" s="777"/>
    </row>
    <row r="42" spans="1:15" s="774" customFormat="1" ht="12" customHeight="1">
      <c r="A42" s="788" t="s">
        <v>404</v>
      </c>
      <c r="B42" s="789">
        <f aca="true" t="shared" si="12" ref="B42:G42">SUM(B43:B50)</f>
        <v>109845231</v>
      </c>
      <c r="C42" s="789">
        <f t="shared" si="12"/>
        <v>1366494</v>
      </c>
      <c r="D42" s="789">
        <f t="shared" si="12"/>
        <v>511640</v>
      </c>
      <c r="E42" s="789">
        <f t="shared" si="12"/>
        <v>0</v>
      </c>
      <c r="F42" s="789">
        <f t="shared" si="12"/>
        <v>44588</v>
      </c>
      <c r="G42" s="1127">
        <f t="shared" si="12"/>
        <v>0</v>
      </c>
      <c r="H42" s="787">
        <f t="shared" si="10"/>
        <v>111767953</v>
      </c>
      <c r="I42" s="773"/>
      <c r="J42" s="777"/>
      <c r="K42" s="777"/>
      <c r="L42" s="777"/>
      <c r="M42" s="777"/>
      <c r="N42" s="777"/>
      <c r="O42" s="777"/>
    </row>
    <row r="43" spans="1:15" s="774" customFormat="1" ht="28.5" customHeight="1">
      <c r="A43" s="790" t="s">
        <v>405</v>
      </c>
      <c r="B43" s="789">
        <v>9816785</v>
      </c>
      <c r="C43" s="789"/>
      <c r="D43" s="789">
        <v>155300</v>
      </c>
      <c r="E43" s="789"/>
      <c r="F43" s="789"/>
      <c r="G43" s="1127"/>
      <c r="H43" s="787">
        <f t="shared" si="10"/>
        <v>9972085</v>
      </c>
      <c r="I43" s="773"/>
      <c r="J43" s="777"/>
      <c r="K43" s="777"/>
      <c r="L43" s="777"/>
      <c r="M43" s="777"/>
      <c r="N43" s="777"/>
      <c r="O43" s="777"/>
    </row>
    <row r="44" spans="1:15" s="774" customFormat="1" ht="29.25" customHeight="1">
      <c r="A44" s="790" t="s">
        <v>406</v>
      </c>
      <c r="B44" s="789">
        <v>383467</v>
      </c>
      <c r="C44" s="789"/>
      <c r="D44" s="789"/>
      <c r="E44" s="789"/>
      <c r="F44" s="789"/>
      <c r="G44" s="1127"/>
      <c r="H44" s="787">
        <f t="shared" si="10"/>
        <v>383467</v>
      </c>
      <c r="I44" s="773"/>
      <c r="J44" s="777"/>
      <c r="K44" s="777"/>
      <c r="L44" s="777"/>
      <c r="M44" s="777"/>
      <c r="N44" s="777"/>
      <c r="O44" s="777"/>
    </row>
    <row r="45" spans="1:15" s="774" customFormat="1" ht="12" customHeight="1">
      <c r="A45" s="790" t="s">
        <v>407</v>
      </c>
      <c r="B45" s="789">
        <v>76501057</v>
      </c>
      <c r="C45" s="789">
        <v>0</v>
      </c>
      <c r="D45" s="789"/>
      <c r="E45" s="789"/>
      <c r="F45" s="789"/>
      <c r="G45" s="1127"/>
      <c r="H45" s="787">
        <f t="shared" si="10"/>
        <v>76501057</v>
      </c>
      <c r="I45" s="773"/>
      <c r="J45" s="777"/>
      <c r="K45" s="777"/>
      <c r="L45" s="777"/>
      <c r="M45" s="777"/>
      <c r="N45" s="777"/>
      <c r="O45" s="777"/>
    </row>
    <row r="46" spans="1:15" s="774" customFormat="1" ht="12" customHeight="1">
      <c r="A46" s="790" t="s">
        <v>408</v>
      </c>
      <c r="B46" s="789">
        <v>3678442</v>
      </c>
      <c r="C46" s="789">
        <v>1366494</v>
      </c>
      <c r="D46" s="789">
        <v>356340</v>
      </c>
      <c r="E46" s="789"/>
      <c r="F46" s="789">
        <v>44588</v>
      </c>
      <c r="G46" s="1127">
        <v>0</v>
      </c>
      <c r="H46" s="787">
        <f t="shared" si="10"/>
        <v>5445864</v>
      </c>
      <c r="I46" s="773"/>
      <c r="J46" s="777"/>
      <c r="K46" s="777"/>
      <c r="L46" s="777"/>
      <c r="M46" s="777"/>
      <c r="N46" s="777"/>
      <c r="O46" s="777"/>
    </row>
    <row r="47" spans="1:15" s="774" customFormat="1" ht="12" customHeight="1">
      <c r="A47" s="790" t="s">
        <v>409</v>
      </c>
      <c r="B47" s="789">
        <v>3939273</v>
      </c>
      <c r="C47" s="789"/>
      <c r="D47" s="789"/>
      <c r="E47" s="789"/>
      <c r="F47" s="789"/>
      <c r="G47" s="1127"/>
      <c r="H47" s="787">
        <f t="shared" si="10"/>
        <v>3939273</v>
      </c>
      <c r="I47" s="773"/>
      <c r="J47" s="777"/>
      <c r="K47" s="777"/>
      <c r="L47" s="777"/>
      <c r="M47" s="777"/>
      <c r="N47" s="777"/>
      <c r="O47" s="777"/>
    </row>
    <row r="48" spans="1:15" s="774" customFormat="1" ht="30.75" customHeight="1">
      <c r="A48" s="790" t="s">
        <v>410</v>
      </c>
      <c r="B48" s="789">
        <v>469663</v>
      </c>
      <c r="C48" s="789"/>
      <c r="D48" s="789"/>
      <c r="E48" s="789"/>
      <c r="F48" s="789"/>
      <c r="G48" s="1127"/>
      <c r="H48" s="787">
        <f t="shared" si="10"/>
        <v>469663</v>
      </c>
      <c r="I48" s="773"/>
      <c r="J48" s="777"/>
      <c r="K48" s="777"/>
      <c r="L48" s="777"/>
      <c r="M48" s="777"/>
      <c r="N48" s="777"/>
      <c r="O48" s="777"/>
    </row>
    <row r="49" spans="1:15" s="774" customFormat="1" ht="27" customHeight="1">
      <c r="A49" s="790" t="s">
        <v>411</v>
      </c>
      <c r="B49" s="789">
        <v>15056544</v>
      </c>
      <c r="C49" s="789"/>
      <c r="D49" s="789"/>
      <c r="E49" s="789"/>
      <c r="F49" s="789"/>
      <c r="G49" s="1127"/>
      <c r="H49" s="787">
        <f t="shared" si="10"/>
        <v>15056544</v>
      </c>
      <c r="I49" s="773"/>
      <c r="J49" s="777"/>
      <c r="K49" s="777"/>
      <c r="L49" s="777"/>
      <c r="M49" s="777"/>
      <c r="N49" s="777"/>
      <c r="O49" s="777"/>
    </row>
    <row r="50" spans="1:15" s="774" customFormat="1" ht="12" customHeight="1">
      <c r="A50" s="790" t="s">
        <v>412</v>
      </c>
      <c r="B50" s="789">
        <v>0</v>
      </c>
      <c r="C50" s="789"/>
      <c r="D50" s="789"/>
      <c r="E50" s="789"/>
      <c r="F50" s="789"/>
      <c r="G50" s="1127"/>
      <c r="H50" s="787">
        <f t="shared" si="10"/>
        <v>0</v>
      </c>
      <c r="I50" s="773"/>
      <c r="J50" s="777"/>
      <c r="K50" s="777"/>
      <c r="L50" s="777"/>
      <c r="M50" s="777"/>
      <c r="N50" s="777"/>
      <c r="O50" s="777"/>
    </row>
    <row r="51" spans="1:15" s="774" customFormat="1" ht="12" customHeight="1">
      <c r="A51" s="788" t="s">
        <v>413</v>
      </c>
      <c r="B51" s="789">
        <f aca="true" t="shared" si="13" ref="B51:G51">SUM(B52:B59)</f>
        <v>0</v>
      </c>
      <c r="C51" s="789">
        <f t="shared" si="13"/>
        <v>0</v>
      </c>
      <c r="D51" s="789">
        <f t="shared" si="13"/>
        <v>0</v>
      </c>
      <c r="E51" s="789">
        <f t="shared" si="13"/>
        <v>0</v>
      </c>
      <c r="F51" s="789">
        <f t="shared" si="13"/>
        <v>0</v>
      </c>
      <c r="G51" s="1127">
        <f t="shared" si="13"/>
        <v>0</v>
      </c>
      <c r="H51" s="787">
        <f t="shared" si="10"/>
        <v>0</v>
      </c>
      <c r="I51" s="773"/>
      <c r="J51" s="777"/>
      <c r="K51" s="777"/>
      <c r="L51" s="777"/>
      <c r="M51" s="777"/>
      <c r="N51" s="777"/>
      <c r="O51" s="777"/>
    </row>
    <row r="52" spans="1:15" s="774" customFormat="1" ht="28.5" customHeight="1">
      <c r="A52" s="790" t="s">
        <v>414</v>
      </c>
      <c r="B52" s="789"/>
      <c r="C52" s="789"/>
      <c r="D52" s="789"/>
      <c r="E52" s="789"/>
      <c r="F52" s="789"/>
      <c r="G52" s="1127"/>
      <c r="H52" s="787">
        <f t="shared" si="10"/>
        <v>0</v>
      </c>
      <c r="I52" s="773"/>
      <c r="J52" s="777"/>
      <c r="K52" s="777"/>
      <c r="L52" s="777"/>
      <c r="M52" s="777"/>
      <c r="N52" s="777"/>
      <c r="O52" s="777"/>
    </row>
    <row r="53" spans="1:15" s="774" customFormat="1" ht="31.5" customHeight="1">
      <c r="A53" s="790" t="s">
        <v>415</v>
      </c>
      <c r="B53" s="789"/>
      <c r="C53" s="789"/>
      <c r="D53" s="789"/>
      <c r="E53" s="789"/>
      <c r="F53" s="789"/>
      <c r="G53" s="1127"/>
      <c r="H53" s="787">
        <f t="shared" si="10"/>
        <v>0</v>
      </c>
      <c r="I53" s="773"/>
      <c r="J53" s="777"/>
      <c r="K53" s="777"/>
      <c r="L53" s="777"/>
      <c r="M53" s="777"/>
      <c r="N53" s="777"/>
      <c r="O53" s="777"/>
    </row>
    <row r="54" spans="1:15" s="774" customFormat="1" ht="25.5" customHeight="1">
      <c r="A54" s="790" t="s">
        <v>416</v>
      </c>
      <c r="B54" s="789"/>
      <c r="C54" s="789"/>
      <c r="D54" s="789"/>
      <c r="E54" s="789"/>
      <c r="F54" s="789"/>
      <c r="G54" s="1127"/>
      <c r="H54" s="787">
        <f t="shared" si="10"/>
        <v>0</v>
      </c>
      <c r="I54" s="773"/>
      <c r="J54" s="777"/>
      <c r="K54" s="777"/>
      <c r="L54" s="777"/>
      <c r="M54" s="777"/>
      <c r="N54" s="777"/>
      <c r="O54" s="777"/>
    </row>
    <row r="55" spans="1:15" s="774" customFormat="1" ht="12" customHeight="1">
      <c r="A55" s="790" t="s">
        <v>417</v>
      </c>
      <c r="B55" s="789"/>
      <c r="C55" s="789"/>
      <c r="D55" s="789"/>
      <c r="E55" s="789"/>
      <c r="F55" s="789"/>
      <c r="G55" s="1127"/>
      <c r="H55" s="787">
        <f t="shared" si="10"/>
        <v>0</v>
      </c>
      <c r="I55" s="773"/>
      <c r="J55" s="777"/>
      <c r="K55" s="777"/>
      <c r="L55" s="777"/>
      <c r="M55" s="777"/>
      <c r="N55" s="777"/>
      <c r="O55" s="777"/>
    </row>
    <row r="56" spans="1:15" s="774" customFormat="1" ht="26.25" customHeight="1">
      <c r="A56" s="790" t="s">
        <v>418</v>
      </c>
      <c r="B56" s="789">
        <v>0</v>
      </c>
      <c r="C56" s="789"/>
      <c r="D56" s="789"/>
      <c r="E56" s="789"/>
      <c r="F56" s="789"/>
      <c r="G56" s="1127"/>
      <c r="H56" s="787">
        <f t="shared" si="10"/>
        <v>0</v>
      </c>
      <c r="I56" s="773"/>
      <c r="J56" s="777"/>
      <c r="K56" s="777"/>
      <c r="L56" s="777"/>
      <c r="M56" s="777"/>
      <c r="N56" s="777"/>
      <c r="O56" s="777"/>
    </row>
    <row r="57" spans="1:15" s="774" customFormat="1" ht="30.75" customHeight="1">
      <c r="A57" s="790" t="s">
        <v>419</v>
      </c>
      <c r="B57" s="789"/>
      <c r="C57" s="789"/>
      <c r="D57" s="789"/>
      <c r="E57" s="789"/>
      <c r="F57" s="789"/>
      <c r="G57" s="1127"/>
      <c r="H57" s="787">
        <f t="shared" si="10"/>
        <v>0</v>
      </c>
      <c r="I57" s="773"/>
      <c r="J57" s="777"/>
      <c r="K57" s="777"/>
      <c r="L57" s="777"/>
      <c r="M57" s="777"/>
      <c r="N57" s="777"/>
      <c r="O57" s="777"/>
    </row>
    <row r="58" spans="1:15" s="774" customFormat="1" ht="27.75" customHeight="1">
      <c r="A58" s="790" t="s">
        <v>420</v>
      </c>
      <c r="B58" s="789"/>
      <c r="C58" s="789"/>
      <c r="D58" s="789"/>
      <c r="E58" s="789"/>
      <c r="F58" s="789"/>
      <c r="G58" s="1127"/>
      <c r="H58" s="787">
        <f t="shared" si="10"/>
        <v>0</v>
      </c>
      <c r="I58" s="773"/>
      <c r="J58" s="777"/>
      <c r="K58" s="777"/>
      <c r="L58" s="777"/>
      <c r="M58" s="777"/>
      <c r="N58" s="777"/>
      <c r="O58" s="777"/>
    </row>
    <row r="59" spans="1:15" s="774" customFormat="1" ht="28.5" customHeight="1">
      <c r="A59" s="790" t="s">
        <v>421</v>
      </c>
      <c r="B59" s="789"/>
      <c r="C59" s="789"/>
      <c r="D59" s="789"/>
      <c r="E59" s="789"/>
      <c r="F59" s="789"/>
      <c r="G59" s="1127"/>
      <c r="H59" s="787">
        <f t="shared" si="10"/>
        <v>0</v>
      </c>
      <c r="I59" s="773"/>
      <c r="J59" s="777"/>
      <c r="K59" s="777"/>
      <c r="L59" s="777"/>
      <c r="M59" s="777"/>
      <c r="N59" s="777"/>
      <c r="O59" s="777"/>
    </row>
    <row r="60" spans="1:15" s="774" customFormat="1" ht="12" customHeight="1">
      <c r="A60" s="790" t="s">
        <v>422</v>
      </c>
      <c r="B60" s="789">
        <f aca="true" t="shared" si="14" ref="B60:G60">SUM(B61:B69)</f>
        <v>23408500</v>
      </c>
      <c r="C60" s="789">
        <f t="shared" si="14"/>
        <v>0</v>
      </c>
      <c r="D60" s="789">
        <f t="shared" si="14"/>
        <v>233631</v>
      </c>
      <c r="E60" s="789">
        <f t="shared" si="14"/>
        <v>0</v>
      </c>
      <c r="F60" s="789">
        <f t="shared" si="14"/>
        <v>0</v>
      </c>
      <c r="G60" s="1127">
        <f t="shared" si="14"/>
        <v>290001</v>
      </c>
      <c r="H60" s="787">
        <f t="shared" si="10"/>
        <v>23932132</v>
      </c>
      <c r="I60" s="773"/>
      <c r="J60" s="777"/>
      <c r="K60" s="777"/>
      <c r="L60" s="777"/>
      <c r="M60" s="777"/>
      <c r="N60" s="777"/>
      <c r="O60" s="777"/>
    </row>
    <row r="61" spans="1:15" s="774" customFormat="1" ht="12" customHeight="1">
      <c r="A61" s="790" t="s">
        <v>423</v>
      </c>
      <c r="B61" s="789">
        <v>2431577</v>
      </c>
      <c r="C61" s="789">
        <v>0</v>
      </c>
      <c r="D61" s="789">
        <v>233631</v>
      </c>
      <c r="E61" s="789">
        <v>0</v>
      </c>
      <c r="F61" s="789">
        <v>0</v>
      </c>
      <c r="G61" s="1127">
        <v>290001</v>
      </c>
      <c r="H61" s="787">
        <f t="shared" si="10"/>
        <v>2955209</v>
      </c>
      <c r="I61" s="773"/>
      <c r="J61" s="777"/>
      <c r="K61" s="777"/>
      <c r="L61" s="777"/>
      <c r="M61" s="777"/>
      <c r="N61" s="777"/>
      <c r="O61" s="777"/>
    </row>
    <row r="62" spans="1:15" s="774" customFormat="1" ht="12" customHeight="1">
      <c r="A62" s="790" t="s">
        <v>424</v>
      </c>
      <c r="B62" s="789"/>
      <c r="C62" s="789"/>
      <c r="D62" s="789"/>
      <c r="E62" s="789"/>
      <c r="F62" s="789"/>
      <c r="G62" s="1127"/>
      <c r="H62" s="787">
        <f t="shared" si="10"/>
        <v>0</v>
      </c>
      <c r="I62" s="773"/>
      <c r="J62" s="777"/>
      <c r="K62" s="777"/>
      <c r="L62" s="777"/>
      <c r="M62" s="777"/>
      <c r="N62" s="777"/>
      <c r="O62" s="777"/>
    </row>
    <row r="63" spans="1:15" s="774" customFormat="1" ht="12" customHeight="1">
      <c r="A63" s="790" t="s">
        <v>425</v>
      </c>
      <c r="B63" s="789"/>
      <c r="C63" s="789"/>
      <c r="D63" s="789"/>
      <c r="E63" s="789"/>
      <c r="F63" s="789"/>
      <c r="G63" s="1127"/>
      <c r="H63" s="787">
        <f t="shared" si="10"/>
        <v>0</v>
      </c>
      <c r="I63" s="773"/>
      <c r="J63" s="777"/>
      <c r="K63" s="777"/>
      <c r="L63" s="777"/>
      <c r="M63" s="777"/>
      <c r="N63" s="777"/>
      <c r="O63" s="777"/>
    </row>
    <row r="64" spans="1:15" s="774" customFormat="1" ht="12" customHeight="1">
      <c r="A64" s="790" t="s">
        <v>426</v>
      </c>
      <c r="B64" s="789">
        <v>270000</v>
      </c>
      <c r="C64" s="789"/>
      <c r="D64" s="789"/>
      <c r="E64" s="789"/>
      <c r="F64" s="789"/>
      <c r="G64" s="1127"/>
      <c r="H64" s="787">
        <f t="shared" si="10"/>
        <v>270000</v>
      </c>
      <c r="I64" s="773"/>
      <c r="J64" s="777"/>
      <c r="K64" s="777"/>
      <c r="L64" s="777"/>
      <c r="M64" s="777"/>
      <c r="N64" s="777"/>
      <c r="O64" s="777"/>
    </row>
    <row r="65" spans="1:15" s="774" customFormat="1" ht="27.75" customHeight="1">
      <c r="A65" s="790" t="s">
        <v>427</v>
      </c>
      <c r="B65" s="789">
        <v>20706923</v>
      </c>
      <c r="C65" s="789"/>
      <c r="D65" s="789"/>
      <c r="E65" s="789"/>
      <c r="F65" s="789"/>
      <c r="G65" s="1127"/>
      <c r="H65" s="787">
        <f t="shared" si="10"/>
        <v>20706923</v>
      </c>
      <c r="I65" s="773"/>
      <c r="J65" s="777"/>
      <c r="K65" s="777"/>
      <c r="L65" s="777"/>
      <c r="M65" s="777"/>
      <c r="N65" s="777"/>
      <c r="O65" s="777"/>
    </row>
    <row r="66" spans="1:15" s="774" customFormat="1" ht="27" customHeight="1">
      <c r="A66" s="790" t="s">
        <v>428</v>
      </c>
      <c r="B66" s="789"/>
      <c r="C66" s="789"/>
      <c r="D66" s="789"/>
      <c r="E66" s="789"/>
      <c r="F66" s="789"/>
      <c r="G66" s="1127"/>
      <c r="H66" s="787">
        <f t="shared" si="10"/>
        <v>0</v>
      </c>
      <c r="I66" s="773"/>
      <c r="J66" s="777"/>
      <c r="K66" s="777"/>
      <c r="L66" s="777"/>
      <c r="M66" s="777"/>
      <c r="N66" s="777"/>
      <c r="O66" s="777"/>
    </row>
    <row r="67" spans="1:15" s="774" customFormat="1" ht="30" customHeight="1">
      <c r="A67" s="790" t="s">
        <v>429</v>
      </c>
      <c r="B67" s="789"/>
      <c r="C67" s="789"/>
      <c r="D67" s="789"/>
      <c r="E67" s="789"/>
      <c r="F67" s="789"/>
      <c r="G67" s="1127"/>
      <c r="H67" s="787">
        <f t="shared" si="10"/>
        <v>0</v>
      </c>
      <c r="I67" s="773"/>
      <c r="J67" s="777"/>
      <c r="K67" s="777"/>
      <c r="L67" s="777"/>
      <c r="M67" s="777"/>
      <c r="N67" s="777"/>
      <c r="O67" s="777"/>
    </row>
    <row r="68" spans="1:15" s="774" customFormat="1" ht="18.75" customHeight="1">
      <c r="A68" s="790" t="s">
        <v>962</v>
      </c>
      <c r="B68" s="789"/>
      <c r="C68" s="789"/>
      <c r="D68" s="789"/>
      <c r="E68" s="789"/>
      <c r="F68" s="789"/>
      <c r="G68" s="1127"/>
      <c r="H68" s="787">
        <f t="shared" si="10"/>
        <v>0</v>
      </c>
      <c r="I68" s="773"/>
      <c r="J68" s="777"/>
      <c r="K68" s="777"/>
      <c r="L68" s="777"/>
      <c r="M68" s="777"/>
      <c r="N68" s="777"/>
      <c r="O68" s="777"/>
    </row>
    <row r="69" spans="1:15" s="774" customFormat="1" ht="30" customHeight="1">
      <c r="A69" s="790" t="s">
        <v>431</v>
      </c>
      <c r="B69" s="789"/>
      <c r="C69" s="789"/>
      <c r="D69" s="789"/>
      <c r="E69" s="789"/>
      <c r="F69" s="789"/>
      <c r="G69" s="1127"/>
      <c r="H69" s="787">
        <f t="shared" si="10"/>
        <v>0</v>
      </c>
      <c r="I69" s="773"/>
      <c r="J69" s="777"/>
      <c r="K69" s="777"/>
      <c r="L69" s="777"/>
      <c r="M69" s="777"/>
      <c r="N69" s="777"/>
      <c r="O69" s="777"/>
    </row>
    <row r="70" spans="1:15" s="774" customFormat="1" ht="12" customHeight="1">
      <c r="A70" s="785" t="s">
        <v>928</v>
      </c>
      <c r="B70" s="792">
        <v>-4580997</v>
      </c>
      <c r="C70" s="792">
        <v>0</v>
      </c>
      <c r="D70" s="792">
        <v>-35100</v>
      </c>
      <c r="E70" s="792">
        <v>0</v>
      </c>
      <c r="F70" s="792">
        <v>0</v>
      </c>
      <c r="G70" s="1128">
        <v>0</v>
      </c>
      <c r="H70" s="787">
        <f t="shared" si="10"/>
        <v>-4616097</v>
      </c>
      <c r="I70" s="773"/>
      <c r="J70" s="777"/>
      <c r="K70" s="777"/>
      <c r="L70" s="777"/>
      <c r="M70" s="777"/>
      <c r="N70" s="777"/>
      <c r="O70" s="777"/>
    </row>
    <row r="71" spans="1:15" s="774" customFormat="1" ht="12" customHeight="1">
      <c r="A71" s="796" t="s">
        <v>432</v>
      </c>
      <c r="B71" s="792">
        <f aca="true" t="shared" si="15" ref="B71:G71">SUM(B72:B74)</f>
        <v>10024288</v>
      </c>
      <c r="C71" s="792">
        <f t="shared" si="15"/>
        <v>697938</v>
      </c>
      <c r="D71" s="792">
        <f t="shared" si="15"/>
        <v>4695804</v>
      </c>
      <c r="E71" s="792">
        <f t="shared" si="15"/>
        <v>0</v>
      </c>
      <c r="F71" s="792">
        <f t="shared" si="15"/>
        <v>546812</v>
      </c>
      <c r="G71" s="1128">
        <f t="shared" si="15"/>
        <v>476634</v>
      </c>
      <c r="H71" s="787">
        <f t="shared" si="10"/>
        <v>16441476</v>
      </c>
      <c r="I71" s="773"/>
      <c r="J71" s="777"/>
      <c r="K71" s="777"/>
      <c r="L71" s="777"/>
      <c r="M71" s="777"/>
      <c r="N71" s="777"/>
      <c r="O71" s="777"/>
    </row>
    <row r="72" spans="1:15" s="774" customFormat="1" ht="12" customHeight="1">
      <c r="A72" s="788" t="s">
        <v>433</v>
      </c>
      <c r="B72" s="789">
        <v>10024288</v>
      </c>
      <c r="C72" s="789">
        <v>0</v>
      </c>
      <c r="D72" s="789">
        <v>4677860</v>
      </c>
      <c r="E72" s="789"/>
      <c r="F72" s="789"/>
      <c r="G72" s="1127"/>
      <c r="H72" s="787">
        <f>SUM(B72:G72)</f>
        <v>14702148</v>
      </c>
      <c r="I72" s="773"/>
      <c r="J72" s="777"/>
      <c r="K72" s="777"/>
      <c r="L72" s="777"/>
      <c r="M72" s="777"/>
      <c r="N72" s="777"/>
      <c r="O72" s="777"/>
    </row>
    <row r="73" spans="1:15" s="774" customFormat="1" ht="12" customHeight="1">
      <c r="A73" s="788" t="s">
        <v>434</v>
      </c>
      <c r="B73" s="789">
        <v>0</v>
      </c>
      <c r="C73" s="789">
        <v>697938</v>
      </c>
      <c r="D73" s="789">
        <v>17944</v>
      </c>
      <c r="E73" s="789"/>
      <c r="F73" s="789">
        <v>546812</v>
      </c>
      <c r="G73" s="1127">
        <v>476634</v>
      </c>
      <c r="H73" s="787">
        <f>SUM(B73:G73)</f>
        <v>1739328</v>
      </c>
      <c r="I73" s="773"/>
      <c r="J73" s="777"/>
      <c r="K73" s="777"/>
      <c r="L73" s="777"/>
      <c r="M73" s="777"/>
      <c r="N73" s="777"/>
      <c r="O73" s="777"/>
    </row>
    <row r="74" spans="1:15" s="774" customFormat="1" ht="12" customHeight="1">
      <c r="A74" s="788" t="s">
        <v>435</v>
      </c>
      <c r="B74" s="789"/>
      <c r="C74" s="789"/>
      <c r="D74" s="789"/>
      <c r="E74" s="789"/>
      <c r="F74" s="789"/>
      <c r="G74" s="1127"/>
      <c r="H74" s="787">
        <f>SUM(B74:G74)</f>
        <v>0</v>
      </c>
      <c r="I74" s="773"/>
      <c r="J74" s="777"/>
      <c r="K74" s="777"/>
      <c r="L74" s="777"/>
      <c r="M74" s="777"/>
      <c r="N74" s="777"/>
      <c r="O74" s="777"/>
    </row>
    <row r="75" spans="1:15" s="1006" customFormat="1" ht="15" customHeight="1">
      <c r="A75" s="1000" t="s">
        <v>436</v>
      </c>
      <c r="B75" s="1001">
        <f aca="true" t="shared" si="16" ref="B75:G75">B8+B26+B36+B41+B70+B71</f>
        <v>13867631776</v>
      </c>
      <c r="C75" s="1001">
        <f t="shared" si="16"/>
        <v>21029054</v>
      </c>
      <c r="D75" s="1001">
        <f t="shared" si="16"/>
        <v>18646648</v>
      </c>
      <c r="E75" s="1001">
        <f t="shared" si="16"/>
        <v>9832669</v>
      </c>
      <c r="F75" s="1001">
        <f t="shared" si="16"/>
        <v>3418240</v>
      </c>
      <c r="G75" s="1130">
        <f t="shared" si="16"/>
        <v>9500364</v>
      </c>
      <c r="H75" s="1001">
        <f>SUM(B75:G75)</f>
        <v>13930058751</v>
      </c>
      <c r="I75" s="1004"/>
      <c r="J75" s="1005"/>
      <c r="K75" s="1005"/>
      <c r="L75" s="1005"/>
      <c r="M75" s="1005"/>
      <c r="N75" s="1005"/>
      <c r="O75" s="1005"/>
    </row>
    <row r="76" spans="1:15" s="774" customFormat="1" ht="6" customHeight="1">
      <c r="A76" s="784"/>
      <c r="B76" s="782"/>
      <c r="C76" s="782"/>
      <c r="D76" s="782"/>
      <c r="E76" s="782"/>
      <c r="F76" s="782"/>
      <c r="G76" s="1131"/>
      <c r="H76" s="779"/>
      <c r="I76" s="780"/>
      <c r="J76" s="781"/>
      <c r="K76" s="781"/>
      <c r="L76" s="781"/>
      <c r="M76" s="781"/>
      <c r="N76" s="781"/>
      <c r="O76" s="781"/>
    </row>
    <row r="77" spans="1:8" ht="12.75">
      <c r="A77" s="791" t="s">
        <v>437</v>
      </c>
      <c r="B77" s="801">
        <f aca="true" t="shared" si="17" ref="B77:G77">SUM(B78:B83)</f>
        <v>13590446704</v>
      </c>
      <c r="C77" s="801">
        <f t="shared" si="17"/>
        <v>3904576</v>
      </c>
      <c r="D77" s="801">
        <f t="shared" si="17"/>
        <v>563053</v>
      </c>
      <c r="E77" s="801">
        <f t="shared" si="17"/>
        <v>-7828221</v>
      </c>
      <c r="F77" s="801">
        <f t="shared" si="17"/>
        <v>1554570</v>
      </c>
      <c r="G77" s="1132">
        <f t="shared" si="17"/>
        <v>7476709</v>
      </c>
      <c r="H77" s="801">
        <f aca="true" t="shared" si="18" ref="H77:H121">SUM(B77:G77)</f>
        <v>13596117391</v>
      </c>
    </row>
    <row r="78" spans="1:8" ht="12.75">
      <c r="A78" s="797" t="s">
        <v>438</v>
      </c>
      <c r="B78" s="804">
        <v>10209466482</v>
      </c>
      <c r="C78" s="804"/>
      <c r="D78" s="804"/>
      <c r="E78" s="804"/>
      <c r="F78" s="804">
        <v>38224</v>
      </c>
      <c r="G78" s="1133">
        <v>199056</v>
      </c>
      <c r="H78" s="801">
        <f t="shared" si="18"/>
        <v>10209703762</v>
      </c>
    </row>
    <row r="79" spans="1:8" ht="12.75">
      <c r="A79" s="797" t="s">
        <v>439</v>
      </c>
      <c r="B79" s="804">
        <v>20706923</v>
      </c>
      <c r="C79" s="804"/>
      <c r="D79" s="804"/>
      <c r="E79" s="804"/>
      <c r="F79" s="804"/>
      <c r="G79" s="1133"/>
      <c r="H79" s="801">
        <f t="shared" si="18"/>
        <v>20706923</v>
      </c>
    </row>
    <row r="80" spans="1:8" ht="12.75">
      <c r="A80" s="797" t="s">
        <v>440</v>
      </c>
      <c r="B80" s="804">
        <v>1433746293</v>
      </c>
      <c r="C80" s="804">
        <v>21317979</v>
      </c>
      <c r="D80" s="804">
        <v>8873032</v>
      </c>
      <c r="E80" s="804">
        <v>3519912</v>
      </c>
      <c r="F80" s="804">
        <v>2400108</v>
      </c>
      <c r="G80" s="1133">
        <v>1247224</v>
      </c>
      <c r="H80" s="801">
        <f t="shared" si="18"/>
        <v>1471104548</v>
      </c>
    </row>
    <row r="81" spans="1:8" ht="12.75">
      <c r="A81" s="797" t="s">
        <v>441</v>
      </c>
      <c r="B81" s="804">
        <v>-734333816</v>
      </c>
      <c r="C81" s="804">
        <v>1754044</v>
      </c>
      <c r="D81" s="804">
        <v>8453741</v>
      </c>
      <c r="E81" s="804">
        <v>3232373</v>
      </c>
      <c r="F81" s="804">
        <v>1771372</v>
      </c>
      <c r="G81" s="1133">
        <v>6231896</v>
      </c>
      <c r="H81" s="801">
        <f t="shared" si="18"/>
        <v>-712890390</v>
      </c>
    </row>
    <row r="82" spans="1:8" ht="12.75">
      <c r="A82" s="797" t="s">
        <v>442</v>
      </c>
      <c r="B82" s="804">
        <v>0</v>
      </c>
      <c r="C82" s="804"/>
      <c r="D82" s="804"/>
      <c r="E82" s="804"/>
      <c r="F82" s="804"/>
      <c r="G82" s="1133"/>
      <c r="H82" s="801">
        <f t="shared" si="18"/>
        <v>0</v>
      </c>
    </row>
    <row r="83" spans="1:8" ht="12.75">
      <c r="A83" s="797" t="s">
        <v>443</v>
      </c>
      <c r="B83" s="804">
        <v>2660860822</v>
      </c>
      <c r="C83" s="804">
        <v>-19167447</v>
      </c>
      <c r="D83" s="804">
        <v>-16763720</v>
      </c>
      <c r="E83" s="804">
        <v>-14580506</v>
      </c>
      <c r="F83" s="804">
        <v>-2655134</v>
      </c>
      <c r="G83" s="1133">
        <v>-201467</v>
      </c>
      <c r="H83" s="801">
        <f t="shared" si="18"/>
        <v>2607492548</v>
      </c>
    </row>
    <row r="84" spans="1:8" ht="12.75">
      <c r="A84" s="798" t="s">
        <v>444</v>
      </c>
      <c r="B84" s="801">
        <f aca="true" t="shared" si="19" ref="B84:G84">B85+B95+B105</f>
        <v>267966557</v>
      </c>
      <c r="C84" s="801">
        <f t="shared" si="19"/>
        <v>26400</v>
      </c>
      <c r="D84" s="801">
        <f t="shared" si="19"/>
        <v>4281839</v>
      </c>
      <c r="E84" s="801">
        <f t="shared" si="19"/>
        <v>0</v>
      </c>
      <c r="F84" s="801">
        <f t="shared" si="19"/>
        <v>1025</v>
      </c>
      <c r="G84" s="1132">
        <f t="shared" si="19"/>
        <v>0</v>
      </c>
      <c r="H84" s="801">
        <f>SUM(B84:G84)</f>
        <v>272275821</v>
      </c>
    </row>
    <row r="85" spans="1:8" ht="12.75">
      <c r="A85" s="799" t="s">
        <v>445</v>
      </c>
      <c r="B85" s="804">
        <f aca="true" t="shared" si="20" ref="B85:G85">SUM(B86:B94)</f>
        <v>11079697</v>
      </c>
      <c r="C85" s="804">
        <f t="shared" si="20"/>
        <v>0</v>
      </c>
      <c r="D85" s="804">
        <f t="shared" si="20"/>
        <v>0</v>
      </c>
      <c r="E85" s="804">
        <f t="shared" si="20"/>
        <v>0</v>
      </c>
      <c r="F85" s="804">
        <f t="shared" si="20"/>
        <v>0</v>
      </c>
      <c r="G85" s="1133">
        <f t="shared" si="20"/>
        <v>0</v>
      </c>
      <c r="H85" s="801">
        <f>SUM(B85:G85)</f>
        <v>11079697</v>
      </c>
    </row>
    <row r="86" spans="1:8" ht="15.75" customHeight="1">
      <c r="A86" s="799" t="s">
        <v>446</v>
      </c>
      <c r="B86" s="804"/>
      <c r="C86" s="804"/>
      <c r="D86" s="804"/>
      <c r="E86" s="804"/>
      <c r="F86" s="804"/>
      <c r="G86" s="1133"/>
      <c r="H86" s="801">
        <f t="shared" si="18"/>
        <v>0</v>
      </c>
    </row>
    <row r="87" spans="1:8" ht="25.5">
      <c r="A87" s="799" t="s">
        <v>447</v>
      </c>
      <c r="B87" s="804"/>
      <c r="C87" s="804"/>
      <c r="D87" s="804">
        <v>0</v>
      </c>
      <c r="E87" s="804">
        <v>0</v>
      </c>
      <c r="F87" s="804"/>
      <c r="G87" s="1133"/>
      <c r="H87" s="801">
        <f t="shared" si="18"/>
        <v>0</v>
      </c>
    </row>
    <row r="88" spans="1:8" ht="12.75">
      <c r="A88" s="799" t="s">
        <v>448</v>
      </c>
      <c r="B88" s="804">
        <v>421534</v>
      </c>
      <c r="C88" s="804">
        <v>0</v>
      </c>
      <c r="D88" s="804"/>
      <c r="E88" s="804">
        <v>0</v>
      </c>
      <c r="F88" s="804"/>
      <c r="G88" s="1133"/>
      <c r="H88" s="801">
        <f t="shared" si="18"/>
        <v>421534</v>
      </c>
    </row>
    <row r="89" spans="1:8" ht="25.5">
      <c r="A89" s="799" t="s">
        <v>449</v>
      </c>
      <c r="B89" s="804"/>
      <c r="C89" s="804"/>
      <c r="D89" s="804"/>
      <c r="E89" s="804"/>
      <c r="F89" s="804"/>
      <c r="G89" s="1133"/>
      <c r="H89" s="801">
        <f t="shared" si="18"/>
        <v>0</v>
      </c>
    </row>
    <row r="90" spans="1:8" ht="25.5">
      <c r="A90" s="799" t="s">
        <v>450</v>
      </c>
      <c r="B90" s="804"/>
      <c r="C90" s="804"/>
      <c r="D90" s="804"/>
      <c r="E90" s="804"/>
      <c r="F90" s="804"/>
      <c r="G90" s="1133"/>
      <c r="H90" s="801">
        <f t="shared" si="18"/>
        <v>0</v>
      </c>
    </row>
    <row r="91" spans="1:8" ht="12.75">
      <c r="A91" s="799" t="s">
        <v>451</v>
      </c>
      <c r="B91" s="804">
        <v>8880163</v>
      </c>
      <c r="C91" s="804"/>
      <c r="D91" s="804"/>
      <c r="E91" s="804"/>
      <c r="F91" s="804"/>
      <c r="G91" s="1133"/>
      <c r="H91" s="801">
        <f t="shared" si="18"/>
        <v>8880163</v>
      </c>
    </row>
    <row r="92" spans="1:8" ht="12.75">
      <c r="A92" s="799" t="s">
        <v>452</v>
      </c>
      <c r="B92" s="804">
        <v>1778000</v>
      </c>
      <c r="C92" s="804"/>
      <c r="D92" s="804"/>
      <c r="E92" s="804"/>
      <c r="F92" s="804"/>
      <c r="G92" s="1133"/>
      <c r="H92" s="801">
        <f t="shared" si="18"/>
        <v>1778000</v>
      </c>
    </row>
    <row r="93" spans="1:8" ht="25.5">
      <c r="A93" s="799" t="s">
        <v>453</v>
      </c>
      <c r="B93" s="804">
        <v>0</v>
      </c>
      <c r="C93" s="804"/>
      <c r="D93" s="804"/>
      <c r="E93" s="804"/>
      <c r="F93" s="804"/>
      <c r="G93" s="1133"/>
      <c r="H93" s="801">
        <f t="shared" si="18"/>
        <v>0</v>
      </c>
    </row>
    <row r="94" spans="1:8" ht="25.5">
      <c r="A94" s="799" t="s">
        <v>454</v>
      </c>
      <c r="B94" s="804"/>
      <c r="C94" s="804"/>
      <c r="D94" s="804"/>
      <c r="E94" s="804"/>
      <c r="F94" s="804"/>
      <c r="G94" s="1133"/>
      <c r="H94" s="801">
        <f t="shared" si="18"/>
        <v>0</v>
      </c>
    </row>
    <row r="95" spans="1:8" ht="12.75">
      <c r="A95" s="799" t="s">
        <v>455</v>
      </c>
      <c r="B95" s="804">
        <f aca="true" t="shared" si="21" ref="B95:G95">SUM(B96:B104)</f>
        <v>226623772</v>
      </c>
      <c r="C95" s="804">
        <f t="shared" si="21"/>
        <v>0</v>
      </c>
      <c r="D95" s="804">
        <f t="shared" si="21"/>
        <v>0</v>
      </c>
      <c r="E95" s="804">
        <f t="shared" si="21"/>
        <v>0</v>
      </c>
      <c r="F95" s="804">
        <f t="shared" si="21"/>
        <v>0</v>
      </c>
      <c r="G95" s="1133">
        <f t="shared" si="21"/>
        <v>0</v>
      </c>
      <c r="H95" s="801">
        <f t="shared" si="18"/>
        <v>226623772</v>
      </c>
    </row>
    <row r="96" spans="1:8" ht="25.5">
      <c r="A96" s="799" t="s">
        <v>456</v>
      </c>
      <c r="B96" s="804"/>
      <c r="C96" s="804"/>
      <c r="D96" s="804"/>
      <c r="E96" s="804"/>
      <c r="F96" s="804"/>
      <c r="G96" s="1133"/>
      <c r="H96" s="801">
        <f t="shared" si="18"/>
        <v>0</v>
      </c>
    </row>
    <row r="97" spans="1:8" ht="25.5">
      <c r="A97" s="799" t="s">
        <v>457</v>
      </c>
      <c r="B97" s="804"/>
      <c r="C97" s="804"/>
      <c r="D97" s="804"/>
      <c r="E97" s="804"/>
      <c r="F97" s="804"/>
      <c r="G97" s="1133"/>
      <c r="H97" s="801">
        <f t="shared" si="18"/>
        <v>0</v>
      </c>
    </row>
    <row r="98" spans="1:8" ht="18" customHeight="1">
      <c r="A98" s="799" t="s">
        <v>458</v>
      </c>
      <c r="B98" s="804">
        <v>0</v>
      </c>
      <c r="C98" s="804"/>
      <c r="D98" s="804">
        <v>0</v>
      </c>
      <c r="E98" s="804"/>
      <c r="F98" s="804"/>
      <c r="G98" s="1133"/>
      <c r="H98" s="801">
        <f t="shared" si="18"/>
        <v>0</v>
      </c>
    </row>
    <row r="99" spans="1:8" ht="25.5">
      <c r="A99" s="799" t="s">
        <v>459</v>
      </c>
      <c r="B99" s="804"/>
      <c r="C99" s="804"/>
      <c r="D99" s="804"/>
      <c r="E99" s="804"/>
      <c r="F99" s="804"/>
      <c r="G99" s="1133"/>
      <c r="H99" s="801">
        <f t="shared" si="18"/>
        <v>0</v>
      </c>
    </row>
    <row r="100" spans="1:8" ht="25.5">
      <c r="A100" s="799" t="s">
        <v>460</v>
      </c>
      <c r="B100" s="804">
        <v>13293448</v>
      </c>
      <c r="C100" s="804"/>
      <c r="D100" s="804"/>
      <c r="E100" s="804"/>
      <c r="F100" s="804"/>
      <c r="G100" s="1133"/>
      <c r="H100" s="801">
        <f t="shared" si="18"/>
        <v>13293448</v>
      </c>
    </row>
    <row r="101" spans="1:8" ht="12.75">
      <c r="A101" s="799" t="s">
        <v>461</v>
      </c>
      <c r="B101" s="804"/>
      <c r="C101" s="804"/>
      <c r="D101" s="804"/>
      <c r="E101" s="804"/>
      <c r="F101" s="804"/>
      <c r="G101" s="1133"/>
      <c r="H101" s="801">
        <f t="shared" si="18"/>
        <v>0</v>
      </c>
    </row>
    <row r="102" spans="1:8" ht="12.75">
      <c r="A102" s="799" t="s">
        <v>462</v>
      </c>
      <c r="B102" s="804"/>
      <c r="C102" s="804"/>
      <c r="D102" s="804"/>
      <c r="E102" s="804"/>
      <c r="F102" s="804"/>
      <c r="G102" s="1133"/>
      <c r="H102" s="801">
        <f t="shared" si="18"/>
        <v>0</v>
      </c>
    </row>
    <row r="103" spans="1:8" ht="25.5">
      <c r="A103" s="799" t="s">
        <v>463</v>
      </c>
      <c r="B103" s="804"/>
      <c r="C103" s="804"/>
      <c r="D103" s="804"/>
      <c r="E103" s="804"/>
      <c r="F103" s="804"/>
      <c r="G103" s="1133"/>
      <c r="H103" s="801">
        <f t="shared" si="18"/>
        <v>0</v>
      </c>
    </row>
    <row r="104" spans="1:8" ht="25.5">
      <c r="A104" s="799" t="s">
        <v>464</v>
      </c>
      <c r="B104" s="804">
        <v>213330324</v>
      </c>
      <c r="C104" s="804"/>
      <c r="D104" s="804"/>
      <c r="E104" s="804"/>
      <c r="F104" s="804"/>
      <c r="G104" s="1133"/>
      <c r="H104" s="801">
        <f t="shared" si="18"/>
        <v>213330324</v>
      </c>
    </row>
    <row r="105" spans="1:8" ht="12.75">
      <c r="A105" s="799" t="s">
        <v>465</v>
      </c>
      <c r="B105" s="804">
        <f aca="true" t="shared" si="22" ref="B105:G105">SUM(B106:B115)</f>
        <v>30263088</v>
      </c>
      <c r="C105" s="804">
        <f t="shared" si="22"/>
        <v>26400</v>
      </c>
      <c r="D105" s="804">
        <f t="shared" si="22"/>
        <v>4281839</v>
      </c>
      <c r="E105" s="804">
        <f t="shared" si="22"/>
        <v>0</v>
      </c>
      <c r="F105" s="804">
        <f t="shared" si="22"/>
        <v>1025</v>
      </c>
      <c r="G105" s="1133">
        <f t="shared" si="22"/>
        <v>0</v>
      </c>
      <c r="H105" s="801">
        <f t="shared" si="18"/>
        <v>34572352</v>
      </c>
    </row>
    <row r="106" spans="1:8" ht="12.75">
      <c r="A106" s="799" t="s">
        <v>466</v>
      </c>
      <c r="B106" s="804">
        <v>30003046</v>
      </c>
      <c r="C106" s="804">
        <v>26400</v>
      </c>
      <c r="D106" s="804">
        <v>4281839</v>
      </c>
      <c r="E106" s="804"/>
      <c r="F106" s="804">
        <v>1025</v>
      </c>
      <c r="G106" s="1133"/>
      <c r="H106" s="801">
        <f t="shared" si="18"/>
        <v>34312310</v>
      </c>
    </row>
    <row r="107" spans="1:8" ht="12.75">
      <c r="A107" s="799" t="s">
        <v>467</v>
      </c>
      <c r="B107" s="804"/>
      <c r="C107" s="804"/>
      <c r="D107" s="804"/>
      <c r="E107" s="804"/>
      <c r="F107" s="804"/>
      <c r="G107" s="1133"/>
      <c r="H107" s="801">
        <f t="shared" si="18"/>
        <v>0</v>
      </c>
    </row>
    <row r="108" spans="1:8" ht="12.75">
      <c r="A108" s="799" t="s">
        <v>468</v>
      </c>
      <c r="B108" s="804">
        <v>259401</v>
      </c>
      <c r="C108" s="804"/>
      <c r="D108" s="804"/>
      <c r="E108" s="804"/>
      <c r="F108" s="804"/>
      <c r="G108" s="1133"/>
      <c r="H108" s="801">
        <f t="shared" si="18"/>
        <v>259401</v>
      </c>
    </row>
    <row r="109" spans="1:8" ht="12.75">
      <c r="A109" s="799" t="s">
        <v>469</v>
      </c>
      <c r="B109" s="804"/>
      <c r="C109" s="804"/>
      <c r="D109" s="804"/>
      <c r="E109" s="804"/>
      <c r="F109" s="804"/>
      <c r="G109" s="1133"/>
      <c r="H109" s="801">
        <f t="shared" si="18"/>
        <v>0</v>
      </c>
    </row>
    <row r="110" spans="1:8" ht="25.5">
      <c r="A110" s="799" t="s">
        <v>963</v>
      </c>
      <c r="B110" s="804"/>
      <c r="C110" s="804"/>
      <c r="D110" s="804"/>
      <c r="E110" s="804"/>
      <c r="F110" s="804"/>
      <c r="G110" s="1133"/>
      <c r="H110" s="801">
        <f t="shared" si="18"/>
        <v>0</v>
      </c>
    </row>
    <row r="111" spans="1:8" ht="25.5">
      <c r="A111" s="799" t="s">
        <v>471</v>
      </c>
      <c r="B111" s="804"/>
      <c r="C111" s="804"/>
      <c r="D111" s="804"/>
      <c r="E111" s="804"/>
      <c r="F111" s="804"/>
      <c r="G111" s="1133"/>
      <c r="H111" s="801">
        <f t="shared" si="18"/>
        <v>0</v>
      </c>
    </row>
    <row r="112" spans="1:8" ht="25.5">
      <c r="A112" s="799" t="s">
        <v>472</v>
      </c>
      <c r="B112" s="804"/>
      <c r="C112" s="804"/>
      <c r="D112" s="804"/>
      <c r="E112" s="804"/>
      <c r="F112" s="804"/>
      <c r="G112" s="1133"/>
      <c r="H112" s="801">
        <f t="shared" si="18"/>
        <v>0</v>
      </c>
    </row>
    <row r="113" spans="1:8" ht="19.5" customHeight="1">
      <c r="A113" s="799" t="s">
        <v>473</v>
      </c>
      <c r="B113" s="804">
        <v>641</v>
      </c>
      <c r="C113" s="804"/>
      <c r="D113" s="804"/>
      <c r="E113" s="804"/>
      <c r="F113" s="804"/>
      <c r="G113" s="1133"/>
      <c r="H113" s="801">
        <f t="shared" si="18"/>
        <v>641</v>
      </c>
    </row>
    <row r="114" spans="1:8" ht="12.75">
      <c r="A114" s="799" t="s">
        <v>474</v>
      </c>
      <c r="B114" s="804"/>
      <c r="C114" s="804"/>
      <c r="D114" s="804"/>
      <c r="E114" s="804"/>
      <c r="F114" s="804"/>
      <c r="G114" s="1133"/>
      <c r="H114" s="801">
        <f t="shared" si="18"/>
        <v>0</v>
      </c>
    </row>
    <row r="115" spans="1:8" ht="12.75">
      <c r="A115" s="799" t="s">
        <v>475</v>
      </c>
      <c r="B115" s="804"/>
      <c r="C115" s="804"/>
      <c r="D115" s="804"/>
      <c r="E115" s="804"/>
      <c r="F115" s="804"/>
      <c r="G115" s="1133"/>
      <c r="H115" s="801">
        <f t="shared" si="18"/>
        <v>0</v>
      </c>
    </row>
    <row r="116" spans="1:8" ht="12.75">
      <c r="A116" s="800" t="s">
        <v>964</v>
      </c>
      <c r="B116" s="801">
        <v>0</v>
      </c>
      <c r="C116" s="801">
        <v>0</v>
      </c>
      <c r="D116" s="801">
        <v>0</v>
      </c>
      <c r="E116" s="801">
        <v>0</v>
      </c>
      <c r="F116" s="801">
        <v>0</v>
      </c>
      <c r="G116" s="1132">
        <v>0</v>
      </c>
      <c r="H116" s="801">
        <f t="shared" si="18"/>
        <v>0</v>
      </c>
    </row>
    <row r="117" spans="1:8" ht="12.75">
      <c r="A117" s="783" t="s">
        <v>965</v>
      </c>
      <c r="B117" s="801">
        <f aca="true" t="shared" si="23" ref="B117:G117">SUM(B118:B120)</f>
        <v>9218515</v>
      </c>
      <c r="C117" s="801">
        <f t="shared" si="23"/>
        <v>17098078</v>
      </c>
      <c r="D117" s="801">
        <f t="shared" si="23"/>
        <v>13801756</v>
      </c>
      <c r="E117" s="801">
        <f t="shared" si="23"/>
        <v>17660890</v>
      </c>
      <c r="F117" s="801">
        <f t="shared" si="23"/>
        <v>1862645</v>
      </c>
      <c r="G117" s="801">
        <f t="shared" si="23"/>
        <v>2023655</v>
      </c>
      <c r="H117" s="801">
        <f t="shared" si="18"/>
        <v>61665539</v>
      </c>
    </row>
    <row r="118" spans="1:8" ht="12.75">
      <c r="A118" s="797" t="s">
        <v>479</v>
      </c>
      <c r="B118" s="804"/>
      <c r="C118" s="804"/>
      <c r="D118" s="804"/>
      <c r="E118" s="804"/>
      <c r="F118" s="804"/>
      <c r="G118" s="1133"/>
      <c r="H118" s="801">
        <f t="shared" si="18"/>
        <v>0</v>
      </c>
    </row>
    <row r="119" spans="1:8" ht="12.75">
      <c r="A119" s="797" t="s">
        <v>480</v>
      </c>
      <c r="B119" s="804">
        <v>9218515</v>
      </c>
      <c r="C119" s="804">
        <v>17098078</v>
      </c>
      <c r="D119" s="804">
        <v>13801756</v>
      </c>
      <c r="E119" s="804">
        <v>17660890</v>
      </c>
      <c r="F119" s="804">
        <v>1862645</v>
      </c>
      <c r="G119" s="1133">
        <v>2023655</v>
      </c>
      <c r="H119" s="801">
        <f t="shared" si="18"/>
        <v>61665539</v>
      </c>
    </row>
    <row r="120" spans="1:8" ht="12.75">
      <c r="A120" s="797" t="s">
        <v>481</v>
      </c>
      <c r="B120" s="804"/>
      <c r="C120" s="804"/>
      <c r="D120" s="804"/>
      <c r="E120" s="804"/>
      <c r="F120" s="804"/>
      <c r="G120" s="1133"/>
      <c r="H120" s="801">
        <f t="shared" si="18"/>
        <v>0</v>
      </c>
    </row>
    <row r="121" spans="1:10" s="1003" customFormat="1" ht="15">
      <c r="A121" s="1000" t="s">
        <v>482</v>
      </c>
      <c r="B121" s="1001">
        <f aca="true" t="shared" si="24" ref="B121:G121">B77+B84+B116+B117</f>
        <v>13867631776</v>
      </c>
      <c r="C121" s="1001">
        <f t="shared" si="24"/>
        <v>21029054</v>
      </c>
      <c r="D121" s="1001">
        <f t="shared" si="24"/>
        <v>18646648</v>
      </c>
      <c r="E121" s="1001">
        <f t="shared" si="24"/>
        <v>9832669</v>
      </c>
      <c r="F121" s="1001">
        <f t="shared" si="24"/>
        <v>3418240</v>
      </c>
      <c r="G121" s="1001">
        <f t="shared" si="24"/>
        <v>9500364</v>
      </c>
      <c r="H121" s="1002">
        <f t="shared" si="18"/>
        <v>13930058751</v>
      </c>
      <c r="J121" s="1025"/>
    </row>
  </sheetData>
  <sheetProtection/>
  <mergeCells count="10">
    <mergeCell ref="D1:H1"/>
    <mergeCell ref="A2:H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3" r:id="rId2"/>
  <rowBreaks count="3" manualBreakCount="3">
    <brk id="40" max="255" man="1"/>
    <brk id="66" max="255" man="1"/>
    <brk id="94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123"/>
  <sheetViews>
    <sheetView zoomScalePageLayoutView="0" workbookViewId="0" topLeftCell="A1">
      <selection activeCell="C1" sqref="C1:H1"/>
    </sheetView>
  </sheetViews>
  <sheetFormatPr defaultColWidth="9.00390625" defaultRowHeight="12.75"/>
  <cols>
    <col min="1" max="1" width="66.25390625" style="771" customWidth="1"/>
    <col min="2" max="2" width="15.00390625" style="802" customWidth="1"/>
    <col min="3" max="3" width="11.25390625" style="802" customWidth="1"/>
    <col min="4" max="4" width="12.625" style="1126" customWidth="1"/>
    <col min="5" max="6" width="10.00390625" style="802" customWidth="1"/>
    <col min="7" max="7" width="10.25390625" style="1126" customWidth="1"/>
    <col min="8" max="8" width="15.00390625" style="802" customWidth="1"/>
    <col min="9" max="10" width="9.25390625" style="770" customWidth="1"/>
    <col min="11" max="11" width="6.125" style="770" customWidth="1"/>
    <col min="12" max="12" width="16.375" style="770" customWidth="1"/>
    <col min="13" max="13" width="8.875" style="770" customWidth="1"/>
    <col min="14" max="14" width="6.375" style="770" customWidth="1"/>
    <col min="15" max="15" width="9.00390625" style="770" customWidth="1"/>
    <col min="16" max="16384" width="9.125" style="770" customWidth="1"/>
  </cols>
  <sheetData>
    <row r="1" spans="3:8" ht="12.75">
      <c r="C1" s="1942" t="s">
        <v>1085</v>
      </c>
      <c r="D1" s="1942"/>
      <c r="E1" s="1942"/>
      <c r="F1" s="1942"/>
      <c r="G1" s="1942"/>
      <c r="H1" s="1942"/>
    </row>
    <row r="2" spans="1:8" ht="24" customHeight="1">
      <c r="A2" s="1773"/>
      <c r="B2" s="1773"/>
      <c r="C2" s="1773"/>
      <c r="D2" s="1773"/>
      <c r="E2" s="1773"/>
      <c r="F2" s="1773"/>
      <c r="G2" s="1773"/>
      <c r="H2" s="1773"/>
    </row>
    <row r="3" ht="14.25" customHeight="1">
      <c r="H3" s="803" t="s">
        <v>540</v>
      </c>
    </row>
    <row r="4" spans="1:15" s="774" customFormat="1" ht="9.75" customHeight="1">
      <c r="A4" s="1774" t="s">
        <v>747</v>
      </c>
      <c r="B4" s="1775" t="s">
        <v>929</v>
      </c>
      <c r="C4" s="1775" t="s">
        <v>483</v>
      </c>
      <c r="D4" s="1775" t="s">
        <v>484</v>
      </c>
      <c r="E4" s="1775" t="s">
        <v>160</v>
      </c>
      <c r="F4" s="1775" t="s">
        <v>60</v>
      </c>
      <c r="G4" s="1775" t="s">
        <v>334</v>
      </c>
      <c r="H4" s="1777" t="s">
        <v>18</v>
      </c>
      <c r="I4" s="772"/>
      <c r="J4" s="773"/>
      <c r="K4" s="773"/>
      <c r="L4" s="773"/>
      <c r="M4" s="773"/>
      <c r="N4" s="773"/>
      <c r="O4" s="773"/>
    </row>
    <row r="5" spans="1:15" s="774" customFormat="1" ht="24.75" customHeight="1">
      <c r="A5" s="1774"/>
      <c r="B5" s="1776"/>
      <c r="C5" s="1775"/>
      <c r="D5" s="1775"/>
      <c r="E5" s="1775"/>
      <c r="F5" s="1775"/>
      <c r="G5" s="1775"/>
      <c r="H5" s="1777"/>
      <c r="I5" s="775"/>
      <c r="J5" s="773"/>
      <c r="K5" s="773"/>
      <c r="L5" s="773"/>
      <c r="M5" s="773"/>
      <c r="N5" s="773"/>
      <c r="O5" s="773"/>
    </row>
    <row r="6" spans="1:15" s="774" customFormat="1" ht="19.5" customHeight="1">
      <c r="A6" s="1774"/>
      <c r="B6" s="1776"/>
      <c r="C6" s="1775"/>
      <c r="D6" s="1775"/>
      <c r="E6" s="1775"/>
      <c r="F6" s="1775"/>
      <c r="G6" s="1775"/>
      <c r="H6" s="1777"/>
      <c r="I6" s="775"/>
      <c r="J6" s="773"/>
      <c r="K6" s="773"/>
      <c r="L6" s="773"/>
      <c r="M6" s="773"/>
      <c r="N6" s="773"/>
      <c r="O6" s="773"/>
    </row>
    <row r="7" spans="1:15" s="774" customFormat="1" ht="12.75" customHeight="1">
      <c r="A7" s="1774"/>
      <c r="B7" s="1776"/>
      <c r="C7" s="1775"/>
      <c r="D7" s="1775"/>
      <c r="E7" s="1775"/>
      <c r="F7" s="1775"/>
      <c r="G7" s="1775"/>
      <c r="H7" s="1777"/>
      <c r="I7" s="772"/>
      <c r="J7" s="773"/>
      <c r="K7" s="773"/>
      <c r="L7" s="773"/>
      <c r="M7" s="773"/>
      <c r="N7" s="773"/>
      <c r="O7" s="773"/>
    </row>
    <row r="8" spans="1:15" s="774" customFormat="1" ht="15" customHeight="1">
      <c r="A8" s="786" t="s">
        <v>371</v>
      </c>
      <c r="B8" s="787">
        <f aca="true" t="shared" si="0" ref="B8:G8">B9+B13+B19+B23</f>
        <v>9631491455</v>
      </c>
      <c r="C8" s="787">
        <f t="shared" si="0"/>
        <v>0</v>
      </c>
      <c r="D8" s="787">
        <f t="shared" si="0"/>
        <v>0</v>
      </c>
      <c r="E8" s="787">
        <f t="shared" si="0"/>
        <v>0</v>
      </c>
      <c r="F8" s="787">
        <f t="shared" si="0"/>
        <v>0</v>
      </c>
      <c r="G8" s="787">
        <f t="shared" si="0"/>
        <v>5094488</v>
      </c>
      <c r="H8" s="787">
        <f aca="true" t="shared" si="1" ref="H8:H39">SUM(B8:G8)</f>
        <v>9636585943</v>
      </c>
      <c r="I8" s="772"/>
      <c r="J8" s="776"/>
      <c r="K8" s="776"/>
      <c r="L8" s="776"/>
      <c r="M8" s="776"/>
      <c r="N8" s="776"/>
      <c r="O8" s="776"/>
    </row>
    <row r="9" spans="1:15" s="774" customFormat="1" ht="13.5" customHeight="1">
      <c r="A9" s="788" t="s">
        <v>372</v>
      </c>
      <c r="B9" s="789">
        <f aca="true" t="shared" si="2" ref="B9:G9">B10+B11+B12</f>
        <v>37645012</v>
      </c>
      <c r="C9" s="789">
        <f t="shared" si="2"/>
        <v>0</v>
      </c>
      <c r="D9" s="789">
        <f t="shared" si="2"/>
        <v>0</v>
      </c>
      <c r="E9" s="789">
        <f t="shared" si="2"/>
        <v>0</v>
      </c>
      <c r="F9" s="789">
        <f t="shared" si="2"/>
        <v>0</v>
      </c>
      <c r="G9" s="789">
        <f t="shared" si="2"/>
        <v>0</v>
      </c>
      <c r="H9" s="787">
        <f t="shared" si="1"/>
        <v>37645012</v>
      </c>
      <c r="I9" s="773"/>
      <c r="J9" s="777"/>
      <c r="K9" s="777"/>
      <c r="L9" s="777"/>
      <c r="M9" s="777"/>
      <c r="N9" s="777"/>
      <c r="O9" s="777"/>
    </row>
    <row r="10" spans="1:15" s="774" customFormat="1" ht="13.5" customHeight="1">
      <c r="A10" s="788" t="s">
        <v>373</v>
      </c>
      <c r="B10" s="789">
        <v>48145</v>
      </c>
      <c r="C10" s="789"/>
      <c r="D10" s="789"/>
      <c r="E10" s="789"/>
      <c r="F10" s="789"/>
      <c r="G10" s="789"/>
      <c r="H10" s="787">
        <f t="shared" si="1"/>
        <v>48145</v>
      </c>
      <c r="I10" s="773"/>
      <c r="J10" s="777"/>
      <c r="K10" s="777"/>
      <c r="L10" s="777"/>
      <c r="M10" s="777"/>
      <c r="N10" s="777"/>
      <c r="O10" s="777"/>
    </row>
    <row r="11" spans="1:15" s="774" customFormat="1" ht="13.5" customHeight="1">
      <c r="A11" s="788" t="s">
        <v>374</v>
      </c>
      <c r="B11" s="789">
        <v>37596867</v>
      </c>
      <c r="C11" s="789"/>
      <c r="D11" s="789"/>
      <c r="E11" s="789"/>
      <c r="F11" s="789"/>
      <c r="G11" s="789">
        <v>0</v>
      </c>
      <c r="H11" s="787">
        <f t="shared" si="1"/>
        <v>37596867</v>
      </c>
      <c r="I11" s="773"/>
      <c r="J11" s="777"/>
      <c r="K11" s="777"/>
      <c r="L11" s="777"/>
      <c r="M11" s="777"/>
      <c r="N11" s="777"/>
      <c r="O11" s="777"/>
    </row>
    <row r="12" spans="1:15" s="774" customFormat="1" ht="13.5" customHeight="1">
      <c r="A12" s="788" t="s">
        <v>375</v>
      </c>
      <c r="B12" s="789"/>
      <c r="C12" s="789"/>
      <c r="D12" s="789"/>
      <c r="E12" s="789"/>
      <c r="F12" s="789"/>
      <c r="G12" s="789"/>
      <c r="H12" s="787">
        <f t="shared" si="1"/>
        <v>0</v>
      </c>
      <c r="I12" s="773"/>
      <c r="J12" s="777"/>
      <c r="K12" s="777"/>
      <c r="L12" s="777"/>
      <c r="M12" s="777"/>
      <c r="N12" s="777"/>
      <c r="O12" s="777"/>
    </row>
    <row r="13" spans="1:15" s="774" customFormat="1" ht="13.5" customHeight="1">
      <c r="A13" s="788" t="s">
        <v>376</v>
      </c>
      <c r="B13" s="789">
        <f aca="true" t="shared" si="3" ref="B13:G13">SUM(B14:B18)</f>
        <v>9322692447</v>
      </c>
      <c r="C13" s="789">
        <f t="shared" si="3"/>
        <v>0</v>
      </c>
      <c r="D13" s="789">
        <f t="shared" si="3"/>
        <v>0</v>
      </c>
      <c r="E13" s="789">
        <f t="shared" si="3"/>
        <v>0</v>
      </c>
      <c r="F13" s="789">
        <f t="shared" si="3"/>
        <v>0</v>
      </c>
      <c r="G13" s="789">
        <f t="shared" si="3"/>
        <v>5094488</v>
      </c>
      <c r="H13" s="787">
        <f t="shared" si="1"/>
        <v>9327786935</v>
      </c>
      <c r="I13" s="772"/>
      <c r="J13" s="777"/>
      <c r="K13" s="777"/>
      <c r="L13" s="777"/>
      <c r="M13" s="777"/>
      <c r="N13" s="777"/>
      <c r="O13" s="777"/>
    </row>
    <row r="14" spans="1:15" s="774" customFormat="1" ht="15.75" customHeight="1">
      <c r="A14" s="788" t="s">
        <v>377</v>
      </c>
      <c r="B14" s="789">
        <v>7935358022</v>
      </c>
      <c r="C14" s="789"/>
      <c r="D14" s="789"/>
      <c r="E14" s="789"/>
      <c r="F14" s="789"/>
      <c r="G14" s="789"/>
      <c r="H14" s="787">
        <f t="shared" si="1"/>
        <v>7935358022</v>
      </c>
      <c r="I14" s="773"/>
      <c r="J14" s="777"/>
      <c r="K14" s="777"/>
      <c r="L14" s="777"/>
      <c r="M14" s="777"/>
      <c r="N14" s="777"/>
      <c r="O14" s="777"/>
    </row>
    <row r="15" spans="1:15" s="774" customFormat="1" ht="15.75" customHeight="1">
      <c r="A15" s="788" t="s">
        <v>378</v>
      </c>
      <c r="B15" s="789">
        <v>329667042</v>
      </c>
      <c r="C15" s="789"/>
      <c r="D15" s="789"/>
      <c r="E15" s="789"/>
      <c r="F15" s="789"/>
      <c r="G15" s="789">
        <v>5094488</v>
      </c>
      <c r="H15" s="787">
        <f t="shared" si="1"/>
        <v>334761530</v>
      </c>
      <c r="I15" s="773"/>
      <c r="J15" s="777"/>
      <c r="K15" s="777"/>
      <c r="L15" s="777"/>
      <c r="M15" s="777"/>
      <c r="N15" s="777"/>
      <c r="O15" s="777"/>
    </row>
    <row r="16" spans="1:15" s="774" customFormat="1" ht="15.75" customHeight="1">
      <c r="A16" s="788" t="s">
        <v>379</v>
      </c>
      <c r="B16" s="789"/>
      <c r="C16" s="789"/>
      <c r="D16" s="789"/>
      <c r="E16" s="789"/>
      <c r="F16" s="789"/>
      <c r="G16" s="789"/>
      <c r="H16" s="787">
        <f t="shared" si="1"/>
        <v>0</v>
      </c>
      <c r="I16" s="773"/>
      <c r="J16" s="777"/>
      <c r="K16" s="777"/>
      <c r="L16" s="777"/>
      <c r="M16" s="777"/>
      <c r="N16" s="777"/>
      <c r="O16" s="777"/>
    </row>
    <row r="17" spans="1:15" s="774" customFormat="1" ht="15.75" customHeight="1">
      <c r="A17" s="788" t="s">
        <v>380</v>
      </c>
      <c r="B17" s="789">
        <v>1057667383</v>
      </c>
      <c r="C17" s="789"/>
      <c r="D17" s="789"/>
      <c r="E17" s="789"/>
      <c r="F17" s="789"/>
      <c r="G17" s="789"/>
      <c r="H17" s="787">
        <f t="shared" si="1"/>
        <v>1057667383</v>
      </c>
      <c r="I17" s="773"/>
      <c r="J17" s="777"/>
      <c r="K17" s="777"/>
      <c r="L17" s="777"/>
      <c r="M17" s="777"/>
      <c r="N17" s="777"/>
      <c r="O17" s="777"/>
    </row>
    <row r="18" spans="1:15" s="774" customFormat="1" ht="15.75" customHeight="1">
      <c r="A18" s="788" t="s">
        <v>381</v>
      </c>
      <c r="B18" s="789"/>
      <c r="C18" s="789"/>
      <c r="D18" s="789"/>
      <c r="E18" s="789"/>
      <c r="F18" s="789"/>
      <c r="G18" s="789"/>
      <c r="H18" s="787">
        <f t="shared" si="1"/>
        <v>0</v>
      </c>
      <c r="I18" s="773"/>
      <c r="J18" s="777"/>
      <c r="K18" s="777"/>
      <c r="L18" s="777"/>
      <c r="M18" s="777"/>
      <c r="N18" s="777"/>
      <c r="O18" s="777"/>
    </row>
    <row r="19" spans="1:15" s="774" customFormat="1" ht="15.75" customHeight="1">
      <c r="A19" s="788" t="s">
        <v>382</v>
      </c>
      <c r="B19" s="789">
        <f aca="true" t="shared" si="4" ref="B19:G19">SUM(B20:B22)</f>
        <v>45012058</v>
      </c>
      <c r="C19" s="789">
        <f t="shared" si="4"/>
        <v>0</v>
      </c>
      <c r="D19" s="789">
        <f t="shared" si="4"/>
        <v>0</v>
      </c>
      <c r="E19" s="789">
        <f t="shared" si="4"/>
        <v>0</v>
      </c>
      <c r="F19" s="789">
        <f t="shared" si="4"/>
        <v>0</v>
      </c>
      <c r="G19" s="789">
        <f t="shared" si="4"/>
        <v>0</v>
      </c>
      <c r="H19" s="787">
        <f t="shared" si="1"/>
        <v>45012058</v>
      </c>
      <c r="I19" s="773"/>
      <c r="J19" s="777"/>
      <c r="K19" s="777"/>
      <c r="L19" s="777"/>
      <c r="M19" s="777"/>
      <c r="N19" s="777"/>
      <c r="O19" s="777"/>
    </row>
    <row r="20" spans="1:15" s="774" customFormat="1" ht="15.75" customHeight="1">
      <c r="A20" s="788" t="s">
        <v>383</v>
      </c>
      <c r="B20" s="789">
        <v>45012058</v>
      </c>
      <c r="C20" s="789"/>
      <c r="D20" s="789"/>
      <c r="E20" s="789"/>
      <c r="F20" s="789"/>
      <c r="G20" s="789"/>
      <c r="H20" s="787">
        <f t="shared" si="1"/>
        <v>45012058</v>
      </c>
      <c r="I20" s="773"/>
      <c r="J20" s="777"/>
      <c r="K20" s="777"/>
      <c r="L20" s="777"/>
      <c r="M20" s="777"/>
      <c r="N20" s="777"/>
      <c r="O20" s="777"/>
    </row>
    <row r="21" spans="1:15" s="774" customFormat="1" ht="15.75" customHeight="1">
      <c r="A21" s="788" t="s">
        <v>384</v>
      </c>
      <c r="B21" s="789"/>
      <c r="C21" s="789"/>
      <c r="D21" s="789"/>
      <c r="E21" s="789"/>
      <c r="F21" s="789"/>
      <c r="G21" s="789"/>
      <c r="H21" s="787">
        <f t="shared" si="1"/>
        <v>0</v>
      </c>
      <c r="I21" s="773"/>
      <c r="J21" s="777"/>
      <c r="K21" s="777"/>
      <c r="L21" s="777"/>
      <c r="M21" s="777"/>
      <c r="N21" s="777"/>
      <c r="O21" s="777"/>
    </row>
    <row r="22" spans="1:15" s="774" customFormat="1" ht="15.75" customHeight="1">
      <c r="A22" s="788" t="s">
        <v>385</v>
      </c>
      <c r="B22" s="789"/>
      <c r="C22" s="789"/>
      <c r="D22" s="789"/>
      <c r="E22" s="789"/>
      <c r="F22" s="789"/>
      <c r="G22" s="789"/>
      <c r="H22" s="787">
        <f t="shared" si="1"/>
        <v>0</v>
      </c>
      <c r="I22" s="773"/>
      <c r="J22" s="777"/>
      <c r="K22" s="777"/>
      <c r="L22" s="777"/>
      <c r="M22" s="777"/>
      <c r="N22" s="777"/>
      <c r="O22" s="777"/>
    </row>
    <row r="23" spans="1:15" s="774" customFormat="1" ht="14.25" customHeight="1">
      <c r="A23" s="790" t="s">
        <v>386</v>
      </c>
      <c r="B23" s="789">
        <f aca="true" t="shared" si="5" ref="B23:G23">SUM(B24:B25)</f>
        <v>226141938</v>
      </c>
      <c r="C23" s="789">
        <f t="shared" si="5"/>
        <v>0</v>
      </c>
      <c r="D23" s="789">
        <f t="shared" si="5"/>
        <v>0</v>
      </c>
      <c r="E23" s="789">
        <f t="shared" si="5"/>
        <v>0</v>
      </c>
      <c r="F23" s="789">
        <f t="shared" si="5"/>
        <v>0</v>
      </c>
      <c r="G23" s="789">
        <f t="shared" si="5"/>
        <v>0</v>
      </c>
      <c r="H23" s="787">
        <f t="shared" si="1"/>
        <v>226141938</v>
      </c>
      <c r="I23" s="772"/>
      <c r="J23" s="778"/>
      <c r="K23" s="778"/>
      <c r="L23" s="778"/>
      <c r="M23" s="778"/>
      <c r="N23" s="778"/>
      <c r="O23" s="778"/>
    </row>
    <row r="24" spans="1:15" s="774" customFormat="1" ht="15.75" customHeight="1">
      <c r="A24" s="788" t="s">
        <v>387</v>
      </c>
      <c r="B24" s="789">
        <v>226141938</v>
      </c>
      <c r="C24" s="789"/>
      <c r="D24" s="789"/>
      <c r="E24" s="789"/>
      <c r="F24" s="789"/>
      <c r="G24" s="789"/>
      <c r="H24" s="787">
        <f t="shared" si="1"/>
        <v>226141938</v>
      </c>
      <c r="I24" s="772"/>
      <c r="J24" s="778"/>
      <c r="K24" s="778"/>
      <c r="L24" s="778"/>
      <c r="M24" s="778"/>
      <c r="N24" s="778"/>
      <c r="O24" s="778"/>
    </row>
    <row r="25" spans="1:15" s="774" customFormat="1" ht="15.75" customHeight="1">
      <c r="A25" s="788" t="s">
        <v>388</v>
      </c>
      <c r="B25" s="789"/>
      <c r="C25" s="789"/>
      <c r="D25" s="789"/>
      <c r="E25" s="789"/>
      <c r="F25" s="789"/>
      <c r="G25" s="789"/>
      <c r="H25" s="787">
        <f t="shared" si="1"/>
        <v>0</v>
      </c>
      <c r="I25" s="772"/>
      <c r="J25" s="778"/>
      <c r="K25" s="778"/>
      <c r="L25" s="778"/>
      <c r="M25" s="778"/>
      <c r="N25" s="778"/>
      <c r="O25" s="778"/>
    </row>
    <row r="26" spans="1:15" s="774" customFormat="1" ht="15.75" customHeight="1">
      <c r="A26" s="791" t="s">
        <v>389</v>
      </c>
      <c r="B26" s="792">
        <f aca="true" t="shared" si="6" ref="B26:G26">B27+B33</f>
        <v>0</v>
      </c>
      <c r="C26" s="792">
        <f t="shared" si="6"/>
        <v>2147098</v>
      </c>
      <c r="D26" s="792">
        <f t="shared" si="6"/>
        <v>593518</v>
      </c>
      <c r="E26" s="792">
        <f t="shared" si="6"/>
        <v>357580</v>
      </c>
      <c r="F26" s="792">
        <f t="shared" si="6"/>
        <v>12590</v>
      </c>
      <c r="G26" s="792">
        <f t="shared" si="6"/>
        <v>90915</v>
      </c>
      <c r="H26" s="787">
        <f t="shared" si="1"/>
        <v>3201701</v>
      </c>
      <c r="I26" s="773"/>
      <c r="J26" s="777"/>
      <c r="K26" s="777"/>
      <c r="L26" s="777"/>
      <c r="M26" s="777"/>
      <c r="N26" s="777"/>
      <c r="O26" s="777"/>
    </row>
    <row r="27" spans="1:15" s="774" customFormat="1" ht="12" customHeight="1">
      <c r="A27" s="793" t="s">
        <v>390</v>
      </c>
      <c r="B27" s="789">
        <f aca="true" t="shared" si="7" ref="B27:G27">SUM(B28:B32)</f>
        <v>0</v>
      </c>
      <c r="C27" s="789">
        <f t="shared" si="7"/>
        <v>2147098</v>
      </c>
      <c r="D27" s="1127">
        <f t="shared" si="7"/>
        <v>593518</v>
      </c>
      <c r="E27" s="789">
        <f t="shared" si="7"/>
        <v>357580</v>
      </c>
      <c r="F27" s="789">
        <f t="shared" si="7"/>
        <v>12590</v>
      </c>
      <c r="G27" s="789">
        <f t="shared" si="7"/>
        <v>90915</v>
      </c>
      <c r="H27" s="787">
        <f t="shared" si="1"/>
        <v>3201701</v>
      </c>
      <c r="I27" s="773"/>
      <c r="J27" s="777"/>
      <c r="K27" s="777"/>
      <c r="L27" s="777"/>
      <c r="M27" s="777"/>
      <c r="N27" s="777"/>
      <c r="O27" s="777"/>
    </row>
    <row r="28" spans="1:15" s="774" customFormat="1" ht="12" customHeight="1">
      <c r="A28" s="788" t="s">
        <v>391</v>
      </c>
      <c r="B28" s="789"/>
      <c r="C28" s="789">
        <v>2147098</v>
      </c>
      <c r="D28" s="1127">
        <v>593518</v>
      </c>
      <c r="E28" s="789">
        <v>357580</v>
      </c>
      <c r="F28" s="789">
        <v>12590</v>
      </c>
      <c r="G28" s="789">
        <v>90915</v>
      </c>
      <c r="H28" s="787">
        <f t="shared" si="1"/>
        <v>3201701</v>
      </c>
      <c r="I28" s="773"/>
      <c r="J28" s="777"/>
      <c r="K28" s="777"/>
      <c r="L28" s="777"/>
      <c r="M28" s="777"/>
      <c r="N28" s="777"/>
      <c r="O28" s="777"/>
    </row>
    <row r="29" spans="1:15" s="774" customFormat="1" ht="12" customHeight="1">
      <c r="A29" s="788" t="s">
        <v>392</v>
      </c>
      <c r="B29" s="789"/>
      <c r="C29" s="789"/>
      <c r="D29" s="1127"/>
      <c r="E29" s="789"/>
      <c r="F29" s="789"/>
      <c r="G29" s="1127"/>
      <c r="H29" s="787">
        <f t="shared" si="1"/>
        <v>0</v>
      </c>
      <c r="I29" s="773"/>
      <c r="J29" s="777"/>
      <c r="K29" s="777"/>
      <c r="L29" s="777"/>
      <c r="M29" s="777"/>
      <c r="N29" s="777"/>
      <c r="O29" s="777"/>
    </row>
    <row r="30" spans="1:15" s="774" customFormat="1" ht="12" customHeight="1">
      <c r="A30" s="788" t="s">
        <v>393</v>
      </c>
      <c r="B30" s="789"/>
      <c r="C30" s="789"/>
      <c r="D30" s="1127"/>
      <c r="E30" s="789"/>
      <c r="F30" s="789"/>
      <c r="G30" s="1127"/>
      <c r="H30" s="787">
        <f t="shared" si="1"/>
        <v>0</v>
      </c>
      <c r="I30" s="773"/>
      <c r="J30" s="777"/>
      <c r="K30" s="777"/>
      <c r="L30" s="777"/>
      <c r="M30" s="777"/>
      <c r="N30" s="777"/>
      <c r="O30" s="777"/>
    </row>
    <row r="31" spans="1:15" s="774" customFormat="1" ht="12" customHeight="1">
      <c r="A31" s="788" t="s">
        <v>394</v>
      </c>
      <c r="B31" s="789">
        <v>0</v>
      </c>
      <c r="C31" s="789">
        <v>0</v>
      </c>
      <c r="D31" s="1127">
        <v>0</v>
      </c>
      <c r="E31" s="789">
        <v>0</v>
      </c>
      <c r="F31" s="789">
        <v>0</v>
      </c>
      <c r="G31" s="1127">
        <v>0</v>
      </c>
      <c r="H31" s="787">
        <f t="shared" si="1"/>
        <v>0</v>
      </c>
      <c r="I31" s="773"/>
      <c r="J31" s="777"/>
      <c r="K31" s="777"/>
      <c r="L31" s="777"/>
      <c r="M31" s="777"/>
      <c r="N31" s="777"/>
      <c r="O31" s="777"/>
    </row>
    <row r="32" spans="1:15" s="774" customFormat="1" ht="12" customHeight="1">
      <c r="A32" s="790" t="s">
        <v>395</v>
      </c>
      <c r="B32" s="789"/>
      <c r="C32" s="789"/>
      <c r="D32" s="1127"/>
      <c r="E32" s="789"/>
      <c r="F32" s="789"/>
      <c r="G32" s="1127"/>
      <c r="H32" s="787">
        <f t="shared" si="1"/>
        <v>0</v>
      </c>
      <c r="I32" s="773"/>
      <c r="J32" s="777"/>
      <c r="K32" s="777"/>
      <c r="L32" s="777"/>
      <c r="M32" s="777"/>
      <c r="N32" s="777"/>
      <c r="O32" s="777"/>
    </row>
    <row r="33" spans="1:15" s="774" customFormat="1" ht="12" customHeight="1">
      <c r="A33" s="794" t="s">
        <v>396</v>
      </c>
      <c r="B33" s="795">
        <f aca="true" t="shared" si="8" ref="B33:G33">B35+B34</f>
        <v>0</v>
      </c>
      <c r="C33" s="795">
        <f t="shared" si="8"/>
        <v>0</v>
      </c>
      <c r="D33" s="1129">
        <f t="shared" si="8"/>
        <v>0</v>
      </c>
      <c r="E33" s="795">
        <f t="shared" si="8"/>
        <v>0</v>
      </c>
      <c r="F33" s="795">
        <f t="shared" si="8"/>
        <v>0</v>
      </c>
      <c r="G33" s="1129">
        <f t="shared" si="8"/>
        <v>0</v>
      </c>
      <c r="H33" s="787">
        <f t="shared" si="1"/>
        <v>0</v>
      </c>
      <c r="I33" s="773"/>
      <c r="J33" s="777"/>
      <c r="K33" s="777"/>
      <c r="L33" s="777"/>
      <c r="M33" s="777"/>
      <c r="N33" s="777"/>
      <c r="O33" s="777"/>
    </row>
    <row r="34" spans="1:15" s="774" customFormat="1" ht="12" customHeight="1">
      <c r="A34" s="794" t="s">
        <v>397</v>
      </c>
      <c r="B34" s="795"/>
      <c r="C34" s="795"/>
      <c r="D34" s="1129"/>
      <c r="E34" s="795"/>
      <c r="F34" s="795"/>
      <c r="G34" s="1129"/>
      <c r="H34" s="787">
        <f t="shared" si="1"/>
        <v>0</v>
      </c>
      <c r="I34" s="773"/>
      <c r="J34" s="777"/>
      <c r="K34" s="777"/>
      <c r="L34" s="777"/>
      <c r="M34" s="777"/>
      <c r="N34" s="777"/>
      <c r="O34" s="777"/>
    </row>
    <row r="35" spans="1:15" s="774" customFormat="1" ht="12" customHeight="1">
      <c r="A35" s="788" t="s">
        <v>398</v>
      </c>
      <c r="B35" s="795"/>
      <c r="C35" s="795"/>
      <c r="D35" s="1129"/>
      <c r="E35" s="795"/>
      <c r="F35" s="795"/>
      <c r="G35" s="1129"/>
      <c r="H35" s="787">
        <f t="shared" si="1"/>
        <v>0</v>
      </c>
      <c r="I35" s="773"/>
      <c r="J35" s="777"/>
      <c r="K35" s="777"/>
      <c r="L35" s="777"/>
      <c r="M35" s="777"/>
      <c r="N35" s="777"/>
      <c r="O35" s="777"/>
    </row>
    <row r="36" spans="1:15" s="774" customFormat="1" ht="12" customHeight="1">
      <c r="A36" s="796" t="s">
        <v>399</v>
      </c>
      <c r="B36" s="792">
        <f>SUM(B37:B41)</f>
        <v>1102915221</v>
      </c>
      <c r="C36" s="792">
        <f>SUM(C37:C40)</f>
        <v>21264505</v>
      </c>
      <c r="D36" s="1128">
        <f>SUM(D37:D40)</f>
        <v>17869441</v>
      </c>
      <c r="E36" s="792">
        <f>SUM(E37:E40)</f>
        <v>6445739</v>
      </c>
      <c r="F36" s="792">
        <f>SUM(F37:F40)</f>
        <v>3765108</v>
      </c>
      <c r="G36" s="1128">
        <f>SUM(G37:G40)</f>
        <v>2539865</v>
      </c>
      <c r="H36" s="787">
        <f t="shared" si="1"/>
        <v>1154799879</v>
      </c>
      <c r="I36" s="773"/>
      <c r="J36" s="777"/>
      <c r="K36" s="777"/>
      <c r="L36" s="777"/>
      <c r="M36" s="777"/>
      <c r="N36" s="777"/>
      <c r="O36" s="777"/>
    </row>
    <row r="37" spans="1:15" s="774" customFormat="1" ht="14.25" customHeight="1">
      <c r="A37" s="794" t="s">
        <v>927</v>
      </c>
      <c r="B37" s="789"/>
      <c r="C37" s="789"/>
      <c r="D37" s="1127"/>
      <c r="E37" s="789"/>
      <c r="F37" s="789"/>
      <c r="G37" s="1127"/>
      <c r="H37" s="787">
        <f t="shared" si="1"/>
        <v>0</v>
      </c>
      <c r="I37" s="773"/>
      <c r="J37" s="777"/>
      <c r="K37" s="777"/>
      <c r="L37" s="777"/>
      <c r="M37" s="777"/>
      <c r="N37" s="777"/>
      <c r="O37" s="777"/>
    </row>
    <row r="38" spans="1:15" s="774" customFormat="1" ht="14.25" customHeight="1">
      <c r="A38" s="788" t="s">
        <v>400</v>
      </c>
      <c r="B38" s="789">
        <v>233225</v>
      </c>
      <c r="C38" s="789">
        <v>323435</v>
      </c>
      <c r="D38" s="1127">
        <v>0</v>
      </c>
      <c r="E38" s="789"/>
      <c r="F38" s="789">
        <v>0</v>
      </c>
      <c r="G38" s="1127"/>
      <c r="H38" s="787">
        <f t="shared" si="1"/>
        <v>556660</v>
      </c>
      <c r="I38" s="773"/>
      <c r="J38" s="777"/>
      <c r="K38" s="777"/>
      <c r="L38" s="777"/>
      <c r="M38" s="777"/>
      <c r="N38" s="777"/>
      <c r="O38" s="777"/>
    </row>
    <row r="39" spans="1:15" s="774" customFormat="1" ht="14.25" customHeight="1">
      <c r="A39" s="788" t="s">
        <v>401</v>
      </c>
      <c r="B39" s="789">
        <v>1102681996</v>
      </c>
      <c r="C39" s="789">
        <v>20941070</v>
      </c>
      <c r="D39" s="1127">
        <v>17869441</v>
      </c>
      <c r="E39" s="789">
        <v>6445739</v>
      </c>
      <c r="F39" s="789">
        <v>3765108</v>
      </c>
      <c r="G39" s="1127">
        <v>2539865</v>
      </c>
      <c r="H39" s="787">
        <f t="shared" si="1"/>
        <v>1154243219</v>
      </c>
      <c r="I39" s="773"/>
      <c r="J39" s="777"/>
      <c r="K39" s="777"/>
      <c r="L39" s="777"/>
      <c r="M39" s="777"/>
      <c r="N39" s="777"/>
      <c r="O39" s="777"/>
    </row>
    <row r="40" spans="1:15" s="774" customFormat="1" ht="14.25" customHeight="1">
      <c r="A40" s="788" t="s">
        <v>402</v>
      </c>
      <c r="B40" s="789">
        <v>0</v>
      </c>
      <c r="C40" s="789"/>
      <c r="D40" s="1127"/>
      <c r="E40" s="789"/>
      <c r="F40" s="789"/>
      <c r="G40" s="1127"/>
      <c r="H40" s="787">
        <f aca="true" t="shared" si="9" ref="H40:H71">SUM(B40:G40)</f>
        <v>0</v>
      </c>
      <c r="I40" s="773"/>
      <c r="J40" s="777"/>
      <c r="K40" s="777"/>
      <c r="L40" s="777"/>
      <c r="M40" s="777"/>
      <c r="N40" s="777"/>
      <c r="O40" s="777"/>
    </row>
    <row r="41" spans="1:15" s="774" customFormat="1" ht="14.25" customHeight="1">
      <c r="A41" s="821" t="s">
        <v>535</v>
      </c>
      <c r="B41" s="789">
        <v>0</v>
      </c>
      <c r="C41" s="789"/>
      <c r="D41" s="1127"/>
      <c r="E41" s="789"/>
      <c r="F41" s="789"/>
      <c r="G41" s="1127"/>
      <c r="H41" s="787">
        <f t="shared" si="9"/>
        <v>0</v>
      </c>
      <c r="I41" s="773"/>
      <c r="J41" s="777"/>
      <c r="K41" s="777"/>
      <c r="L41" s="777"/>
      <c r="M41" s="777"/>
      <c r="N41" s="777"/>
      <c r="O41" s="777"/>
    </row>
    <row r="42" spans="1:15" s="774" customFormat="1" ht="12" customHeight="1">
      <c r="A42" s="786" t="s">
        <v>403</v>
      </c>
      <c r="B42" s="792">
        <f aca="true" t="shared" si="10" ref="B42:G42">B61+B52+B43</f>
        <v>282343061</v>
      </c>
      <c r="C42" s="792">
        <f t="shared" si="10"/>
        <v>1371941</v>
      </c>
      <c r="D42" s="1128">
        <f t="shared" si="10"/>
        <v>3801777</v>
      </c>
      <c r="E42" s="792">
        <f t="shared" si="10"/>
        <v>0</v>
      </c>
      <c r="F42" s="792">
        <f t="shared" si="10"/>
        <v>23988</v>
      </c>
      <c r="G42" s="1128">
        <f t="shared" si="10"/>
        <v>0</v>
      </c>
      <c r="H42" s="787">
        <f>SUM(B42:G42)</f>
        <v>287540767</v>
      </c>
      <c r="I42" s="773"/>
      <c r="J42" s="777"/>
      <c r="K42" s="777"/>
      <c r="L42" s="777"/>
      <c r="M42" s="777"/>
      <c r="N42" s="777"/>
      <c r="O42" s="777"/>
    </row>
    <row r="43" spans="1:15" s="774" customFormat="1" ht="12" customHeight="1">
      <c r="A43" s="788" t="s">
        <v>404</v>
      </c>
      <c r="B43" s="789">
        <f aca="true" t="shared" si="11" ref="B43:G43">SUM(B44:B51)</f>
        <v>258934479</v>
      </c>
      <c r="C43" s="789">
        <f t="shared" si="11"/>
        <v>1369135</v>
      </c>
      <c r="D43" s="1127">
        <f t="shared" si="11"/>
        <v>3568146</v>
      </c>
      <c r="E43" s="789">
        <f t="shared" si="11"/>
        <v>0</v>
      </c>
      <c r="F43" s="789">
        <f t="shared" si="11"/>
        <v>23988</v>
      </c>
      <c r="G43" s="1127">
        <f t="shared" si="11"/>
        <v>0</v>
      </c>
      <c r="H43" s="787">
        <f t="shared" si="9"/>
        <v>263895748</v>
      </c>
      <c r="I43" s="773"/>
      <c r="J43" s="777"/>
      <c r="K43" s="777"/>
      <c r="L43" s="777"/>
      <c r="M43" s="777"/>
      <c r="N43" s="777"/>
      <c r="O43" s="777"/>
    </row>
    <row r="44" spans="1:15" s="774" customFormat="1" ht="28.5" customHeight="1">
      <c r="A44" s="790" t="s">
        <v>405</v>
      </c>
      <c r="B44" s="789">
        <v>9816785</v>
      </c>
      <c r="C44" s="789"/>
      <c r="D44" s="1127">
        <v>2857300</v>
      </c>
      <c r="E44" s="789"/>
      <c r="F44" s="789"/>
      <c r="G44" s="1127"/>
      <c r="H44" s="787">
        <f t="shared" si="9"/>
        <v>12674085</v>
      </c>
      <c r="I44" s="773"/>
      <c r="J44" s="777"/>
      <c r="K44" s="777"/>
      <c r="L44" s="777"/>
      <c r="M44" s="777"/>
      <c r="N44" s="777"/>
      <c r="O44" s="777"/>
    </row>
    <row r="45" spans="1:15" s="774" customFormat="1" ht="29.25" customHeight="1">
      <c r="A45" s="790" t="s">
        <v>406</v>
      </c>
      <c r="B45" s="789">
        <v>383467</v>
      </c>
      <c r="C45" s="789"/>
      <c r="D45" s="1127"/>
      <c r="E45" s="789"/>
      <c r="F45" s="789"/>
      <c r="G45" s="1127"/>
      <c r="H45" s="787">
        <f t="shared" si="9"/>
        <v>383467</v>
      </c>
      <c r="I45" s="773"/>
      <c r="J45" s="777"/>
      <c r="K45" s="777"/>
      <c r="L45" s="777"/>
      <c r="M45" s="777"/>
      <c r="N45" s="777"/>
      <c r="O45" s="777"/>
    </row>
    <row r="46" spans="1:15" s="774" customFormat="1" ht="12" customHeight="1">
      <c r="A46" s="790" t="s">
        <v>407</v>
      </c>
      <c r="B46" s="789">
        <v>202146415</v>
      </c>
      <c r="C46" s="789"/>
      <c r="D46" s="1127"/>
      <c r="E46" s="789"/>
      <c r="F46" s="789"/>
      <c r="G46" s="1127"/>
      <c r="H46" s="787">
        <f t="shared" si="9"/>
        <v>202146415</v>
      </c>
      <c r="I46" s="773"/>
      <c r="J46" s="777"/>
      <c r="K46" s="777"/>
      <c r="L46" s="777"/>
      <c r="M46" s="777"/>
      <c r="N46" s="777"/>
      <c r="O46" s="777"/>
    </row>
    <row r="47" spans="1:15" s="774" customFormat="1" ht="12" customHeight="1">
      <c r="A47" s="790" t="s">
        <v>408</v>
      </c>
      <c r="B47" s="789">
        <v>26376816</v>
      </c>
      <c r="C47" s="789">
        <v>1369135</v>
      </c>
      <c r="D47" s="1127">
        <v>710846</v>
      </c>
      <c r="E47" s="789">
        <v>0</v>
      </c>
      <c r="F47" s="789">
        <v>23988</v>
      </c>
      <c r="G47" s="1127">
        <v>0</v>
      </c>
      <c r="H47" s="787">
        <f t="shared" si="9"/>
        <v>28480785</v>
      </c>
      <c r="I47" s="773"/>
      <c r="J47" s="777"/>
      <c r="K47" s="777"/>
      <c r="L47" s="777"/>
      <c r="M47" s="777"/>
      <c r="N47" s="777"/>
      <c r="O47" s="777"/>
    </row>
    <row r="48" spans="1:15" s="774" customFormat="1" ht="12" customHeight="1">
      <c r="A48" s="790" t="s">
        <v>409</v>
      </c>
      <c r="B48" s="789">
        <v>3939273</v>
      </c>
      <c r="C48" s="789"/>
      <c r="D48" s="1127"/>
      <c r="E48" s="789"/>
      <c r="F48" s="789"/>
      <c r="G48" s="1127"/>
      <c r="H48" s="787">
        <f t="shared" si="9"/>
        <v>3939273</v>
      </c>
      <c r="I48" s="773"/>
      <c r="J48" s="777"/>
      <c r="K48" s="777"/>
      <c r="L48" s="777"/>
      <c r="M48" s="777"/>
      <c r="N48" s="777"/>
      <c r="O48" s="777"/>
    </row>
    <row r="49" spans="1:15" s="774" customFormat="1" ht="30.75" customHeight="1">
      <c r="A49" s="790" t="s">
        <v>410</v>
      </c>
      <c r="B49" s="789">
        <v>469663</v>
      </c>
      <c r="C49" s="789">
        <v>0</v>
      </c>
      <c r="D49" s="1127"/>
      <c r="E49" s="789"/>
      <c r="F49" s="789"/>
      <c r="G49" s="1127"/>
      <c r="H49" s="787">
        <f t="shared" si="9"/>
        <v>469663</v>
      </c>
      <c r="I49" s="773"/>
      <c r="J49" s="777"/>
      <c r="K49" s="777"/>
      <c r="L49" s="777"/>
      <c r="M49" s="777"/>
      <c r="N49" s="777"/>
      <c r="O49" s="777"/>
    </row>
    <row r="50" spans="1:15" s="774" customFormat="1" ht="27" customHeight="1">
      <c r="A50" s="790" t="s">
        <v>411</v>
      </c>
      <c r="B50" s="789">
        <v>15802060</v>
      </c>
      <c r="C50" s="789"/>
      <c r="D50" s="1127"/>
      <c r="E50" s="789"/>
      <c r="F50" s="789"/>
      <c r="G50" s="1127"/>
      <c r="H50" s="787">
        <f t="shared" si="9"/>
        <v>15802060</v>
      </c>
      <c r="I50" s="773"/>
      <c r="J50" s="777"/>
      <c r="K50" s="777"/>
      <c r="L50" s="777"/>
      <c r="M50" s="777"/>
      <c r="N50" s="777"/>
      <c r="O50" s="777"/>
    </row>
    <row r="51" spans="1:15" s="774" customFormat="1" ht="12" customHeight="1">
      <c r="A51" s="790" t="s">
        <v>412</v>
      </c>
      <c r="B51" s="789"/>
      <c r="C51" s="789"/>
      <c r="D51" s="1127"/>
      <c r="E51" s="789"/>
      <c r="F51" s="789"/>
      <c r="G51" s="1127"/>
      <c r="H51" s="787">
        <f t="shared" si="9"/>
        <v>0</v>
      </c>
      <c r="I51" s="773"/>
      <c r="J51" s="777"/>
      <c r="K51" s="777"/>
      <c r="L51" s="777"/>
      <c r="M51" s="777"/>
      <c r="N51" s="777"/>
      <c r="O51" s="777"/>
    </row>
    <row r="52" spans="1:15" s="774" customFormat="1" ht="12" customHeight="1">
      <c r="A52" s="788" t="s">
        <v>413</v>
      </c>
      <c r="B52" s="789">
        <f aca="true" t="shared" si="12" ref="B52:G52">SUM(B53:B60)</f>
        <v>0</v>
      </c>
      <c r="C52" s="789">
        <f t="shared" si="12"/>
        <v>0</v>
      </c>
      <c r="D52" s="1127">
        <f t="shared" si="12"/>
        <v>0</v>
      </c>
      <c r="E52" s="789">
        <f t="shared" si="12"/>
        <v>0</v>
      </c>
      <c r="F52" s="789">
        <f t="shared" si="12"/>
        <v>0</v>
      </c>
      <c r="G52" s="1127">
        <f t="shared" si="12"/>
        <v>0</v>
      </c>
      <c r="H52" s="787">
        <f t="shared" si="9"/>
        <v>0</v>
      </c>
      <c r="I52" s="773"/>
      <c r="J52" s="777"/>
      <c r="K52" s="777"/>
      <c r="L52" s="777"/>
      <c r="M52" s="777"/>
      <c r="N52" s="777"/>
      <c r="O52" s="777"/>
    </row>
    <row r="53" spans="1:15" s="774" customFormat="1" ht="28.5" customHeight="1">
      <c r="A53" s="790" t="s">
        <v>414</v>
      </c>
      <c r="B53" s="789"/>
      <c r="C53" s="789"/>
      <c r="D53" s="1127"/>
      <c r="E53" s="789"/>
      <c r="F53" s="789"/>
      <c r="G53" s="1127"/>
      <c r="H53" s="787">
        <f t="shared" si="9"/>
        <v>0</v>
      </c>
      <c r="I53" s="773"/>
      <c r="J53" s="777"/>
      <c r="K53" s="777"/>
      <c r="L53" s="777"/>
      <c r="M53" s="777"/>
      <c r="N53" s="777"/>
      <c r="O53" s="777"/>
    </row>
    <row r="54" spans="1:15" s="774" customFormat="1" ht="31.5" customHeight="1">
      <c r="A54" s="790" t="s">
        <v>415</v>
      </c>
      <c r="B54" s="789"/>
      <c r="C54" s="789"/>
      <c r="D54" s="1127"/>
      <c r="E54" s="789"/>
      <c r="F54" s="789"/>
      <c r="G54" s="1127"/>
      <c r="H54" s="787">
        <f t="shared" si="9"/>
        <v>0</v>
      </c>
      <c r="I54" s="773"/>
      <c r="J54" s="777"/>
      <c r="K54" s="777"/>
      <c r="L54" s="777"/>
      <c r="M54" s="777"/>
      <c r="N54" s="777"/>
      <c r="O54" s="777"/>
    </row>
    <row r="55" spans="1:15" s="774" customFormat="1" ht="25.5" customHeight="1">
      <c r="A55" s="790" t="s">
        <v>416</v>
      </c>
      <c r="B55" s="789"/>
      <c r="C55" s="789"/>
      <c r="D55" s="1127"/>
      <c r="E55" s="789"/>
      <c r="F55" s="789"/>
      <c r="G55" s="1127"/>
      <c r="H55" s="787">
        <f t="shared" si="9"/>
        <v>0</v>
      </c>
      <c r="I55" s="773"/>
      <c r="J55" s="777"/>
      <c r="K55" s="777"/>
      <c r="L55" s="777"/>
      <c r="M55" s="777"/>
      <c r="N55" s="777"/>
      <c r="O55" s="777"/>
    </row>
    <row r="56" spans="1:15" s="774" customFormat="1" ht="12" customHeight="1">
      <c r="A56" s="790" t="s">
        <v>417</v>
      </c>
      <c r="B56" s="789"/>
      <c r="C56" s="789"/>
      <c r="D56" s="1127"/>
      <c r="E56" s="789"/>
      <c r="F56" s="789">
        <v>0</v>
      </c>
      <c r="G56" s="1127"/>
      <c r="H56" s="787">
        <f t="shared" si="9"/>
        <v>0</v>
      </c>
      <c r="I56" s="773"/>
      <c r="J56" s="777"/>
      <c r="K56" s="777"/>
      <c r="L56" s="777"/>
      <c r="M56" s="777"/>
      <c r="N56" s="777"/>
      <c r="O56" s="777"/>
    </row>
    <row r="57" spans="1:15" s="774" customFormat="1" ht="26.25" customHeight="1">
      <c r="A57" s="790" t="s">
        <v>418</v>
      </c>
      <c r="B57" s="789">
        <v>0</v>
      </c>
      <c r="C57" s="789"/>
      <c r="D57" s="1127"/>
      <c r="E57" s="789"/>
      <c r="F57" s="789"/>
      <c r="G57" s="1127"/>
      <c r="H57" s="787">
        <f t="shared" si="9"/>
        <v>0</v>
      </c>
      <c r="I57" s="773"/>
      <c r="J57" s="777"/>
      <c r="K57" s="777"/>
      <c r="L57" s="777"/>
      <c r="M57" s="777"/>
      <c r="N57" s="777"/>
      <c r="O57" s="777"/>
    </row>
    <row r="58" spans="1:15" s="774" customFormat="1" ht="30.75" customHeight="1">
      <c r="A58" s="790" t="s">
        <v>419</v>
      </c>
      <c r="B58" s="789"/>
      <c r="C58" s="789"/>
      <c r="D58" s="1127"/>
      <c r="E58" s="789"/>
      <c r="F58" s="789"/>
      <c r="G58" s="1127"/>
      <c r="H58" s="787">
        <f t="shared" si="9"/>
        <v>0</v>
      </c>
      <c r="I58" s="773"/>
      <c r="J58" s="777"/>
      <c r="K58" s="777"/>
      <c r="L58" s="777"/>
      <c r="M58" s="777"/>
      <c r="N58" s="777"/>
      <c r="O58" s="777"/>
    </row>
    <row r="59" spans="1:15" s="774" customFormat="1" ht="27.75" customHeight="1">
      <c r="A59" s="790" t="s">
        <v>420</v>
      </c>
      <c r="B59" s="789"/>
      <c r="C59" s="789"/>
      <c r="D59" s="1127"/>
      <c r="E59" s="789"/>
      <c r="F59" s="789"/>
      <c r="G59" s="1127"/>
      <c r="H59" s="787">
        <f t="shared" si="9"/>
        <v>0</v>
      </c>
      <c r="I59" s="773"/>
      <c r="J59" s="777"/>
      <c r="K59" s="777"/>
      <c r="L59" s="777"/>
      <c r="M59" s="777"/>
      <c r="N59" s="777"/>
      <c r="O59" s="777"/>
    </row>
    <row r="60" spans="1:15" s="774" customFormat="1" ht="28.5" customHeight="1">
      <c r="A60" s="790" t="s">
        <v>421</v>
      </c>
      <c r="B60" s="789"/>
      <c r="C60" s="789"/>
      <c r="D60" s="1127"/>
      <c r="E60" s="789"/>
      <c r="F60" s="789"/>
      <c r="G60" s="1127"/>
      <c r="H60" s="787">
        <f t="shared" si="9"/>
        <v>0</v>
      </c>
      <c r="I60" s="773"/>
      <c r="J60" s="777"/>
      <c r="K60" s="777"/>
      <c r="L60" s="777"/>
      <c r="M60" s="777"/>
      <c r="N60" s="777"/>
      <c r="O60" s="777"/>
    </row>
    <row r="61" spans="1:15" s="774" customFormat="1" ht="12" customHeight="1">
      <c r="A61" s="790" t="s">
        <v>422</v>
      </c>
      <c r="B61" s="789">
        <f aca="true" t="shared" si="13" ref="B61:G61">SUM(B62:B70)</f>
        <v>23408582</v>
      </c>
      <c r="C61" s="789">
        <f t="shared" si="13"/>
        <v>2806</v>
      </c>
      <c r="D61" s="1127">
        <f t="shared" si="13"/>
        <v>233631</v>
      </c>
      <c r="E61" s="789">
        <f t="shared" si="13"/>
        <v>0</v>
      </c>
      <c r="F61" s="789">
        <f t="shared" si="13"/>
        <v>0</v>
      </c>
      <c r="G61" s="1127">
        <f t="shared" si="13"/>
        <v>0</v>
      </c>
      <c r="H61" s="787">
        <f t="shared" si="9"/>
        <v>23645019</v>
      </c>
      <c r="I61" s="773"/>
      <c r="J61" s="777"/>
      <c r="K61" s="777"/>
      <c r="L61" s="777"/>
      <c r="M61" s="777"/>
      <c r="N61" s="777"/>
      <c r="O61" s="777"/>
    </row>
    <row r="62" spans="1:15" s="774" customFormat="1" ht="12" customHeight="1">
      <c r="A62" s="790" t="s">
        <v>423</v>
      </c>
      <c r="B62" s="789">
        <v>2601659</v>
      </c>
      <c r="C62" s="789">
        <v>2806</v>
      </c>
      <c r="D62" s="1127">
        <v>233631</v>
      </c>
      <c r="E62" s="789"/>
      <c r="F62" s="789"/>
      <c r="G62" s="1127"/>
      <c r="H62" s="787">
        <f t="shared" si="9"/>
        <v>2838096</v>
      </c>
      <c r="I62" s="773"/>
      <c r="J62" s="777"/>
      <c r="K62" s="777"/>
      <c r="L62" s="777"/>
      <c r="M62" s="777"/>
      <c r="N62" s="777"/>
      <c r="O62" s="777"/>
    </row>
    <row r="63" spans="1:15" s="774" customFormat="1" ht="12" customHeight="1">
      <c r="A63" s="790" t="s">
        <v>424</v>
      </c>
      <c r="B63" s="789"/>
      <c r="C63" s="789"/>
      <c r="D63" s="1127"/>
      <c r="E63" s="789"/>
      <c r="F63" s="789"/>
      <c r="G63" s="1127"/>
      <c r="H63" s="787">
        <f t="shared" si="9"/>
        <v>0</v>
      </c>
      <c r="I63" s="773"/>
      <c r="J63" s="777"/>
      <c r="K63" s="777"/>
      <c r="L63" s="777"/>
      <c r="M63" s="777"/>
      <c r="N63" s="777"/>
      <c r="O63" s="777"/>
    </row>
    <row r="64" spans="1:15" s="774" customFormat="1" ht="12" customHeight="1">
      <c r="A64" s="790" t="s">
        <v>425</v>
      </c>
      <c r="B64" s="789"/>
      <c r="C64" s="789"/>
      <c r="D64" s="1127"/>
      <c r="E64" s="789"/>
      <c r="F64" s="789"/>
      <c r="G64" s="1127"/>
      <c r="H64" s="787">
        <f t="shared" si="9"/>
        <v>0</v>
      </c>
      <c r="I64" s="773"/>
      <c r="J64" s="777"/>
      <c r="K64" s="777"/>
      <c r="L64" s="777"/>
      <c r="M64" s="777"/>
      <c r="N64" s="777"/>
      <c r="O64" s="777"/>
    </row>
    <row r="65" spans="1:15" s="774" customFormat="1" ht="12" customHeight="1">
      <c r="A65" s="790" t="s">
        <v>426</v>
      </c>
      <c r="B65" s="789">
        <v>100000</v>
      </c>
      <c r="C65" s="789"/>
      <c r="D65" s="1127"/>
      <c r="E65" s="789"/>
      <c r="F65" s="789"/>
      <c r="G65" s="1127"/>
      <c r="H65" s="787">
        <f t="shared" si="9"/>
        <v>100000</v>
      </c>
      <c r="I65" s="773"/>
      <c r="J65" s="777"/>
      <c r="K65" s="777"/>
      <c r="L65" s="777"/>
      <c r="M65" s="777"/>
      <c r="N65" s="777"/>
      <c r="O65" s="777"/>
    </row>
    <row r="66" spans="1:15" s="774" customFormat="1" ht="27.75" customHeight="1">
      <c r="A66" s="790" t="s">
        <v>427</v>
      </c>
      <c r="B66" s="789">
        <v>20706923</v>
      </c>
      <c r="C66" s="789"/>
      <c r="D66" s="1127"/>
      <c r="E66" s="789"/>
      <c r="F66" s="789"/>
      <c r="G66" s="1127"/>
      <c r="H66" s="787">
        <f t="shared" si="9"/>
        <v>20706923</v>
      </c>
      <c r="I66" s="773"/>
      <c r="J66" s="777"/>
      <c r="K66" s="777"/>
      <c r="L66" s="777"/>
      <c r="M66" s="777"/>
      <c r="N66" s="777"/>
      <c r="O66" s="777"/>
    </row>
    <row r="67" spans="1:15" s="774" customFormat="1" ht="27" customHeight="1">
      <c r="A67" s="790" t="s">
        <v>428</v>
      </c>
      <c r="B67" s="789"/>
      <c r="C67" s="789"/>
      <c r="D67" s="1127"/>
      <c r="E67" s="789"/>
      <c r="F67" s="789"/>
      <c r="G67" s="1127"/>
      <c r="H67" s="787">
        <f t="shared" si="9"/>
        <v>0</v>
      </c>
      <c r="I67" s="773"/>
      <c r="J67" s="777"/>
      <c r="K67" s="777"/>
      <c r="L67" s="777"/>
      <c r="M67" s="777"/>
      <c r="N67" s="777"/>
      <c r="O67" s="777"/>
    </row>
    <row r="68" spans="1:15" s="774" customFormat="1" ht="30" customHeight="1">
      <c r="A68" s="790" t="s">
        <v>429</v>
      </c>
      <c r="B68" s="789"/>
      <c r="C68" s="789"/>
      <c r="D68" s="1127"/>
      <c r="E68" s="789"/>
      <c r="F68" s="789"/>
      <c r="G68" s="1127"/>
      <c r="H68" s="787">
        <f t="shared" si="9"/>
        <v>0</v>
      </c>
      <c r="I68" s="773"/>
      <c r="J68" s="777"/>
      <c r="K68" s="777"/>
      <c r="L68" s="777"/>
      <c r="M68" s="777"/>
      <c r="N68" s="777"/>
      <c r="O68" s="777"/>
    </row>
    <row r="69" spans="1:15" s="774" customFormat="1" ht="30" customHeight="1">
      <c r="A69" s="790" t="s">
        <v>430</v>
      </c>
      <c r="B69" s="789"/>
      <c r="C69" s="789"/>
      <c r="D69" s="1127"/>
      <c r="E69" s="789"/>
      <c r="F69" s="789"/>
      <c r="G69" s="1127"/>
      <c r="H69" s="787">
        <f t="shared" si="9"/>
        <v>0</v>
      </c>
      <c r="I69" s="773"/>
      <c r="J69" s="777"/>
      <c r="K69" s="777"/>
      <c r="L69" s="777"/>
      <c r="M69" s="777"/>
      <c r="N69" s="777"/>
      <c r="O69" s="777"/>
    </row>
    <row r="70" spans="1:15" s="774" customFormat="1" ht="28.5" customHeight="1">
      <c r="A70" s="790" t="s">
        <v>431</v>
      </c>
      <c r="B70" s="789"/>
      <c r="C70" s="789"/>
      <c r="D70" s="1127"/>
      <c r="E70" s="789"/>
      <c r="F70" s="789"/>
      <c r="G70" s="1127"/>
      <c r="H70" s="787">
        <f t="shared" si="9"/>
        <v>0</v>
      </c>
      <c r="I70" s="773"/>
      <c r="J70" s="777"/>
      <c r="K70" s="777"/>
      <c r="L70" s="777"/>
      <c r="M70" s="777"/>
      <c r="N70" s="777"/>
      <c r="O70" s="777"/>
    </row>
    <row r="71" spans="1:15" s="774" customFormat="1" ht="12" customHeight="1">
      <c r="A71" s="785" t="s">
        <v>928</v>
      </c>
      <c r="B71" s="792">
        <v>0</v>
      </c>
      <c r="C71" s="792">
        <v>0</v>
      </c>
      <c r="D71" s="1128">
        <v>0</v>
      </c>
      <c r="E71" s="792">
        <v>0</v>
      </c>
      <c r="F71" s="792">
        <v>0</v>
      </c>
      <c r="G71" s="1128">
        <v>0</v>
      </c>
      <c r="H71" s="787">
        <f t="shared" si="9"/>
        <v>0</v>
      </c>
      <c r="I71" s="773"/>
      <c r="J71" s="777"/>
      <c r="K71" s="777"/>
      <c r="L71" s="777"/>
      <c r="M71" s="777"/>
      <c r="N71" s="777"/>
      <c r="O71" s="777"/>
    </row>
    <row r="72" spans="1:15" s="774" customFormat="1" ht="12" customHeight="1">
      <c r="A72" s="796" t="s">
        <v>432</v>
      </c>
      <c r="B72" s="792">
        <f aca="true" t="shared" si="14" ref="B72:G72">SUM(B73:B75)</f>
        <v>899829</v>
      </c>
      <c r="C72" s="792">
        <f t="shared" si="14"/>
        <v>509066</v>
      </c>
      <c r="D72" s="1128">
        <f t="shared" si="14"/>
        <v>0</v>
      </c>
      <c r="E72" s="792">
        <f t="shared" si="14"/>
        <v>6800</v>
      </c>
      <c r="F72" s="792">
        <f t="shared" si="14"/>
        <v>423320</v>
      </c>
      <c r="G72" s="1128">
        <f t="shared" si="14"/>
        <v>0</v>
      </c>
      <c r="H72" s="787">
        <f>SUM(B72:G72)</f>
        <v>1839015</v>
      </c>
      <c r="I72" s="773"/>
      <c r="J72" s="777"/>
      <c r="K72" s="777"/>
      <c r="L72" s="777"/>
      <c r="M72" s="777"/>
      <c r="N72" s="777"/>
      <c r="O72" s="777"/>
    </row>
    <row r="73" spans="1:15" s="774" customFormat="1" ht="12" customHeight="1">
      <c r="A73" s="788" t="s">
        <v>433</v>
      </c>
      <c r="B73" s="789">
        <v>899829</v>
      </c>
      <c r="C73" s="789"/>
      <c r="D73" s="1127"/>
      <c r="E73" s="789"/>
      <c r="F73" s="789"/>
      <c r="G73" s="1127"/>
      <c r="H73" s="787">
        <f>SUM(B73:G73)</f>
        <v>899829</v>
      </c>
      <c r="I73" s="773"/>
      <c r="J73" s="777"/>
      <c r="K73" s="777"/>
      <c r="L73" s="777"/>
      <c r="M73" s="777"/>
      <c r="N73" s="777"/>
      <c r="O73" s="777"/>
    </row>
    <row r="74" spans="1:15" s="774" customFormat="1" ht="12" customHeight="1">
      <c r="A74" s="788" t="s">
        <v>434</v>
      </c>
      <c r="B74" s="789"/>
      <c r="C74" s="789">
        <v>509066</v>
      </c>
      <c r="D74" s="1127"/>
      <c r="E74" s="789">
        <v>6800</v>
      </c>
      <c r="F74" s="789">
        <v>423320</v>
      </c>
      <c r="G74" s="1127"/>
      <c r="H74" s="787">
        <f>SUM(B74:G74)</f>
        <v>939186</v>
      </c>
      <c r="I74" s="773"/>
      <c r="J74" s="777"/>
      <c r="K74" s="777"/>
      <c r="L74" s="777"/>
      <c r="M74" s="777"/>
      <c r="N74" s="777"/>
      <c r="O74" s="777"/>
    </row>
    <row r="75" spans="1:15" s="774" customFormat="1" ht="12" customHeight="1">
      <c r="A75" s="788" t="s">
        <v>435</v>
      </c>
      <c r="B75" s="789"/>
      <c r="C75" s="789"/>
      <c r="D75" s="1127"/>
      <c r="E75" s="789"/>
      <c r="F75" s="789"/>
      <c r="G75" s="1127"/>
      <c r="H75" s="787">
        <f>SUM(B75:G75)</f>
        <v>0</v>
      </c>
      <c r="I75" s="773"/>
      <c r="J75" s="777"/>
      <c r="K75" s="777"/>
      <c r="L75" s="777"/>
      <c r="M75" s="777"/>
      <c r="N75" s="777"/>
      <c r="O75" s="777"/>
    </row>
    <row r="76" spans="1:15" s="1006" customFormat="1" ht="15" customHeight="1">
      <c r="A76" s="1000" t="s">
        <v>436</v>
      </c>
      <c r="B76" s="1001">
        <f aca="true" t="shared" si="15" ref="B76:G76">B8+B26+B36+B42+B71+B72</f>
        <v>11017649566</v>
      </c>
      <c r="C76" s="1001">
        <f t="shared" si="15"/>
        <v>25292610</v>
      </c>
      <c r="D76" s="1130">
        <f t="shared" si="15"/>
        <v>22264736</v>
      </c>
      <c r="E76" s="1001">
        <f t="shared" si="15"/>
        <v>6810119</v>
      </c>
      <c r="F76" s="1001">
        <f t="shared" si="15"/>
        <v>4225006</v>
      </c>
      <c r="G76" s="1130">
        <f t="shared" si="15"/>
        <v>7725268</v>
      </c>
      <c r="H76" s="1001">
        <f>SUM(B76:G76)</f>
        <v>11083967305</v>
      </c>
      <c r="I76" s="1004"/>
      <c r="J76" s="1005"/>
      <c r="K76" s="1005"/>
      <c r="L76" s="1005"/>
      <c r="M76" s="1005"/>
      <c r="N76" s="1005"/>
      <c r="O76" s="1005"/>
    </row>
    <row r="77" spans="1:15" s="774" customFormat="1" ht="6" customHeight="1">
      <c r="A77" s="784"/>
      <c r="B77" s="782"/>
      <c r="C77" s="782"/>
      <c r="D77" s="1131"/>
      <c r="E77" s="782"/>
      <c r="F77" s="782"/>
      <c r="G77" s="1131"/>
      <c r="H77" s="779"/>
      <c r="I77" s="780"/>
      <c r="J77" s="781"/>
      <c r="K77" s="781"/>
      <c r="L77" s="781"/>
      <c r="M77" s="781"/>
      <c r="N77" s="781"/>
      <c r="O77" s="781"/>
    </row>
    <row r="78" spans="1:8" ht="12.75">
      <c r="A78" s="791" t="s">
        <v>437</v>
      </c>
      <c r="B78" s="801">
        <f aca="true" t="shared" si="16" ref="B78:G78">SUM(B79:B84)</f>
        <v>10929585882</v>
      </c>
      <c r="C78" s="801">
        <f t="shared" si="16"/>
        <v>23072023</v>
      </c>
      <c r="D78" s="1132">
        <f t="shared" si="16"/>
        <v>17326773</v>
      </c>
      <c r="E78" s="801">
        <f t="shared" si="16"/>
        <v>6752285</v>
      </c>
      <c r="F78" s="801">
        <f t="shared" si="16"/>
        <v>4209704</v>
      </c>
      <c r="G78" s="1132">
        <f t="shared" si="16"/>
        <v>7678176</v>
      </c>
      <c r="H78" s="801">
        <f aca="true" t="shared" si="17" ref="H78:H123">SUM(B78:G78)</f>
        <v>10988624843</v>
      </c>
    </row>
    <row r="79" spans="1:8" ht="12.75">
      <c r="A79" s="797" t="s">
        <v>438</v>
      </c>
      <c r="B79" s="804">
        <v>10209466482</v>
      </c>
      <c r="C79" s="804"/>
      <c r="D79" s="1133"/>
      <c r="E79" s="804"/>
      <c r="F79" s="804">
        <v>38224</v>
      </c>
      <c r="G79" s="1133">
        <v>199056</v>
      </c>
      <c r="H79" s="801">
        <f t="shared" si="17"/>
        <v>10209703762</v>
      </c>
    </row>
    <row r="80" spans="1:8" ht="12.75">
      <c r="A80" s="797" t="s">
        <v>439</v>
      </c>
      <c r="B80" s="804">
        <v>20706923</v>
      </c>
      <c r="C80" s="804"/>
      <c r="D80" s="1133"/>
      <c r="E80" s="804"/>
      <c r="F80" s="804"/>
      <c r="G80" s="1133"/>
      <c r="H80" s="801">
        <f t="shared" si="17"/>
        <v>20706923</v>
      </c>
    </row>
    <row r="81" spans="1:8" ht="12.75">
      <c r="A81" s="797" t="s">
        <v>440</v>
      </c>
      <c r="B81" s="804">
        <v>1433746293</v>
      </c>
      <c r="C81" s="804">
        <v>21317979</v>
      </c>
      <c r="D81" s="1133">
        <v>8873032</v>
      </c>
      <c r="E81" s="804">
        <v>3519912</v>
      </c>
      <c r="F81" s="804">
        <v>2400108</v>
      </c>
      <c r="G81" s="1133">
        <v>1247224</v>
      </c>
      <c r="H81" s="801">
        <f t="shared" si="17"/>
        <v>1471104548</v>
      </c>
    </row>
    <row r="82" spans="1:8" ht="12.75">
      <c r="A82" s="797" t="s">
        <v>441</v>
      </c>
      <c r="B82" s="804">
        <v>-2066456700</v>
      </c>
      <c r="C82" s="804">
        <v>-5768863</v>
      </c>
      <c r="D82" s="1133">
        <v>3821523</v>
      </c>
      <c r="E82" s="804">
        <v>-2541124</v>
      </c>
      <c r="F82" s="804">
        <v>661868</v>
      </c>
      <c r="G82" s="1133">
        <v>7759809</v>
      </c>
      <c r="H82" s="801">
        <f t="shared" si="17"/>
        <v>-2062523487</v>
      </c>
    </row>
    <row r="83" spans="1:8" ht="12.75">
      <c r="A83" s="797" t="s">
        <v>442</v>
      </c>
      <c r="B83" s="804"/>
      <c r="C83" s="804"/>
      <c r="D83" s="1133">
        <v>0</v>
      </c>
      <c r="E83" s="804"/>
      <c r="F83" s="804"/>
      <c r="G83" s="1133"/>
      <c r="H83" s="801">
        <f t="shared" si="17"/>
        <v>0</v>
      </c>
    </row>
    <row r="84" spans="1:10" ht="12.75">
      <c r="A84" s="797" t="s">
        <v>443</v>
      </c>
      <c r="B84" s="804">
        <v>1332122884</v>
      </c>
      <c r="C84" s="804">
        <v>7522907</v>
      </c>
      <c r="D84" s="1133">
        <v>4632218</v>
      </c>
      <c r="E84" s="804">
        <v>5773497</v>
      </c>
      <c r="F84" s="804">
        <v>1109504</v>
      </c>
      <c r="G84" s="1133">
        <v>-1527913</v>
      </c>
      <c r="H84" s="801">
        <f t="shared" si="17"/>
        <v>1349633097</v>
      </c>
      <c r="J84" s="1344"/>
    </row>
    <row r="85" spans="1:8" ht="12.75">
      <c r="A85" s="798" t="s">
        <v>444</v>
      </c>
      <c r="B85" s="801">
        <f aca="true" t="shared" si="18" ref="B85:G85">B86+B96+B106</f>
        <v>87276244</v>
      </c>
      <c r="C85" s="801">
        <f t="shared" si="18"/>
        <v>0</v>
      </c>
      <c r="D85" s="1132">
        <f t="shared" si="18"/>
        <v>4882621</v>
      </c>
      <c r="E85" s="801">
        <f t="shared" si="18"/>
        <v>0</v>
      </c>
      <c r="F85" s="801">
        <f t="shared" si="18"/>
        <v>0</v>
      </c>
      <c r="G85" s="1132">
        <f t="shared" si="18"/>
        <v>0</v>
      </c>
      <c r="H85" s="801">
        <f t="shared" si="17"/>
        <v>92158865</v>
      </c>
    </row>
    <row r="86" spans="1:8" ht="12.75">
      <c r="A86" s="799" t="s">
        <v>445</v>
      </c>
      <c r="B86" s="804">
        <f aca="true" t="shared" si="19" ref="B86:G86">SUM(B87:B95)</f>
        <v>11127954</v>
      </c>
      <c r="C86" s="804">
        <f t="shared" si="19"/>
        <v>0</v>
      </c>
      <c r="D86" s="1133">
        <f t="shared" si="19"/>
        <v>337000</v>
      </c>
      <c r="E86" s="804">
        <f t="shared" si="19"/>
        <v>0</v>
      </c>
      <c r="F86" s="804">
        <f t="shared" si="19"/>
        <v>0</v>
      </c>
      <c r="G86" s="1133">
        <f t="shared" si="19"/>
        <v>0</v>
      </c>
      <c r="H86" s="801">
        <f t="shared" si="17"/>
        <v>11464954</v>
      </c>
    </row>
    <row r="87" spans="1:8" ht="25.5">
      <c r="A87" s="799" t="s">
        <v>446</v>
      </c>
      <c r="B87" s="804"/>
      <c r="C87" s="804"/>
      <c r="D87" s="1133"/>
      <c r="E87" s="804"/>
      <c r="F87" s="804"/>
      <c r="G87" s="1133"/>
      <c r="H87" s="801">
        <f t="shared" si="17"/>
        <v>0</v>
      </c>
    </row>
    <row r="88" spans="1:8" ht="25.5">
      <c r="A88" s="799" t="s">
        <v>447</v>
      </c>
      <c r="B88" s="804"/>
      <c r="C88" s="804">
        <v>0</v>
      </c>
      <c r="D88" s="1133">
        <v>0</v>
      </c>
      <c r="E88" s="804">
        <v>0</v>
      </c>
      <c r="F88" s="804"/>
      <c r="G88" s="1133"/>
      <c r="H88" s="801">
        <f t="shared" si="17"/>
        <v>0</v>
      </c>
    </row>
    <row r="89" spans="1:8" ht="12.75">
      <c r="A89" s="799" t="s">
        <v>448</v>
      </c>
      <c r="B89" s="804">
        <v>11127954</v>
      </c>
      <c r="C89" s="804">
        <v>0</v>
      </c>
      <c r="D89" s="1133">
        <v>337000</v>
      </c>
      <c r="E89" s="804"/>
      <c r="F89" s="804"/>
      <c r="G89" s="1133"/>
      <c r="H89" s="801">
        <f t="shared" si="17"/>
        <v>11464954</v>
      </c>
    </row>
    <row r="90" spans="1:8" ht="25.5">
      <c r="A90" s="799" t="s">
        <v>449</v>
      </c>
      <c r="B90" s="804"/>
      <c r="C90" s="804">
        <v>0</v>
      </c>
      <c r="D90" s="1133"/>
      <c r="E90" s="804"/>
      <c r="F90" s="804"/>
      <c r="G90" s="1133"/>
      <c r="H90" s="801">
        <f t="shared" si="17"/>
        <v>0</v>
      </c>
    </row>
    <row r="91" spans="1:8" ht="25.5">
      <c r="A91" s="799" t="s">
        <v>450</v>
      </c>
      <c r="B91" s="804">
        <v>0</v>
      </c>
      <c r="C91" s="804"/>
      <c r="D91" s="1133"/>
      <c r="E91" s="804"/>
      <c r="F91" s="804"/>
      <c r="G91" s="1133"/>
      <c r="H91" s="801">
        <f t="shared" si="17"/>
        <v>0</v>
      </c>
    </row>
    <row r="92" spans="1:8" ht="12.75">
      <c r="A92" s="799" t="s">
        <v>451</v>
      </c>
      <c r="B92" s="804">
        <v>0</v>
      </c>
      <c r="C92" s="804"/>
      <c r="D92" s="1133"/>
      <c r="E92" s="804"/>
      <c r="F92" s="804"/>
      <c r="G92" s="1133"/>
      <c r="H92" s="801">
        <f t="shared" si="17"/>
        <v>0</v>
      </c>
    </row>
    <row r="93" spans="1:8" ht="12.75">
      <c r="A93" s="799" t="s">
        <v>452</v>
      </c>
      <c r="B93" s="804"/>
      <c r="C93" s="804"/>
      <c r="D93" s="1133"/>
      <c r="E93" s="804"/>
      <c r="F93" s="804"/>
      <c r="G93" s="1133"/>
      <c r="H93" s="801">
        <f t="shared" si="17"/>
        <v>0</v>
      </c>
    </row>
    <row r="94" spans="1:8" ht="25.5">
      <c r="A94" s="799" t="s">
        <v>453</v>
      </c>
      <c r="B94" s="804"/>
      <c r="C94" s="804"/>
      <c r="D94" s="1133"/>
      <c r="E94" s="804"/>
      <c r="F94" s="804"/>
      <c r="G94" s="1133"/>
      <c r="H94" s="801">
        <f t="shared" si="17"/>
        <v>0</v>
      </c>
    </row>
    <row r="95" spans="1:8" ht="25.5">
      <c r="A95" s="799" t="s">
        <v>454</v>
      </c>
      <c r="B95" s="804">
        <v>0</v>
      </c>
      <c r="C95" s="804"/>
      <c r="D95" s="1133"/>
      <c r="E95" s="804"/>
      <c r="F95" s="804"/>
      <c r="G95" s="1133"/>
      <c r="H95" s="801">
        <f t="shared" si="17"/>
        <v>0</v>
      </c>
    </row>
    <row r="96" spans="1:8" ht="12.75">
      <c r="A96" s="799" t="s">
        <v>455</v>
      </c>
      <c r="B96" s="804">
        <f aca="true" t="shared" si="20" ref="B96:G96">SUM(B97:B105)</f>
        <v>18306796</v>
      </c>
      <c r="C96" s="804">
        <f t="shared" si="20"/>
        <v>0</v>
      </c>
      <c r="D96" s="1133">
        <f t="shared" si="20"/>
        <v>0</v>
      </c>
      <c r="E96" s="804">
        <f t="shared" si="20"/>
        <v>0</v>
      </c>
      <c r="F96" s="804">
        <f t="shared" si="20"/>
        <v>0</v>
      </c>
      <c r="G96" s="1133">
        <f t="shared" si="20"/>
        <v>0</v>
      </c>
      <c r="H96" s="801">
        <f t="shared" si="17"/>
        <v>18306796</v>
      </c>
    </row>
    <row r="97" spans="1:8" ht="25.5">
      <c r="A97" s="799" t="s">
        <v>456</v>
      </c>
      <c r="B97" s="804"/>
      <c r="C97" s="804"/>
      <c r="D97" s="1133"/>
      <c r="E97" s="804"/>
      <c r="F97" s="804"/>
      <c r="G97" s="1133"/>
      <c r="H97" s="801">
        <f t="shared" si="17"/>
        <v>0</v>
      </c>
    </row>
    <row r="98" spans="1:8" ht="25.5">
      <c r="A98" s="799" t="s">
        <v>457</v>
      </c>
      <c r="B98" s="804"/>
      <c r="C98" s="804"/>
      <c r="D98" s="1133"/>
      <c r="E98" s="804"/>
      <c r="F98" s="804"/>
      <c r="G98" s="1133"/>
      <c r="H98" s="801">
        <f t="shared" si="17"/>
        <v>0</v>
      </c>
    </row>
    <row r="99" spans="1:8" ht="18" customHeight="1">
      <c r="A99" s="799" t="s">
        <v>458</v>
      </c>
      <c r="B99" s="804"/>
      <c r="C99" s="804"/>
      <c r="D99" s="1133"/>
      <c r="E99" s="804"/>
      <c r="F99" s="804"/>
      <c r="G99" s="1133"/>
      <c r="H99" s="801">
        <f t="shared" si="17"/>
        <v>0</v>
      </c>
    </row>
    <row r="100" spans="1:8" ht="25.5">
      <c r="A100" s="799" t="s">
        <v>459</v>
      </c>
      <c r="B100" s="804"/>
      <c r="C100" s="804"/>
      <c r="D100" s="1133"/>
      <c r="E100" s="804"/>
      <c r="F100" s="804"/>
      <c r="G100" s="1133"/>
      <c r="H100" s="801">
        <f t="shared" si="17"/>
        <v>0</v>
      </c>
    </row>
    <row r="101" spans="1:8" ht="25.5">
      <c r="A101" s="799" t="s">
        <v>460</v>
      </c>
      <c r="B101" s="804"/>
      <c r="C101" s="804"/>
      <c r="D101" s="1133"/>
      <c r="E101" s="804"/>
      <c r="F101" s="804"/>
      <c r="G101" s="1133"/>
      <c r="H101" s="801">
        <f t="shared" si="17"/>
        <v>0</v>
      </c>
    </row>
    <row r="102" spans="1:8" ht="12.75">
      <c r="A102" s="799" t="s">
        <v>461</v>
      </c>
      <c r="B102" s="804"/>
      <c r="C102" s="804"/>
      <c r="D102" s="1133"/>
      <c r="E102" s="804"/>
      <c r="F102" s="804"/>
      <c r="G102" s="1133"/>
      <c r="H102" s="801">
        <f t="shared" si="17"/>
        <v>0</v>
      </c>
    </row>
    <row r="103" spans="1:8" ht="12.75">
      <c r="A103" s="799" t="s">
        <v>462</v>
      </c>
      <c r="B103" s="804"/>
      <c r="C103" s="804"/>
      <c r="D103" s="1133"/>
      <c r="E103" s="804"/>
      <c r="F103" s="804"/>
      <c r="G103" s="1133"/>
      <c r="H103" s="801">
        <f t="shared" si="17"/>
        <v>0</v>
      </c>
    </row>
    <row r="104" spans="1:8" ht="25.5">
      <c r="A104" s="799" t="s">
        <v>463</v>
      </c>
      <c r="B104" s="804"/>
      <c r="C104" s="804"/>
      <c r="D104" s="1133"/>
      <c r="E104" s="804"/>
      <c r="F104" s="804"/>
      <c r="G104" s="1133"/>
      <c r="H104" s="801">
        <f t="shared" si="17"/>
        <v>0</v>
      </c>
    </row>
    <row r="105" spans="1:8" ht="25.5">
      <c r="A105" s="799" t="s">
        <v>464</v>
      </c>
      <c r="B105" s="804">
        <v>18306796</v>
      </c>
      <c r="C105" s="804"/>
      <c r="D105" s="1133"/>
      <c r="E105" s="804"/>
      <c r="F105" s="804"/>
      <c r="G105" s="1133"/>
      <c r="H105" s="801">
        <f t="shared" si="17"/>
        <v>18306796</v>
      </c>
    </row>
    <row r="106" spans="1:8" ht="12.75">
      <c r="A106" s="799" t="s">
        <v>465</v>
      </c>
      <c r="B106" s="804">
        <f aca="true" t="shared" si="21" ref="B106:G106">SUM(B107:B116)</f>
        <v>57841494</v>
      </c>
      <c r="C106" s="804">
        <f t="shared" si="21"/>
        <v>0</v>
      </c>
      <c r="D106" s="1133">
        <f t="shared" si="21"/>
        <v>4545621</v>
      </c>
      <c r="E106" s="804">
        <f t="shared" si="21"/>
        <v>0</v>
      </c>
      <c r="F106" s="804">
        <f t="shared" si="21"/>
        <v>0</v>
      </c>
      <c r="G106" s="1133">
        <f t="shared" si="21"/>
        <v>0</v>
      </c>
      <c r="H106" s="801">
        <f t="shared" si="17"/>
        <v>62387115</v>
      </c>
    </row>
    <row r="107" spans="1:8" ht="12.75">
      <c r="A107" s="799" t="s">
        <v>466</v>
      </c>
      <c r="B107" s="804">
        <v>57857175</v>
      </c>
      <c r="C107" s="804"/>
      <c r="D107" s="1133">
        <v>4545621</v>
      </c>
      <c r="E107" s="804"/>
      <c r="F107" s="804"/>
      <c r="G107" s="1133"/>
      <c r="H107" s="801">
        <f t="shared" si="17"/>
        <v>62402796</v>
      </c>
    </row>
    <row r="108" spans="1:8" ht="12.75">
      <c r="A108" s="799" t="s">
        <v>467</v>
      </c>
      <c r="B108" s="804"/>
      <c r="C108" s="804"/>
      <c r="D108" s="1133"/>
      <c r="E108" s="804"/>
      <c r="F108" s="804"/>
      <c r="G108" s="1133"/>
      <c r="H108" s="801">
        <f t="shared" si="17"/>
        <v>0</v>
      </c>
    </row>
    <row r="109" spans="1:8" ht="12.75">
      <c r="A109" s="799" t="s">
        <v>468</v>
      </c>
      <c r="B109" s="804">
        <v>-16322</v>
      </c>
      <c r="C109" s="804"/>
      <c r="D109" s="1133"/>
      <c r="E109" s="804"/>
      <c r="F109" s="804"/>
      <c r="G109" s="1133"/>
      <c r="H109" s="801">
        <f t="shared" si="17"/>
        <v>-16322</v>
      </c>
    </row>
    <row r="110" spans="1:8" ht="12.75">
      <c r="A110" s="799" t="s">
        <v>469</v>
      </c>
      <c r="B110" s="804"/>
      <c r="C110" s="804"/>
      <c r="D110" s="1133"/>
      <c r="E110" s="804"/>
      <c r="F110" s="804"/>
      <c r="G110" s="1133"/>
      <c r="H110" s="801">
        <f t="shared" si="17"/>
        <v>0</v>
      </c>
    </row>
    <row r="111" spans="1:8" ht="25.5">
      <c r="A111" s="799" t="s">
        <v>470</v>
      </c>
      <c r="B111" s="804"/>
      <c r="C111" s="804"/>
      <c r="D111" s="1133"/>
      <c r="E111" s="804"/>
      <c r="F111" s="804"/>
      <c r="G111" s="1133"/>
      <c r="H111" s="801">
        <f t="shared" si="17"/>
        <v>0</v>
      </c>
    </row>
    <row r="112" spans="1:8" ht="25.5">
      <c r="A112" s="799" t="s">
        <v>471</v>
      </c>
      <c r="B112" s="804"/>
      <c r="C112" s="804"/>
      <c r="D112" s="1133"/>
      <c r="E112" s="804"/>
      <c r="F112" s="804"/>
      <c r="G112" s="1133"/>
      <c r="H112" s="801">
        <f t="shared" si="17"/>
        <v>0</v>
      </c>
    </row>
    <row r="113" spans="1:8" ht="25.5">
      <c r="A113" s="799" t="s">
        <v>472</v>
      </c>
      <c r="B113" s="804"/>
      <c r="C113" s="804"/>
      <c r="D113" s="1133"/>
      <c r="E113" s="804"/>
      <c r="F113" s="804"/>
      <c r="G113" s="1133"/>
      <c r="H113" s="801">
        <f t="shared" si="17"/>
        <v>0</v>
      </c>
    </row>
    <row r="114" spans="1:8" ht="19.5" customHeight="1">
      <c r="A114" s="799" t="s">
        <v>473</v>
      </c>
      <c r="B114" s="804">
        <v>641</v>
      </c>
      <c r="C114" s="804"/>
      <c r="D114" s="1133"/>
      <c r="E114" s="804"/>
      <c r="F114" s="804"/>
      <c r="G114" s="1133"/>
      <c r="H114" s="801">
        <f t="shared" si="17"/>
        <v>641</v>
      </c>
    </row>
    <row r="115" spans="1:8" ht="12.75">
      <c r="A115" s="799" t="s">
        <v>474</v>
      </c>
      <c r="B115" s="804"/>
      <c r="C115" s="804"/>
      <c r="D115" s="1133"/>
      <c r="E115" s="804"/>
      <c r="F115" s="804"/>
      <c r="G115" s="1133"/>
      <c r="H115" s="801">
        <f t="shared" si="17"/>
        <v>0</v>
      </c>
    </row>
    <row r="116" spans="1:8" ht="12.75">
      <c r="A116" s="799" t="s">
        <v>475</v>
      </c>
      <c r="B116" s="804"/>
      <c r="C116" s="804"/>
      <c r="D116" s="1133"/>
      <c r="E116" s="804"/>
      <c r="F116" s="804"/>
      <c r="G116" s="1133"/>
      <c r="H116" s="801">
        <f t="shared" si="17"/>
        <v>0</v>
      </c>
    </row>
    <row r="117" spans="1:8" ht="12.75">
      <c r="A117" s="800" t="s">
        <v>476</v>
      </c>
      <c r="B117" s="801"/>
      <c r="C117" s="801">
        <v>0</v>
      </c>
      <c r="D117" s="1132">
        <v>0</v>
      </c>
      <c r="E117" s="801">
        <v>0</v>
      </c>
      <c r="F117" s="801">
        <v>0</v>
      </c>
      <c r="G117" s="1132">
        <v>0</v>
      </c>
      <c r="H117" s="801">
        <f t="shared" si="17"/>
        <v>0</v>
      </c>
    </row>
    <row r="118" spans="1:8" ht="12.75">
      <c r="A118" s="783" t="s">
        <v>477</v>
      </c>
      <c r="B118" s="801">
        <v>0</v>
      </c>
      <c r="C118" s="801">
        <v>0</v>
      </c>
      <c r="D118" s="1132">
        <v>0</v>
      </c>
      <c r="E118" s="801">
        <v>0</v>
      </c>
      <c r="F118" s="801">
        <v>0</v>
      </c>
      <c r="G118" s="1132">
        <v>0</v>
      </c>
      <c r="H118" s="801">
        <f t="shared" si="17"/>
        <v>0</v>
      </c>
    </row>
    <row r="119" spans="1:8" ht="12.75">
      <c r="A119" s="800" t="s">
        <v>478</v>
      </c>
      <c r="B119" s="801">
        <f aca="true" t="shared" si="22" ref="B119:G119">SUM(B120:B122)</f>
        <v>787440</v>
      </c>
      <c r="C119" s="801">
        <f t="shared" si="22"/>
        <v>2220587</v>
      </c>
      <c r="D119" s="1132">
        <f t="shared" si="22"/>
        <v>55342</v>
      </c>
      <c r="E119" s="801">
        <f t="shared" si="22"/>
        <v>57834</v>
      </c>
      <c r="F119" s="801">
        <f t="shared" si="22"/>
        <v>15302</v>
      </c>
      <c r="G119" s="1132">
        <f t="shared" si="22"/>
        <v>47092</v>
      </c>
      <c r="H119" s="801">
        <f t="shared" si="17"/>
        <v>3183597</v>
      </c>
    </row>
    <row r="120" spans="1:8" ht="12.75">
      <c r="A120" s="797" t="s">
        <v>479</v>
      </c>
      <c r="B120" s="804"/>
      <c r="C120" s="804"/>
      <c r="D120" s="1133"/>
      <c r="E120" s="804"/>
      <c r="F120" s="804"/>
      <c r="G120" s="1133"/>
      <c r="H120" s="801">
        <f t="shared" si="17"/>
        <v>0</v>
      </c>
    </row>
    <row r="121" spans="1:8" ht="12.75">
      <c r="A121" s="797" t="s">
        <v>480</v>
      </c>
      <c r="B121" s="804">
        <v>787440</v>
      </c>
      <c r="C121" s="804">
        <v>2220587</v>
      </c>
      <c r="D121" s="1133">
        <v>55342</v>
      </c>
      <c r="E121" s="804">
        <v>57834</v>
      </c>
      <c r="F121" s="804">
        <v>15302</v>
      </c>
      <c r="G121" s="1133">
        <v>47092</v>
      </c>
      <c r="H121" s="801">
        <f t="shared" si="17"/>
        <v>3183597</v>
      </c>
    </row>
    <row r="122" spans="1:8" ht="12.75">
      <c r="A122" s="797" t="s">
        <v>481</v>
      </c>
      <c r="B122" s="804"/>
      <c r="C122" s="804"/>
      <c r="D122" s="1133"/>
      <c r="E122" s="804"/>
      <c r="F122" s="804"/>
      <c r="G122" s="1133"/>
      <c r="H122" s="801">
        <f t="shared" si="17"/>
        <v>0</v>
      </c>
    </row>
    <row r="123" spans="1:8" s="1003" customFormat="1" ht="15">
      <c r="A123" s="1000" t="s">
        <v>482</v>
      </c>
      <c r="B123" s="1001">
        <f aca="true" t="shared" si="23" ref="B123:G123">B78+B85+B117+B118+B119</f>
        <v>11017649566</v>
      </c>
      <c r="C123" s="1001">
        <f t="shared" si="23"/>
        <v>25292610</v>
      </c>
      <c r="D123" s="1130">
        <f t="shared" si="23"/>
        <v>22264736</v>
      </c>
      <c r="E123" s="1001">
        <f t="shared" si="23"/>
        <v>6810119</v>
      </c>
      <c r="F123" s="1001">
        <f t="shared" si="23"/>
        <v>4225006</v>
      </c>
      <c r="G123" s="1130">
        <f t="shared" si="23"/>
        <v>7725268</v>
      </c>
      <c r="H123" s="1002">
        <f t="shared" si="17"/>
        <v>11083967305</v>
      </c>
    </row>
  </sheetData>
  <sheetProtection/>
  <mergeCells count="10">
    <mergeCell ref="C1:H1"/>
    <mergeCell ref="A2:H2"/>
    <mergeCell ref="A4:A7"/>
    <mergeCell ref="B4:B7"/>
    <mergeCell ref="H4:H7"/>
    <mergeCell ref="C4:C7"/>
    <mergeCell ref="D4:D7"/>
    <mergeCell ref="E4:E7"/>
    <mergeCell ref="F4:F7"/>
    <mergeCell ref="G4:G7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3" r:id="rId2"/>
  <rowBreaks count="3" manualBreakCount="3">
    <brk id="41" max="255" man="1"/>
    <brk id="67" max="255" man="1"/>
    <brk id="95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4.125" style="1018" customWidth="1"/>
    <col min="2" max="2" width="11.625" style="1018" customWidth="1"/>
    <col min="3" max="3" width="11.375" style="1018" customWidth="1"/>
    <col min="4" max="5" width="9.25390625" style="770" customWidth="1"/>
    <col min="6" max="6" width="6.125" style="770" customWidth="1"/>
    <col min="7" max="7" width="9.375" style="770" customWidth="1"/>
    <col min="8" max="8" width="8.875" style="770" customWidth="1"/>
    <col min="9" max="9" width="6.375" style="770" customWidth="1"/>
    <col min="10" max="10" width="9.00390625" style="770" customWidth="1"/>
    <col min="11" max="16384" width="9.125" style="770" customWidth="1"/>
  </cols>
  <sheetData>
    <row r="1" spans="1:3" ht="15">
      <c r="A1" s="1943" t="s">
        <v>1086</v>
      </c>
      <c r="B1" s="1943"/>
      <c r="C1" s="1943"/>
    </row>
    <row r="2" ht="12" customHeight="1"/>
    <row r="3" spans="2:3" ht="12" customHeight="1">
      <c r="B3" s="1780"/>
      <c r="C3" s="1780"/>
    </row>
    <row r="4" ht="21.75" customHeight="1">
      <c r="C4" s="1019" t="s">
        <v>27</v>
      </c>
    </row>
    <row r="5" spans="1:10" s="774" customFormat="1" ht="7.5" customHeight="1">
      <c r="A5" s="1781" t="s">
        <v>648</v>
      </c>
      <c r="B5" s="1782" t="s">
        <v>646</v>
      </c>
      <c r="C5" s="1782" t="s">
        <v>647</v>
      </c>
      <c r="D5" s="772"/>
      <c r="E5" s="773"/>
      <c r="F5" s="773"/>
      <c r="G5" s="773"/>
      <c r="H5" s="773"/>
      <c r="I5" s="773"/>
      <c r="J5" s="773"/>
    </row>
    <row r="6" spans="1:10" s="774" customFormat="1" ht="12" customHeight="1">
      <c r="A6" s="1781"/>
      <c r="B6" s="1782"/>
      <c r="C6" s="1782"/>
      <c r="D6" s="775"/>
      <c r="E6" s="773"/>
      <c r="F6" s="773"/>
      <c r="G6" s="773"/>
      <c r="H6" s="773"/>
      <c r="I6" s="773"/>
      <c r="J6" s="773"/>
    </row>
    <row r="7" spans="1:10" s="774" customFormat="1" ht="12" customHeight="1">
      <c r="A7" s="1781"/>
      <c r="B7" s="1782"/>
      <c r="C7" s="1782"/>
      <c r="D7" s="775"/>
      <c r="E7" s="773"/>
      <c r="F7" s="773"/>
      <c r="G7" s="773"/>
      <c r="H7" s="773"/>
      <c r="I7" s="773"/>
      <c r="J7" s="773"/>
    </row>
    <row r="8" spans="1:10" s="774" customFormat="1" ht="5.25" customHeight="1">
      <c r="A8" s="1781"/>
      <c r="B8" s="1782"/>
      <c r="C8" s="1782"/>
      <c r="D8" s="772"/>
      <c r="E8" s="773"/>
      <c r="F8" s="773"/>
      <c r="G8" s="773"/>
      <c r="H8" s="773"/>
      <c r="I8" s="773"/>
      <c r="J8" s="773"/>
    </row>
    <row r="9" spans="1:9" s="774" customFormat="1" ht="7.5" customHeight="1">
      <c r="A9" s="1030"/>
      <c r="B9" s="1031"/>
      <c r="C9" s="1031"/>
      <c r="I9" s="772"/>
    </row>
    <row r="10" spans="1:9" s="774" customFormat="1" ht="12" customHeight="1">
      <c r="A10" s="1032" t="s">
        <v>649</v>
      </c>
      <c r="B10" s="1033">
        <f>B11+B18</f>
        <v>13452261</v>
      </c>
      <c r="C10" s="1033">
        <f>C11+C18</f>
        <v>12634103</v>
      </c>
      <c r="I10" s="772"/>
    </row>
    <row r="11" spans="1:10" s="774" customFormat="1" ht="12" customHeight="1">
      <c r="A11" s="1034" t="s">
        <v>650</v>
      </c>
      <c r="B11" s="1035">
        <f>SUM(B12:B15)</f>
        <v>6266759</v>
      </c>
      <c r="C11" s="1035">
        <f>SUM(C12:C15)</f>
        <v>4876759</v>
      </c>
      <c r="D11" s="773"/>
      <c r="E11" s="777"/>
      <c r="F11" s="777"/>
      <c r="G11" s="777"/>
      <c r="H11" s="777"/>
      <c r="I11" s="777"/>
      <c r="J11" s="777"/>
    </row>
    <row r="12" spans="1:10" s="774" customFormat="1" ht="12" customHeight="1">
      <c r="A12" s="1034" t="s">
        <v>651</v>
      </c>
      <c r="B12" s="1036">
        <v>5753933</v>
      </c>
      <c r="C12" s="1036">
        <v>2970191</v>
      </c>
      <c r="D12" s="773"/>
      <c r="E12" s="777"/>
      <c r="F12" s="777"/>
      <c r="G12" s="777"/>
      <c r="H12" s="777"/>
      <c r="I12" s="777"/>
      <c r="J12" s="777"/>
    </row>
    <row r="13" spans="1:10" s="774" customFormat="1" ht="12" customHeight="1">
      <c r="A13" s="1034" t="s">
        <v>652</v>
      </c>
      <c r="B13" s="1036">
        <v>336547</v>
      </c>
      <c r="C13" s="1036">
        <v>730584</v>
      </c>
      <c r="D13" s="773"/>
      <c r="E13" s="777"/>
      <c r="F13" s="777"/>
      <c r="G13" s="777"/>
      <c r="H13" s="777"/>
      <c r="I13" s="777"/>
      <c r="J13" s="777"/>
    </row>
    <row r="14" spans="1:3" s="774" customFormat="1" ht="12" customHeight="1">
      <c r="A14" s="1034" t="s">
        <v>653</v>
      </c>
      <c r="B14" s="1037">
        <v>82425</v>
      </c>
      <c r="C14" s="1037">
        <v>702701</v>
      </c>
    </row>
    <row r="15" spans="1:3" s="774" customFormat="1" ht="12" customHeight="1">
      <c r="A15" s="1034" t="s">
        <v>654</v>
      </c>
      <c r="B15" s="1037">
        <v>93854</v>
      </c>
      <c r="C15" s="1037">
        <v>473283</v>
      </c>
    </row>
    <row r="16" spans="1:3" s="774" customFormat="1" ht="12" customHeight="1">
      <c r="A16" s="1034" t="s">
        <v>655</v>
      </c>
      <c r="B16" s="1037"/>
      <c r="C16" s="1037"/>
    </row>
    <row r="17" spans="1:10" s="774" customFormat="1" ht="12" customHeight="1">
      <c r="A17" s="1034" t="s">
        <v>656</v>
      </c>
      <c r="B17" s="1036"/>
      <c r="C17" s="1036"/>
      <c r="D17" s="773"/>
      <c r="E17" s="777"/>
      <c r="F17" s="777"/>
      <c r="G17" s="777"/>
      <c r="H17" s="777"/>
      <c r="I17" s="777"/>
      <c r="J17" s="777"/>
    </row>
    <row r="18" spans="1:10" s="774" customFormat="1" ht="12" customHeight="1">
      <c r="A18" s="1034" t="s">
        <v>657</v>
      </c>
      <c r="B18" s="1035">
        <f>SUM(B19:B25)</f>
        <v>7185502</v>
      </c>
      <c r="C18" s="1035">
        <f>SUM(C19:C25)</f>
        <v>7757344</v>
      </c>
      <c r="D18" s="773"/>
      <c r="E18" s="777"/>
      <c r="F18" s="777"/>
      <c r="G18" s="777"/>
      <c r="H18" s="777"/>
      <c r="I18" s="777"/>
      <c r="J18" s="777"/>
    </row>
    <row r="19" spans="1:10" s="774" customFormat="1" ht="12" customHeight="1">
      <c r="A19" s="1034" t="s">
        <v>658</v>
      </c>
      <c r="B19" s="1036">
        <v>3295517</v>
      </c>
      <c r="C19" s="1036">
        <v>4300954</v>
      </c>
      <c r="D19" s="773"/>
      <c r="E19" s="777"/>
      <c r="F19" s="777"/>
      <c r="G19" s="777"/>
      <c r="H19" s="777"/>
      <c r="I19" s="777"/>
      <c r="J19" s="777"/>
    </row>
    <row r="20" spans="1:10" s="774" customFormat="1" ht="12" customHeight="1">
      <c r="A20" s="1034" t="s">
        <v>659</v>
      </c>
      <c r="B20" s="1036">
        <v>59488</v>
      </c>
      <c r="C20" s="1036">
        <v>59490</v>
      </c>
      <c r="D20" s="773"/>
      <c r="E20" s="777"/>
      <c r="F20" s="777"/>
      <c r="G20" s="777"/>
      <c r="H20" s="777"/>
      <c r="I20" s="777"/>
      <c r="J20" s="777"/>
    </row>
    <row r="21" spans="1:3" s="774" customFormat="1" ht="12" customHeight="1">
      <c r="A21" s="1034" t="s">
        <v>660</v>
      </c>
      <c r="B21" s="1037">
        <v>792274</v>
      </c>
      <c r="C21" s="1037">
        <v>236771</v>
      </c>
    </row>
    <row r="22" spans="1:3" s="774" customFormat="1" ht="12" customHeight="1">
      <c r="A22" s="1034" t="s">
        <v>661</v>
      </c>
      <c r="B22" s="1037">
        <v>11864</v>
      </c>
      <c r="C22" s="1037">
        <v>11565</v>
      </c>
    </row>
    <row r="23" spans="1:3" s="774" customFormat="1" ht="12" customHeight="1">
      <c r="A23" s="1034" t="s">
        <v>662</v>
      </c>
      <c r="B23" s="1037">
        <v>3026359</v>
      </c>
      <c r="C23" s="1037">
        <v>3148564</v>
      </c>
    </row>
    <row r="24" spans="1:10" s="774" customFormat="1" ht="12" customHeight="1">
      <c r="A24" s="1038" t="s">
        <v>663</v>
      </c>
      <c r="B24" s="1036"/>
      <c r="C24" s="1036"/>
      <c r="D24" s="773"/>
      <c r="E24" s="777"/>
      <c r="F24" s="777"/>
      <c r="G24" s="777"/>
      <c r="H24" s="777"/>
      <c r="I24" s="777"/>
      <c r="J24" s="777"/>
    </row>
    <row r="25" spans="1:10" s="774" customFormat="1" ht="29.25" customHeight="1">
      <c r="A25" s="1038" t="s">
        <v>664</v>
      </c>
      <c r="B25" s="1036"/>
      <c r="C25" s="1036"/>
      <c r="D25" s="773"/>
      <c r="E25" s="777"/>
      <c r="F25" s="777"/>
      <c r="G25" s="777"/>
      <c r="H25" s="777"/>
      <c r="I25" s="777"/>
      <c r="J25" s="777"/>
    </row>
    <row r="26" spans="1:3" s="774" customFormat="1" ht="12" customHeight="1">
      <c r="A26" s="1039" t="s">
        <v>665</v>
      </c>
      <c r="B26" s="1040">
        <f>SUM(B27:B28)</f>
        <v>1114916</v>
      </c>
      <c r="C26" s="1040">
        <f>SUM(C27:C28)</f>
        <v>545052</v>
      </c>
    </row>
    <row r="27" spans="1:3" s="774" customFormat="1" ht="12" customHeight="1">
      <c r="A27" s="1041" t="s">
        <v>666</v>
      </c>
      <c r="B27" s="1037">
        <v>1114916</v>
      </c>
      <c r="C27" s="1037">
        <f>545052</f>
        <v>545052</v>
      </c>
    </row>
    <row r="28" spans="1:10" s="774" customFormat="1" ht="12" customHeight="1">
      <c r="A28" s="1041" t="s">
        <v>667</v>
      </c>
      <c r="B28" s="1036"/>
      <c r="C28" s="1036"/>
      <c r="D28" s="773"/>
      <c r="E28" s="777"/>
      <c r="F28" s="777"/>
      <c r="G28" s="777"/>
      <c r="H28" s="777"/>
      <c r="I28" s="777"/>
      <c r="J28" s="777"/>
    </row>
    <row r="29" spans="1:10" s="774" customFormat="1" ht="12" customHeight="1">
      <c r="A29" s="1032" t="s">
        <v>3</v>
      </c>
      <c r="B29" s="1033">
        <f>B10+B26</f>
        <v>14567177</v>
      </c>
      <c r="C29" s="1033">
        <f>C10+C26</f>
        <v>13179155</v>
      </c>
      <c r="D29" s="780"/>
      <c r="E29" s="781"/>
      <c r="F29" s="781"/>
      <c r="G29" s="781"/>
      <c r="H29" s="781"/>
      <c r="I29" s="781"/>
      <c r="J29" s="781"/>
    </row>
    <row r="30" spans="1:2" ht="12" customHeight="1">
      <c r="A30" s="1783" t="s">
        <v>668</v>
      </c>
      <c r="B30" s="1783"/>
    </row>
    <row r="31" ht="12" customHeight="1">
      <c r="A31" s="1020"/>
    </row>
    <row r="32" spans="1:10" s="774" customFormat="1" ht="12" customHeight="1">
      <c r="A32" s="1781" t="s">
        <v>669</v>
      </c>
      <c r="B32" s="1782" t="s">
        <v>646</v>
      </c>
      <c r="C32" s="1782" t="s">
        <v>647</v>
      </c>
      <c r="D32" s="772"/>
      <c r="E32" s="773"/>
      <c r="F32" s="773"/>
      <c r="G32" s="773"/>
      <c r="H32" s="773"/>
      <c r="I32" s="773"/>
      <c r="J32" s="773"/>
    </row>
    <row r="33" spans="1:10" s="774" customFormat="1" ht="12" customHeight="1">
      <c r="A33" s="1781"/>
      <c r="B33" s="1782"/>
      <c r="C33" s="1782"/>
      <c r="D33" s="775"/>
      <c r="E33" s="773"/>
      <c r="F33" s="773"/>
      <c r="G33" s="773"/>
      <c r="H33" s="773"/>
      <c r="I33" s="773"/>
      <c r="J33" s="773"/>
    </row>
    <row r="34" spans="1:10" s="774" customFormat="1" ht="12" customHeight="1">
      <c r="A34" s="1781"/>
      <c r="B34" s="1782"/>
      <c r="C34" s="1782"/>
      <c r="D34" s="775"/>
      <c r="E34" s="773"/>
      <c r="F34" s="773"/>
      <c r="G34" s="773"/>
      <c r="H34" s="773"/>
      <c r="I34" s="773"/>
      <c r="J34" s="773"/>
    </row>
    <row r="35" spans="1:10" s="774" customFormat="1" ht="12" customHeight="1">
      <c r="A35" s="1781"/>
      <c r="B35" s="1782"/>
      <c r="C35" s="1782"/>
      <c r="D35" s="772"/>
      <c r="E35" s="773"/>
      <c r="F35" s="773"/>
      <c r="G35" s="773"/>
      <c r="H35" s="773"/>
      <c r="I35" s="773"/>
      <c r="J35" s="773"/>
    </row>
    <row r="36" spans="1:10" s="774" customFormat="1" ht="29.25" customHeight="1">
      <c r="A36" s="1041" t="s">
        <v>670</v>
      </c>
      <c r="B36" s="1036">
        <v>736408</v>
      </c>
      <c r="C36" s="1036">
        <v>393926</v>
      </c>
      <c r="D36" s="773"/>
      <c r="E36" s="777"/>
      <c r="F36" s="777"/>
      <c r="G36" s="777"/>
      <c r="H36" s="777"/>
      <c r="I36" s="777"/>
      <c r="J36" s="777"/>
    </row>
    <row r="37" spans="1:10" s="774" customFormat="1" ht="63" customHeight="1">
      <c r="A37" s="1041" t="s">
        <v>671</v>
      </c>
      <c r="B37" s="1036"/>
      <c r="C37" s="1036"/>
      <c r="D37" s="773"/>
      <c r="E37" s="777"/>
      <c r="F37" s="777"/>
      <c r="G37" s="777"/>
      <c r="H37" s="777"/>
      <c r="I37" s="777"/>
      <c r="J37" s="777"/>
    </row>
    <row r="38" spans="1:10" s="774" customFormat="1" ht="49.5" customHeight="1">
      <c r="A38" s="1041" t="s">
        <v>672</v>
      </c>
      <c r="B38" s="1036"/>
      <c r="C38" s="1036"/>
      <c r="D38" s="773"/>
      <c r="E38" s="777"/>
      <c r="F38" s="777"/>
      <c r="G38" s="777"/>
      <c r="H38" s="777"/>
      <c r="I38" s="777"/>
      <c r="J38" s="777"/>
    </row>
    <row r="39" spans="1:10" s="774" customFormat="1" ht="12" customHeight="1">
      <c r="A39" s="1021"/>
      <c r="B39" s="1022"/>
      <c r="C39" s="1022"/>
      <c r="D39" s="773"/>
      <c r="E39" s="777"/>
      <c r="F39" s="777"/>
      <c r="G39" s="777"/>
      <c r="H39" s="777"/>
      <c r="I39" s="777"/>
      <c r="J39" s="777"/>
    </row>
    <row r="40" spans="1:3" ht="12" customHeight="1">
      <c r="A40" s="1778" t="s">
        <v>673</v>
      </c>
      <c r="B40" s="1778"/>
      <c r="C40" s="1778"/>
    </row>
    <row r="41" spans="1:3" ht="12" customHeight="1">
      <c r="A41" s="1779" t="s">
        <v>674</v>
      </c>
      <c r="B41" s="1779"/>
      <c r="C41" s="1779"/>
    </row>
    <row r="42" ht="15">
      <c r="A42" s="1020"/>
    </row>
    <row r="43" spans="1:10" s="1023" customFormat="1" ht="28.5">
      <c r="A43" s="1026" t="s">
        <v>1019</v>
      </c>
      <c r="B43" s="1027" t="s">
        <v>675</v>
      </c>
      <c r="C43" s="1027" t="s">
        <v>676</v>
      </c>
      <c r="D43" s="1024"/>
      <c r="E43" s="1024"/>
      <c r="F43" s="1024"/>
      <c r="G43" s="1024"/>
      <c r="H43" s="1024"/>
      <c r="I43" s="1024"/>
      <c r="J43" s="1024"/>
    </row>
    <row r="44" spans="1:10" s="1023" customFormat="1" ht="14.25">
      <c r="A44" s="1172" t="s">
        <v>705</v>
      </c>
      <c r="B44" s="1029">
        <f>B45</f>
        <v>105</v>
      </c>
      <c r="C44" s="1029">
        <f>C45</f>
        <v>0</v>
      </c>
      <c r="D44" s="1024"/>
      <c r="E44" s="1024"/>
      <c r="F44" s="1024"/>
      <c r="G44" s="1024"/>
      <c r="H44" s="1024"/>
      <c r="I44" s="1024"/>
      <c r="J44" s="1024"/>
    </row>
    <row r="45" spans="1:3" s="1168" customFormat="1" ht="15">
      <c r="A45" s="1169" t="s">
        <v>755</v>
      </c>
      <c r="B45" s="1370">
        <v>105</v>
      </c>
      <c r="C45" s="1370">
        <v>0</v>
      </c>
    </row>
    <row r="46" spans="1:3" s="1024" customFormat="1" ht="14.25">
      <c r="A46" s="1170" t="s">
        <v>750</v>
      </c>
      <c r="B46" s="1029">
        <f>SUM(B47:B52)</f>
        <v>17341</v>
      </c>
      <c r="C46" s="1029">
        <v>0</v>
      </c>
    </row>
    <row r="47" spans="1:3" ht="15">
      <c r="A47" s="1171" t="s">
        <v>751</v>
      </c>
      <c r="B47" s="1371">
        <v>1006</v>
      </c>
      <c r="C47" s="1370">
        <v>0</v>
      </c>
    </row>
    <row r="48" spans="1:3" ht="15">
      <c r="A48" s="1171" t="s">
        <v>752</v>
      </c>
      <c r="B48" s="1371">
        <v>13558</v>
      </c>
      <c r="C48" s="1370">
        <v>0</v>
      </c>
    </row>
    <row r="49" spans="1:3" ht="15">
      <c r="A49" s="1171" t="s">
        <v>104</v>
      </c>
      <c r="B49" s="1371">
        <v>564</v>
      </c>
      <c r="C49" s="1370">
        <v>0</v>
      </c>
    </row>
    <row r="50" spans="1:3" ht="15">
      <c r="A50" s="1171" t="s">
        <v>1020</v>
      </c>
      <c r="B50" s="1371">
        <v>868</v>
      </c>
      <c r="C50" s="1370">
        <v>0</v>
      </c>
    </row>
    <row r="51" spans="1:3" ht="15">
      <c r="A51" s="1171" t="s">
        <v>753</v>
      </c>
      <c r="B51" s="1371">
        <v>176</v>
      </c>
      <c r="C51" s="1370">
        <v>0</v>
      </c>
    </row>
    <row r="52" spans="1:3" ht="15">
      <c r="A52" s="1171" t="s">
        <v>754</v>
      </c>
      <c r="B52" s="1371">
        <v>1169</v>
      </c>
      <c r="C52" s="1370">
        <v>0</v>
      </c>
    </row>
    <row r="53" spans="1:3" ht="14.25">
      <c r="A53" s="1028" t="s">
        <v>756</v>
      </c>
      <c r="B53" s="1029">
        <f>B46+B44</f>
        <v>17446</v>
      </c>
      <c r="C53" s="1029">
        <f>C46+C44</f>
        <v>0</v>
      </c>
    </row>
  </sheetData>
  <sheetProtection/>
  <mergeCells count="11">
    <mergeCell ref="A1:C1"/>
    <mergeCell ref="A40:C40"/>
    <mergeCell ref="A41:C41"/>
    <mergeCell ref="B3:C3"/>
    <mergeCell ref="A5:A8"/>
    <mergeCell ref="B5:B8"/>
    <mergeCell ref="C5:C8"/>
    <mergeCell ref="A30:B30"/>
    <mergeCell ref="A32:A35"/>
    <mergeCell ref="B32:B35"/>
    <mergeCell ref="C32:C3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BL59"/>
  <sheetViews>
    <sheetView view="pageBreakPreview" zoomScaleSheetLayoutView="100" zoomScalePageLayoutView="0" workbookViewId="0" topLeftCell="A1">
      <selection activeCell="AK1" sqref="AK1:BI1"/>
    </sheetView>
  </sheetViews>
  <sheetFormatPr defaultColWidth="11.375" defaultRowHeight="12.75"/>
  <cols>
    <col min="1" max="25" width="2.75390625" style="1042" customWidth="1"/>
    <col min="26" max="26" width="1.75390625" style="1042" customWidth="1"/>
    <col min="27" max="44" width="2.75390625" style="1156" customWidth="1"/>
    <col min="45" max="45" width="2.875" style="1156" customWidth="1"/>
    <col min="46" max="56" width="2.75390625" style="1156" customWidth="1"/>
    <col min="57" max="60" width="2.75390625" style="1046" customWidth="1"/>
    <col min="61" max="61" width="4.00390625" style="1046" customWidth="1"/>
    <col min="62" max="79" width="2.75390625" style="1042" customWidth="1"/>
    <col min="80" max="16384" width="11.375" style="1042" customWidth="1"/>
  </cols>
  <sheetData>
    <row r="1" spans="37:61" ht="12.75">
      <c r="AK1" s="1945" t="s">
        <v>1087</v>
      </c>
      <c r="AL1" s="1944"/>
      <c r="AM1" s="1944"/>
      <c r="AN1" s="1944"/>
      <c r="AO1" s="1944"/>
      <c r="AP1" s="1944"/>
      <c r="AQ1" s="1944"/>
      <c r="AR1" s="1944"/>
      <c r="AS1" s="1944"/>
      <c r="AT1" s="1944"/>
      <c r="AU1" s="1944"/>
      <c r="AV1" s="1944"/>
      <c r="AW1" s="1944"/>
      <c r="AX1" s="1944"/>
      <c r="AY1" s="1944"/>
      <c r="AZ1" s="1944"/>
      <c r="BA1" s="1944"/>
      <c r="BB1" s="1944"/>
      <c r="BC1" s="1944"/>
      <c r="BD1" s="1944"/>
      <c r="BE1" s="1944"/>
      <c r="BF1" s="1944"/>
      <c r="BG1" s="1944"/>
      <c r="BH1" s="1944"/>
      <c r="BI1" s="1944"/>
    </row>
    <row r="2" ht="65.25" customHeight="1"/>
    <row r="3" spans="1:62" s="1044" customFormat="1" ht="12.75" customHeight="1">
      <c r="A3" s="1815"/>
      <c r="B3" s="1816"/>
      <c r="C3" s="1816"/>
      <c r="D3" s="1816"/>
      <c r="E3" s="1816"/>
      <c r="F3" s="1816"/>
      <c r="G3" s="1816"/>
      <c r="H3" s="1816"/>
      <c r="I3" s="1816"/>
      <c r="J3" s="1816"/>
      <c r="K3" s="1816"/>
      <c r="L3" s="1816"/>
      <c r="M3" s="1816"/>
      <c r="N3" s="1816"/>
      <c r="O3" s="1816"/>
      <c r="P3" s="1816"/>
      <c r="Q3" s="1816"/>
      <c r="R3" s="1816"/>
      <c r="S3" s="1816"/>
      <c r="T3" s="1816"/>
      <c r="U3" s="1816"/>
      <c r="V3" s="1816"/>
      <c r="W3" s="1816"/>
      <c r="X3" s="1816"/>
      <c r="Y3" s="1816"/>
      <c r="Z3" s="1816"/>
      <c r="AA3" s="1816"/>
      <c r="AB3" s="1816"/>
      <c r="AC3" s="1816"/>
      <c r="AD3" s="1816"/>
      <c r="AE3" s="1816"/>
      <c r="AF3" s="1816"/>
      <c r="AG3" s="1816"/>
      <c r="AH3" s="1816"/>
      <c r="AI3" s="1816"/>
      <c r="AJ3" s="1816"/>
      <c r="AK3" s="1816"/>
      <c r="AL3" s="1816"/>
      <c r="AM3" s="1816"/>
      <c r="AN3" s="1816"/>
      <c r="AO3" s="1816"/>
      <c r="AP3" s="1816"/>
      <c r="AQ3" s="1816"/>
      <c r="AR3" s="1816"/>
      <c r="AS3" s="1816"/>
      <c r="AT3" s="1816"/>
      <c r="AU3" s="1816"/>
      <c r="AV3" s="1816"/>
      <c r="AW3" s="1816"/>
      <c r="AX3" s="1816"/>
      <c r="AY3" s="1816"/>
      <c r="AZ3" s="1816"/>
      <c r="BA3" s="1816"/>
      <c r="BB3" s="1816"/>
      <c r="BC3" s="1816"/>
      <c r="BD3" s="1816"/>
      <c r="BE3" s="1816"/>
      <c r="BF3" s="1816"/>
      <c r="BG3" s="1816"/>
      <c r="BH3" s="1816"/>
      <c r="BI3" s="1816"/>
      <c r="BJ3" s="1045"/>
    </row>
    <row r="4" spans="1:61" ht="12.75" customHeight="1">
      <c r="A4" s="1817" t="s">
        <v>540</v>
      </c>
      <c r="B4" s="1818"/>
      <c r="C4" s="1818"/>
      <c r="D4" s="1818"/>
      <c r="E4" s="1818"/>
      <c r="F4" s="1818"/>
      <c r="G4" s="1818"/>
      <c r="H4" s="1818"/>
      <c r="I4" s="1818"/>
      <c r="J4" s="1818"/>
      <c r="K4" s="1818"/>
      <c r="L4" s="1818"/>
      <c r="M4" s="1818"/>
      <c r="N4" s="1818"/>
      <c r="O4" s="1818"/>
      <c r="P4" s="1818"/>
      <c r="Q4" s="1818"/>
      <c r="R4" s="1818"/>
      <c r="S4" s="1818"/>
      <c r="T4" s="1818"/>
      <c r="U4" s="1818"/>
      <c r="V4" s="1818"/>
      <c r="W4" s="1818"/>
      <c r="X4" s="1818"/>
      <c r="Y4" s="1818"/>
      <c r="Z4" s="1818"/>
      <c r="AA4" s="1818"/>
      <c r="AB4" s="1818"/>
      <c r="AC4" s="1818"/>
      <c r="AD4" s="1818"/>
      <c r="AE4" s="1818"/>
      <c r="AF4" s="1818"/>
      <c r="AG4" s="1818"/>
      <c r="AH4" s="1818"/>
      <c r="AI4" s="1818"/>
      <c r="AJ4" s="1818"/>
      <c r="AK4" s="1818"/>
      <c r="AL4" s="1818"/>
      <c r="AM4" s="1818"/>
      <c r="AN4" s="1818"/>
      <c r="AO4" s="1818"/>
      <c r="AP4" s="1818"/>
      <c r="AQ4" s="1818"/>
      <c r="AR4" s="1818"/>
      <c r="AS4" s="1818"/>
      <c r="AT4" s="1818"/>
      <c r="AU4" s="1818"/>
      <c r="AV4" s="1818"/>
      <c r="AW4" s="1818"/>
      <c r="AX4" s="1818"/>
      <c r="AY4" s="1818"/>
      <c r="AZ4" s="1818"/>
      <c r="BA4" s="1818"/>
      <c r="BB4" s="1818"/>
      <c r="BC4" s="1818"/>
      <c r="BD4" s="1818"/>
      <c r="BE4" s="1818"/>
      <c r="BF4" s="1818"/>
      <c r="BG4" s="1818"/>
      <c r="BH4" s="1818"/>
      <c r="BI4" s="1819"/>
    </row>
    <row r="5" spans="1:64" ht="64.5" customHeight="1">
      <c r="A5" s="1820" t="s">
        <v>56</v>
      </c>
      <c r="B5" s="1820"/>
      <c r="C5" s="1820" t="s">
        <v>486</v>
      </c>
      <c r="D5" s="1820"/>
      <c r="E5" s="1820"/>
      <c r="F5" s="1820"/>
      <c r="G5" s="1820"/>
      <c r="H5" s="1820"/>
      <c r="I5" s="1820"/>
      <c r="J5" s="1820"/>
      <c r="K5" s="1820"/>
      <c r="L5" s="1820"/>
      <c r="M5" s="1820"/>
      <c r="N5" s="1820"/>
      <c r="O5" s="1820"/>
      <c r="P5" s="1820"/>
      <c r="Q5" s="1820"/>
      <c r="R5" s="1820"/>
      <c r="S5" s="1820"/>
      <c r="T5" s="1820"/>
      <c r="U5" s="1820"/>
      <c r="V5" s="1820"/>
      <c r="W5" s="1820"/>
      <c r="X5" s="1820"/>
      <c r="Y5" s="1820"/>
      <c r="Z5" s="1820"/>
      <c r="AA5" s="1811" t="s">
        <v>705</v>
      </c>
      <c r="AB5" s="1811"/>
      <c r="AC5" s="1811"/>
      <c r="AD5" s="1811"/>
      <c r="AE5" s="1811"/>
      <c r="AF5" s="1811" t="s">
        <v>704</v>
      </c>
      <c r="AG5" s="1811"/>
      <c r="AH5" s="1811"/>
      <c r="AI5" s="1811"/>
      <c r="AJ5" s="1811"/>
      <c r="AK5" s="1811" t="s">
        <v>703</v>
      </c>
      <c r="AL5" s="1811"/>
      <c r="AM5" s="1811"/>
      <c r="AN5" s="1811"/>
      <c r="AO5" s="1811"/>
      <c r="AP5" s="1811" t="s">
        <v>702</v>
      </c>
      <c r="AQ5" s="1811"/>
      <c r="AR5" s="1811"/>
      <c r="AS5" s="1811"/>
      <c r="AT5" s="1811"/>
      <c r="AU5" s="1811" t="s">
        <v>701</v>
      </c>
      <c r="AV5" s="1811"/>
      <c r="AW5" s="1811"/>
      <c r="AX5" s="1811"/>
      <c r="AY5" s="1811"/>
      <c r="AZ5" s="1811" t="s">
        <v>700</v>
      </c>
      <c r="BA5" s="1811"/>
      <c r="BB5" s="1811"/>
      <c r="BC5" s="1811"/>
      <c r="BD5" s="1811"/>
      <c r="BE5" s="1811" t="s">
        <v>1058</v>
      </c>
      <c r="BF5" s="1811"/>
      <c r="BG5" s="1811"/>
      <c r="BH5" s="1811"/>
      <c r="BI5" s="1811"/>
      <c r="BJ5" s="1795"/>
      <c r="BK5" s="1795"/>
      <c r="BL5" s="1795"/>
    </row>
    <row r="6" spans="1:64" ht="12.75" customHeight="1">
      <c r="A6" s="1812" t="s">
        <v>335</v>
      </c>
      <c r="B6" s="1812"/>
      <c r="C6" s="1813" t="s">
        <v>699</v>
      </c>
      <c r="D6" s="1814"/>
      <c r="E6" s="1814"/>
      <c r="F6" s="1814"/>
      <c r="G6" s="1814"/>
      <c r="H6" s="1814"/>
      <c r="I6" s="1814"/>
      <c r="J6" s="1814"/>
      <c r="K6" s="1814"/>
      <c r="L6" s="1814"/>
      <c r="M6" s="1814"/>
      <c r="N6" s="1814"/>
      <c r="O6" s="1814"/>
      <c r="P6" s="1814"/>
      <c r="Q6" s="1814"/>
      <c r="R6" s="1814"/>
      <c r="S6" s="1814"/>
      <c r="T6" s="1814"/>
      <c r="U6" s="1814"/>
      <c r="V6" s="1814"/>
      <c r="W6" s="1814"/>
      <c r="X6" s="1814"/>
      <c r="Y6" s="1814"/>
      <c r="Z6" s="1814"/>
      <c r="AA6" s="1786">
        <f>46482+95516593</f>
        <v>95563075</v>
      </c>
      <c r="AB6" s="1786"/>
      <c r="AC6" s="1786"/>
      <c r="AD6" s="1786"/>
      <c r="AE6" s="1786"/>
      <c r="AF6" s="1786">
        <v>9583384288</v>
      </c>
      <c r="AG6" s="1786"/>
      <c r="AH6" s="1786"/>
      <c r="AI6" s="1786"/>
      <c r="AJ6" s="1786"/>
      <c r="AK6" s="1786">
        <f>5445008+571905252</f>
        <v>577350260</v>
      </c>
      <c r="AL6" s="1786"/>
      <c r="AM6" s="1786"/>
      <c r="AN6" s="1786"/>
      <c r="AO6" s="1786"/>
      <c r="AP6" s="1786"/>
      <c r="AQ6" s="1786"/>
      <c r="AR6" s="1786"/>
      <c r="AS6" s="1786"/>
      <c r="AT6" s="1786"/>
      <c r="AU6" s="1786">
        <v>1057667383</v>
      </c>
      <c r="AV6" s="1786"/>
      <c r="AW6" s="1786"/>
      <c r="AX6" s="1786"/>
      <c r="AY6" s="1786"/>
      <c r="AZ6" s="1786">
        <v>1924648860</v>
      </c>
      <c r="BA6" s="1786"/>
      <c r="BB6" s="1786"/>
      <c r="BC6" s="1786"/>
      <c r="BD6" s="1786"/>
      <c r="BE6" s="1784">
        <f>SUM(AA6:BD6)</f>
        <v>13238613866</v>
      </c>
      <c r="BF6" s="1784"/>
      <c r="BG6" s="1784"/>
      <c r="BH6" s="1784"/>
      <c r="BI6" s="1784"/>
      <c r="BJ6" s="1795"/>
      <c r="BK6" s="1795"/>
      <c r="BL6" s="1795"/>
    </row>
    <row r="7" spans="1:64" ht="12.75" customHeight="1">
      <c r="A7" s="1788" t="s">
        <v>337</v>
      </c>
      <c r="B7" s="1788"/>
      <c r="C7" s="1796" t="s">
        <v>698</v>
      </c>
      <c r="D7" s="1808"/>
      <c r="E7" s="1808"/>
      <c r="F7" s="1808"/>
      <c r="G7" s="1808"/>
      <c r="H7" s="1808"/>
      <c r="I7" s="1808"/>
      <c r="J7" s="1808"/>
      <c r="K7" s="1808"/>
      <c r="L7" s="1808"/>
      <c r="M7" s="1808"/>
      <c r="N7" s="1808"/>
      <c r="O7" s="1808"/>
      <c r="P7" s="1808"/>
      <c r="Q7" s="1808"/>
      <c r="R7" s="1808"/>
      <c r="S7" s="1808"/>
      <c r="T7" s="1808"/>
      <c r="U7" s="1808"/>
      <c r="V7" s="1808"/>
      <c r="W7" s="1808"/>
      <c r="X7" s="1808"/>
      <c r="Y7" s="1808"/>
      <c r="Z7" s="1808"/>
      <c r="AA7" s="1794">
        <v>6151508</v>
      </c>
      <c r="AB7" s="1787"/>
      <c r="AC7" s="1787"/>
      <c r="AD7" s="1787"/>
      <c r="AE7" s="1787"/>
      <c r="AF7" s="1800"/>
      <c r="AG7" s="1800"/>
      <c r="AH7" s="1800"/>
      <c r="AI7" s="1800"/>
      <c r="AJ7" s="1801"/>
      <c r="AK7" s="1800"/>
      <c r="AL7" s="1800"/>
      <c r="AM7" s="1800"/>
      <c r="AN7" s="1800"/>
      <c r="AO7" s="1801"/>
      <c r="AP7" s="1800"/>
      <c r="AQ7" s="1800"/>
      <c r="AR7" s="1800"/>
      <c r="AS7" s="1800"/>
      <c r="AT7" s="1801"/>
      <c r="AU7" s="1787"/>
      <c r="AV7" s="1787"/>
      <c r="AW7" s="1787"/>
      <c r="AX7" s="1787"/>
      <c r="AY7" s="1787"/>
      <c r="AZ7" s="1800"/>
      <c r="BA7" s="1800"/>
      <c r="BB7" s="1800"/>
      <c r="BC7" s="1800"/>
      <c r="BD7" s="1801"/>
      <c r="BE7" s="1784">
        <f aca="true" t="shared" si="0" ref="BE7:BE31">SUM(AA7:BD7)</f>
        <v>6151508</v>
      </c>
      <c r="BF7" s="1784"/>
      <c r="BG7" s="1784"/>
      <c r="BH7" s="1784"/>
      <c r="BI7" s="1784"/>
      <c r="BJ7" s="1795"/>
      <c r="BK7" s="1795"/>
      <c r="BL7" s="1795"/>
    </row>
    <row r="8" spans="1:64" ht="12.75" customHeight="1">
      <c r="A8" s="1788" t="s">
        <v>341</v>
      </c>
      <c r="B8" s="1788"/>
      <c r="C8" s="1796" t="s">
        <v>697</v>
      </c>
      <c r="D8" s="1808"/>
      <c r="E8" s="1808"/>
      <c r="F8" s="1808"/>
      <c r="G8" s="1808"/>
      <c r="H8" s="1808"/>
      <c r="I8" s="1808"/>
      <c r="J8" s="1808"/>
      <c r="K8" s="1808"/>
      <c r="L8" s="1808"/>
      <c r="M8" s="1808"/>
      <c r="N8" s="1808"/>
      <c r="O8" s="1808"/>
      <c r="P8" s="1808"/>
      <c r="Q8" s="1808"/>
      <c r="R8" s="1808"/>
      <c r="S8" s="1808"/>
      <c r="T8" s="1808"/>
      <c r="U8" s="1808"/>
      <c r="V8" s="1808"/>
      <c r="W8" s="1808"/>
      <c r="X8" s="1808"/>
      <c r="Y8" s="1808"/>
      <c r="Z8" s="1808"/>
      <c r="AA8" s="1800"/>
      <c r="AB8" s="1800"/>
      <c r="AC8" s="1800"/>
      <c r="AD8" s="1800"/>
      <c r="AE8" s="1801"/>
      <c r="AF8" s="1800"/>
      <c r="AG8" s="1800"/>
      <c r="AH8" s="1800"/>
      <c r="AI8" s="1800"/>
      <c r="AJ8" s="1801"/>
      <c r="AK8" s="1800"/>
      <c r="AL8" s="1800"/>
      <c r="AM8" s="1800"/>
      <c r="AN8" s="1800"/>
      <c r="AO8" s="1801"/>
      <c r="AP8" s="1800"/>
      <c r="AQ8" s="1800"/>
      <c r="AR8" s="1800"/>
      <c r="AS8" s="1800"/>
      <c r="AT8" s="1801"/>
      <c r="AU8" s="1787"/>
      <c r="AV8" s="1787"/>
      <c r="AW8" s="1787"/>
      <c r="AX8" s="1787"/>
      <c r="AY8" s="1787"/>
      <c r="AZ8" s="1800"/>
      <c r="BA8" s="1800"/>
      <c r="BB8" s="1800"/>
      <c r="BC8" s="1800"/>
      <c r="BD8" s="1801"/>
      <c r="BE8" s="1784">
        <f t="shared" si="0"/>
        <v>0</v>
      </c>
      <c r="BF8" s="1784"/>
      <c r="BG8" s="1784"/>
      <c r="BH8" s="1784"/>
      <c r="BI8" s="1784"/>
      <c r="BJ8" s="1795"/>
      <c r="BK8" s="1795"/>
      <c r="BL8" s="1795"/>
    </row>
    <row r="9" spans="1:64" ht="12.75" customHeight="1">
      <c r="A9" s="1788" t="s">
        <v>343</v>
      </c>
      <c r="B9" s="1788"/>
      <c r="C9" s="1796" t="s">
        <v>696</v>
      </c>
      <c r="D9" s="1808"/>
      <c r="E9" s="1808"/>
      <c r="F9" s="1808"/>
      <c r="G9" s="1808"/>
      <c r="H9" s="1808"/>
      <c r="I9" s="1808"/>
      <c r="J9" s="1808"/>
      <c r="K9" s="1808"/>
      <c r="L9" s="1808"/>
      <c r="M9" s="1808"/>
      <c r="N9" s="1808"/>
      <c r="O9" s="1808"/>
      <c r="P9" s="1808"/>
      <c r="Q9" s="1808"/>
      <c r="R9" s="1808"/>
      <c r="S9" s="1808"/>
      <c r="T9" s="1808"/>
      <c r="U9" s="1808"/>
      <c r="V9" s="1808"/>
      <c r="W9" s="1808"/>
      <c r="X9" s="1808"/>
      <c r="Y9" s="1808"/>
      <c r="Z9" s="1808"/>
      <c r="AA9" s="1800"/>
      <c r="AB9" s="1800"/>
      <c r="AC9" s="1800"/>
      <c r="AD9" s="1800"/>
      <c r="AE9" s="1801"/>
      <c r="AF9" s="1794">
        <v>1120743178</v>
      </c>
      <c r="AG9" s="1787"/>
      <c r="AH9" s="1787"/>
      <c r="AI9" s="1787"/>
      <c r="AJ9" s="1787"/>
      <c r="AK9" s="1794">
        <f>1950000+50126926</f>
        <v>52076926</v>
      </c>
      <c r="AL9" s="1787"/>
      <c r="AM9" s="1787"/>
      <c r="AN9" s="1787"/>
      <c r="AO9" s="1787"/>
      <c r="AP9" s="1794"/>
      <c r="AQ9" s="1787"/>
      <c r="AR9" s="1787"/>
      <c r="AS9" s="1787"/>
      <c r="AT9" s="1787"/>
      <c r="AU9" s="1800"/>
      <c r="AV9" s="1800"/>
      <c r="AW9" s="1800"/>
      <c r="AX9" s="1800"/>
      <c r="AY9" s="1801"/>
      <c r="AZ9" s="1800"/>
      <c r="BA9" s="1800"/>
      <c r="BB9" s="1800"/>
      <c r="BC9" s="1800"/>
      <c r="BD9" s="1801"/>
      <c r="BE9" s="1784">
        <f t="shared" si="0"/>
        <v>1172820104</v>
      </c>
      <c r="BF9" s="1784"/>
      <c r="BG9" s="1784"/>
      <c r="BH9" s="1784"/>
      <c r="BI9" s="1784"/>
      <c r="BJ9" s="1795"/>
      <c r="BK9" s="1795"/>
      <c r="BL9" s="1795"/>
    </row>
    <row r="10" spans="1:64" ht="12.75" customHeight="1">
      <c r="A10" s="1788" t="s">
        <v>348</v>
      </c>
      <c r="B10" s="1788"/>
      <c r="C10" s="1789" t="s">
        <v>695</v>
      </c>
      <c r="D10" s="1809"/>
      <c r="E10" s="1809"/>
      <c r="F10" s="1809"/>
      <c r="G10" s="1809"/>
      <c r="H10" s="1809"/>
      <c r="I10" s="1809"/>
      <c r="J10" s="1809"/>
      <c r="K10" s="1809"/>
      <c r="L10" s="1809"/>
      <c r="M10" s="1809"/>
      <c r="N10" s="1809"/>
      <c r="O10" s="1809"/>
      <c r="P10" s="1809"/>
      <c r="Q10" s="1809"/>
      <c r="R10" s="1809"/>
      <c r="S10" s="1809"/>
      <c r="T10" s="1809"/>
      <c r="U10" s="1809"/>
      <c r="V10" s="1809"/>
      <c r="W10" s="1809"/>
      <c r="X10" s="1809"/>
      <c r="Y10" s="1809"/>
      <c r="Z10" s="1809"/>
      <c r="AA10" s="1794"/>
      <c r="AB10" s="1787"/>
      <c r="AC10" s="1787"/>
      <c r="AD10" s="1787"/>
      <c r="AE10" s="1787"/>
      <c r="AF10" s="1794">
        <v>379292040</v>
      </c>
      <c r="AG10" s="1787"/>
      <c r="AH10" s="1787"/>
      <c r="AI10" s="1787"/>
      <c r="AJ10" s="1787"/>
      <c r="AK10" s="1794">
        <v>168794363</v>
      </c>
      <c r="AL10" s="1787"/>
      <c r="AM10" s="1787"/>
      <c r="AN10" s="1787"/>
      <c r="AO10" s="1787"/>
      <c r="AP10" s="1794"/>
      <c r="AQ10" s="1787"/>
      <c r="AR10" s="1787"/>
      <c r="AS10" s="1787"/>
      <c r="AT10" s="1787"/>
      <c r="AU10" s="1787"/>
      <c r="AV10" s="1787"/>
      <c r="AW10" s="1787"/>
      <c r="AX10" s="1787"/>
      <c r="AY10" s="1787"/>
      <c r="AZ10" s="1800"/>
      <c r="BA10" s="1800"/>
      <c r="BB10" s="1800"/>
      <c r="BC10" s="1800"/>
      <c r="BD10" s="1801"/>
      <c r="BE10" s="1784">
        <f t="shared" si="0"/>
        <v>548086403</v>
      </c>
      <c r="BF10" s="1784"/>
      <c r="BG10" s="1784"/>
      <c r="BH10" s="1784"/>
      <c r="BI10" s="1784"/>
      <c r="BJ10" s="1795"/>
      <c r="BK10" s="1795"/>
      <c r="BL10" s="1795"/>
    </row>
    <row r="11" spans="1:64" ht="25.5" customHeight="1">
      <c r="A11" s="1788" t="s">
        <v>350</v>
      </c>
      <c r="B11" s="1788"/>
      <c r="C11" s="1796" t="s">
        <v>694</v>
      </c>
      <c r="D11" s="1808"/>
      <c r="E11" s="1808"/>
      <c r="F11" s="1808"/>
      <c r="G11" s="1808"/>
      <c r="H11" s="1808"/>
      <c r="I11" s="1808"/>
      <c r="J11" s="1808"/>
      <c r="K11" s="1808"/>
      <c r="L11" s="1808"/>
      <c r="M11" s="1808"/>
      <c r="N11" s="1808"/>
      <c r="O11" s="1808"/>
      <c r="P11" s="1808"/>
      <c r="Q11" s="1808"/>
      <c r="R11" s="1808"/>
      <c r="S11" s="1808"/>
      <c r="T11" s="1808"/>
      <c r="U11" s="1808"/>
      <c r="V11" s="1808"/>
      <c r="W11" s="1808"/>
      <c r="X11" s="1808"/>
      <c r="Y11" s="1808"/>
      <c r="Z11" s="1808"/>
      <c r="AA11" s="1787"/>
      <c r="AB11" s="1787"/>
      <c r="AC11" s="1787"/>
      <c r="AD11" s="1787"/>
      <c r="AE11" s="1787"/>
      <c r="AF11" s="1787"/>
      <c r="AG11" s="1787"/>
      <c r="AH11" s="1787"/>
      <c r="AI11" s="1787"/>
      <c r="AJ11" s="1787"/>
      <c r="AK11" s="1787"/>
      <c r="AL11" s="1787"/>
      <c r="AM11" s="1787"/>
      <c r="AN11" s="1787"/>
      <c r="AO11" s="1787"/>
      <c r="AP11" s="1787"/>
      <c r="AQ11" s="1787"/>
      <c r="AR11" s="1787"/>
      <c r="AS11" s="1787"/>
      <c r="AT11" s="1787"/>
      <c r="AU11" s="1787"/>
      <c r="AV11" s="1787"/>
      <c r="AW11" s="1787"/>
      <c r="AX11" s="1787"/>
      <c r="AY11" s="1787"/>
      <c r="AZ11" s="1800"/>
      <c r="BA11" s="1800"/>
      <c r="BB11" s="1800"/>
      <c r="BC11" s="1800"/>
      <c r="BD11" s="1801"/>
      <c r="BE11" s="1784">
        <f t="shared" si="0"/>
        <v>0</v>
      </c>
      <c r="BF11" s="1784"/>
      <c r="BG11" s="1784"/>
      <c r="BH11" s="1784"/>
      <c r="BI11" s="1784"/>
      <c r="BJ11" s="1795"/>
      <c r="BK11" s="1795"/>
      <c r="BL11" s="1795"/>
    </row>
    <row r="12" spans="1:64" ht="12.75" customHeight="1">
      <c r="A12" s="1788" t="s">
        <v>354</v>
      </c>
      <c r="B12" s="1788"/>
      <c r="C12" s="1789" t="s">
        <v>693</v>
      </c>
      <c r="D12" s="1809"/>
      <c r="E12" s="1809"/>
      <c r="F12" s="1809"/>
      <c r="G12" s="1809"/>
      <c r="H12" s="1809"/>
      <c r="I12" s="1809"/>
      <c r="J12" s="1809"/>
      <c r="K12" s="1809"/>
      <c r="L12" s="1809"/>
      <c r="M12" s="1809"/>
      <c r="N12" s="1809"/>
      <c r="O12" s="1809"/>
      <c r="P12" s="1809"/>
      <c r="Q12" s="1809"/>
      <c r="R12" s="1809"/>
      <c r="S12" s="1809"/>
      <c r="T12" s="1809"/>
      <c r="U12" s="1809"/>
      <c r="V12" s="1809"/>
      <c r="W12" s="1809"/>
      <c r="X12" s="1809"/>
      <c r="Y12" s="1809"/>
      <c r="Z12" s="1809"/>
      <c r="AA12" s="1787"/>
      <c r="AB12" s="1787"/>
      <c r="AC12" s="1787"/>
      <c r="AD12" s="1787"/>
      <c r="AE12" s="1787"/>
      <c r="AF12" s="1787">
        <v>3658869301</v>
      </c>
      <c r="AG12" s="1787"/>
      <c r="AH12" s="1787"/>
      <c r="AI12" s="1787"/>
      <c r="AJ12" s="1787"/>
      <c r="AK12" s="1787">
        <v>721250732</v>
      </c>
      <c r="AL12" s="1787"/>
      <c r="AM12" s="1787"/>
      <c r="AN12" s="1787"/>
      <c r="AO12" s="1787"/>
      <c r="AP12" s="1787"/>
      <c r="AQ12" s="1787"/>
      <c r="AR12" s="1787"/>
      <c r="AS12" s="1787"/>
      <c r="AT12" s="1787"/>
      <c r="AU12" s="1787"/>
      <c r="AV12" s="1787"/>
      <c r="AW12" s="1787"/>
      <c r="AX12" s="1787"/>
      <c r="AY12" s="1787"/>
      <c r="AZ12" s="1794"/>
      <c r="BA12" s="1787"/>
      <c r="BB12" s="1787"/>
      <c r="BC12" s="1787"/>
      <c r="BD12" s="1787"/>
      <c r="BE12" s="1784">
        <f t="shared" si="0"/>
        <v>4380120033</v>
      </c>
      <c r="BF12" s="1784"/>
      <c r="BG12" s="1784"/>
      <c r="BH12" s="1784"/>
      <c r="BI12" s="1784"/>
      <c r="BJ12" s="1795"/>
      <c r="BK12" s="1795"/>
      <c r="BL12" s="1795"/>
    </row>
    <row r="13" spans="1:64" s="1046" customFormat="1" ht="12.75" customHeight="1">
      <c r="A13" s="1790" t="s">
        <v>356</v>
      </c>
      <c r="B13" s="1790"/>
      <c r="C13" s="1804" t="s">
        <v>706</v>
      </c>
      <c r="D13" s="1810"/>
      <c r="E13" s="1810"/>
      <c r="F13" s="1810"/>
      <c r="G13" s="1810"/>
      <c r="H13" s="1810"/>
      <c r="I13" s="1810"/>
      <c r="J13" s="1810"/>
      <c r="K13" s="1810"/>
      <c r="L13" s="1810"/>
      <c r="M13" s="1810"/>
      <c r="N13" s="1810"/>
      <c r="O13" s="1810"/>
      <c r="P13" s="1810"/>
      <c r="Q13" s="1810"/>
      <c r="R13" s="1810"/>
      <c r="S13" s="1810"/>
      <c r="T13" s="1810"/>
      <c r="U13" s="1810"/>
      <c r="V13" s="1810"/>
      <c r="W13" s="1810"/>
      <c r="X13" s="1810"/>
      <c r="Y13" s="1810"/>
      <c r="Z13" s="1810"/>
      <c r="AA13" s="1784">
        <f>SUM(AA7:AE12)</f>
        <v>6151508</v>
      </c>
      <c r="AB13" s="1792"/>
      <c r="AC13" s="1792"/>
      <c r="AD13" s="1792"/>
      <c r="AE13" s="1792"/>
      <c r="AF13" s="1784">
        <f>SUM(AF7:AJ12)</f>
        <v>5158904519</v>
      </c>
      <c r="AG13" s="1792"/>
      <c r="AH13" s="1792"/>
      <c r="AI13" s="1792"/>
      <c r="AJ13" s="1792"/>
      <c r="AK13" s="1784">
        <f>SUM(AK7:AO12)</f>
        <v>942122021</v>
      </c>
      <c r="AL13" s="1792"/>
      <c r="AM13" s="1792"/>
      <c r="AN13" s="1792"/>
      <c r="AO13" s="1792"/>
      <c r="AP13" s="1784">
        <f>SUM(AP7:AT12)</f>
        <v>0</v>
      </c>
      <c r="AQ13" s="1792"/>
      <c r="AR13" s="1792"/>
      <c r="AS13" s="1792"/>
      <c r="AT13" s="1792"/>
      <c r="AU13" s="1784">
        <f>SUM(AU7:AY12)</f>
        <v>0</v>
      </c>
      <c r="AV13" s="1792"/>
      <c r="AW13" s="1792"/>
      <c r="AX13" s="1792"/>
      <c r="AY13" s="1792"/>
      <c r="AZ13" s="1784">
        <f>SUM(AZ7:BD12)</f>
        <v>0</v>
      </c>
      <c r="BA13" s="1792"/>
      <c r="BB13" s="1792"/>
      <c r="BC13" s="1792"/>
      <c r="BD13" s="1792"/>
      <c r="BE13" s="1784">
        <f>SUM(AA13:BD13)</f>
        <v>6107178048</v>
      </c>
      <c r="BF13" s="1784"/>
      <c r="BG13" s="1784"/>
      <c r="BH13" s="1784"/>
      <c r="BI13" s="1784"/>
      <c r="BJ13" s="1798"/>
      <c r="BK13" s="1798"/>
      <c r="BL13" s="1798"/>
    </row>
    <row r="14" spans="1:64" ht="12.75" customHeight="1">
      <c r="A14" s="1788" t="s">
        <v>497</v>
      </c>
      <c r="B14" s="1788"/>
      <c r="C14" s="1789" t="s">
        <v>692</v>
      </c>
      <c r="D14" s="1809"/>
      <c r="E14" s="1809"/>
      <c r="F14" s="1809"/>
      <c r="G14" s="1809"/>
      <c r="H14" s="1809"/>
      <c r="I14" s="1809"/>
      <c r="J14" s="1809"/>
      <c r="K14" s="1809"/>
      <c r="L14" s="1809"/>
      <c r="M14" s="1809"/>
      <c r="N14" s="1809"/>
      <c r="O14" s="1809"/>
      <c r="P14" s="1809"/>
      <c r="Q14" s="1809"/>
      <c r="R14" s="1809"/>
      <c r="S14" s="1809"/>
      <c r="T14" s="1809"/>
      <c r="U14" s="1809"/>
      <c r="V14" s="1809"/>
      <c r="W14" s="1809"/>
      <c r="X14" s="1809"/>
      <c r="Y14" s="1809"/>
      <c r="Z14" s="1809"/>
      <c r="AA14" s="1786"/>
      <c r="AB14" s="1786"/>
      <c r="AC14" s="1786"/>
      <c r="AD14" s="1786"/>
      <c r="AE14" s="1786"/>
      <c r="AF14" s="1787">
        <v>318000</v>
      </c>
      <c r="AG14" s="1787"/>
      <c r="AH14" s="1787"/>
      <c r="AI14" s="1787"/>
      <c r="AJ14" s="1787"/>
      <c r="AK14" s="1786"/>
      <c r="AL14" s="1786"/>
      <c r="AM14" s="1786"/>
      <c r="AN14" s="1786"/>
      <c r="AO14" s="1786"/>
      <c r="AP14" s="1786"/>
      <c r="AQ14" s="1786"/>
      <c r="AR14" s="1786"/>
      <c r="AS14" s="1786"/>
      <c r="AT14" s="1786"/>
      <c r="AU14" s="1800"/>
      <c r="AV14" s="1800"/>
      <c r="AW14" s="1800"/>
      <c r="AX14" s="1800"/>
      <c r="AY14" s="1801"/>
      <c r="AZ14" s="1800"/>
      <c r="BA14" s="1800"/>
      <c r="BB14" s="1800"/>
      <c r="BC14" s="1800"/>
      <c r="BD14" s="1801"/>
      <c r="BE14" s="1784">
        <f t="shared" si="0"/>
        <v>318000</v>
      </c>
      <c r="BF14" s="1784"/>
      <c r="BG14" s="1784"/>
      <c r="BH14" s="1784"/>
      <c r="BI14" s="1784"/>
      <c r="BJ14" s="1795"/>
      <c r="BK14" s="1795"/>
      <c r="BL14" s="1795"/>
    </row>
    <row r="15" spans="1:64" ht="12.75" customHeight="1">
      <c r="A15" s="1788" t="s">
        <v>499</v>
      </c>
      <c r="B15" s="1788"/>
      <c r="C15" s="1796" t="s">
        <v>691</v>
      </c>
      <c r="D15" s="1808"/>
      <c r="E15" s="1808"/>
      <c r="F15" s="1808"/>
      <c r="G15" s="1808"/>
      <c r="H15" s="1808"/>
      <c r="I15" s="1808"/>
      <c r="J15" s="1808"/>
      <c r="K15" s="1808"/>
      <c r="L15" s="1808"/>
      <c r="M15" s="1808"/>
      <c r="N15" s="1808"/>
      <c r="O15" s="1808"/>
      <c r="P15" s="1808"/>
      <c r="Q15" s="1808"/>
      <c r="R15" s="1808"/>
      <c r="S15" s="1808"/>
      <c r="T15" s="1808"/>
      <c r="U15" s="1808"/>
      <c r="V15" s="1808"/>
      <c r="W15" s="1808"/>
      <c r="X15" s="1808"/>
      <c r="Y15" s="1808"/>
      <c r="Z15" s="1808"/>
      <c r="AA15" s="1786"/>
      <c r="AB15" s="1786"/>
      <c r="AC15" s="1786"/>
      <c r="AD15" s="1786"/>
      <c r="AE15" s="1786"/>
      <c r="AF15" s="1786">
        <v>10486390</v>
      </c>
      <c r="AG15" s="1786"/>
      <c r="AH15" s="1786"/>
      <c r="AI15" s="1786"/>
      <c r="AJ15" s="1786"/>
      <c r="AK15" s="1786">
        <v>364088106</v>
      </c>
      <c r="AL15" s="1786"/>
      <c r="AM15" s="1786"/>
      <c r="AN15" s="1786"/>
      <c r="AO15" s="1786"/>
      <c r="AP15" s="1786"/>
      <c r="AQ15" s="1786"/>
      <c r="AR15" s="1786"/>
      <c r="AS15" s="1786"/>
      <c r="AT15" s="1786"/>
      <c r="AU15" s="1786"/>
      <c r="AV15" s="1786"/>
      <c r="AW15" s="1786"/>
      <c r="AX15" s="1786"/>
      <c r="AY15" s="1786"/>
      <c r="AZ15" s="1794"/>
      <c r="BA15" s="1787"/>
      <c r="BB15" s="1787"/>
      <c r="BC15" s="1787"/>
      <c r="BD15" s="1787"/>
      <c r="BE15" s="1784">
        <f t="shared" si="0"/>
        <v>374574496</v>
      </c>
      <c r="BF15" s="1784"/>
      <c r="BG15" s="1784"/>
      <c r="BH15" s="1784"/>
      <c r="BI15" s="1784"/>
      <c r="BJ15" s="1795"/>
      <c r="BK15" s="1795"/>
      <c r="BL15" s="1795"/>
    </row>
    <row r="16" spans="1:64" ht="12.75" customHeight="1">
      <c r="A16" s="1788" t="s">
        <v>501</v>
      </c>
      <c r="B16" s="1788"/>
      <c r="C16" s="1789" t="s">
        <v>690</v>
      </c>
      <c r="D16" s="1809"/>
      <c r="E16" s="1809"/>
      <c r="F16" s="1809"/>
      <c r="G16" s="1809"/>
      <c r="H16" s="1809"/>
      <c r="I16" s="1809"/>
      <c r="J16" s="1809"/>
      <c r="K16" s="1809"/>
      <c r="L16" s="1809"/>
      <c r="M16" s="1809"/>
      <c r="N16" s="1809"/>
      <c r="O16" s="1809"/>
      <c r="P16" s="1809"/>
      <c r="Q16" s="1809"/>
      <c r="R16" s="1809"/>
      <c r="S16" s="1809"/>
      <c r="T16" s="1809"/>
      <c r="U16" s="1809"/>
      <c r="V16" s="1809"/>
      <c r="W16" s="1809"/>
      <c r="X16" s="1809"/>
      <c r="Y16" s="1809"/>
      <c r="Z16" s="1809"/>
      <c r="AA16" s="1786"/>
      <c r="AB16" s="1786"/>
      <c r="AC16" s="1786"/>
      <c r="AD16" s="1786"/>
      <c r="AE16" s="1786"/>
      <c r="AF16" s="1786"/>
      <c r="AG16" s="1786"/>
      <c r="AH16" s="1786"/>
      <c r="AI16" s="1786"/>
      <c r="AJ16" s="1786"/>
      <c r="AK16" s="1786"/>
      <c r="AL16" s="1786"/>
      <c r="AM16" s="1786"/>
      <c r="AN16" s="1786"/>
      <c r="AO16" s="1786"/>
      <c r="AP16" s="1786"/>
      <c r="AQ16" s="1786"/>
      <c r="AR16" s="1786"/>
      <c r="AS16" s="1786"/>
      <c r="AT16" s="1786"/>
      <c r="AU16" s="1786"/>
      <c r="AV16" s="1786"/>
      <c r="AW16" s="1786"/>
      <c r="AX16" s="1786"/>
      <c r="AY16" s="1786"/>
      <c r="AZ16" s="1800"/>
      <c r="BA16" s="1800"/>
      <c r="BB16" s="1800"/>
      <c r="BC16" s="1800"/>
      <c r="BD16" s="1801"/>
      <c r="BE16" s="1784">
        <f t="shared" si="0"/>
        <v>0</v>
      </c>
      <c r="BF16" s="1784"/>
      <c r="BG16" s="1784"/>
      <c r="BH16" s="1784"/>
      <c r="BI16" s="1784"/>
      <c r="BJ16" s="1795"/>
      <c r="BK16" s="1795"/>
      <c r="BL16" s="1795"/>
    </row>
    <row r="17" spans="1:64" ht="25.5" customHeight="1">
      <c r="A17" s="1788" t="s">
        <v>503</v>
      </c>
      <c r="B17" s="1788"/>
      <c r="C17" s="1796" t="s">
        <v>689</v>
      </c>
      <c r="D17" s="1808"/>
      <c r="E17" s="1808"/>
      <c r="F17" s="1808"/>
      <c r="G17" s="1808"/>
      <c r="H17" s="1808"/>
      <c r="I17" s="1808"/>
      <c r="J17" s="1808"/>
      <c r="K17" s="1808"/>
      <c r="L17" s="1808"/>
      <c r="M17" s="1808"/>
      <c r="N17" s="1808"/>
      <c r="O17" s="1808"/>
      <c r="P17" s="1808"/>
      <c r="Q17" s="1808"/>
      <c r="R17" s="1808"/>
      <c r="S17" s="1808"/>
      <c r="T17" s="1808"/>
      <c r="U17" s="1808"/>
      <c r="V17" s="1808"/>
      <c r="W17" s="1808"/>
      <c r="X17" s="1808"/>
      <c r="Y17" s="1808"/>
      <c r="Z17" s="1808"/>
      <c r="AA17" s="1786"/>
      <c r="AB17" s="1786"/>
      <c r="AC17" s="1786"/>
      <c r="AD17" s="1786"/>
      <c r="AE17" s="1786"/>
      <c r="AF17" s="1786"/>
      <c r="AG17" s="1786"/>
      <c r="AH17" s="1786"/>
      <c r="AI17" s="1786"/>
      <c r="AJ17" s="1786"/>
      <c r="AK17" s="1786"/>
      <c r="AL17" s="1786"/>
      <c r="AM17" s="1786"/>
      <c r="AN17" s="1786"/>
      <c r="AO17" s="1786"/>
      <c r="AP17" s="1786"/>
      <c r="AQ17" s="1786"/>
      <c r="AR17" s="1786"/>
      <c r="AS17" s="1786"/>
      <c r="AT17" s="1786"/>
      <c r="AU17" s="1794"/>
      <c r="AV17" s="1787"/>
      <c r="AW17" s="1787"/>
      <c r="AX17" s="1787"/>
      <c r="AY17" s="1787"/>
      <c r="AZ17" s="1800"/>
      <c r="BA17" s="1800"/>
      <c r="BB17" s="1800"/>
      <c r="BC17" s="1800"/>
      <c r="BD17" s="1801"/>
      <c r="BE17" s="1784">
        <f t="shared" si="0"/>
        <v>0</v>
      </c>
      <c r="BF17" s="1784"/>
      <c r="BG17" s="1784"/>
      <c r="BH17" s="1784"/>
      <c r="BI17" s="1784"/>
      <c r="BJ17" s="1795"/>
      <c r="BK17" s="1795"/>
      <c r="BL17" s="1795"/>
    </row>
    <row r="18" spans="1:64" ht="12.75" customHeight="1">
      <c r="A18" s="1788" t="s">
        <v>505</v>
      </c>
      <c r="B18" s="1788"/>
      <c r="C18" s="1796" t="s">
        <v>688</v>
      </c>
      <c r="D18" s="1808"/>
      <c r="E18" s="1808"/>
      <c r="F18" s="1808"/>
      <c r="G18" s="1808"/>
      <c r="H18" s="1808"/>
      <c r="I18" s="1808"/>
      <c r="J18" s="1808"/>
      <c r="K18" s="1808"/>
      <c r="L18" s="1808"/>
      <c r="M18" s="1808"/>
      <c r="N18" s="1808"/>
      <c r="O18" s="1808"/>
      <c r="P18" s="1808"/>
      <c r="Q18" s="1808"/>
      <c r="R18" s="1808"/>
      <c r="S18" s="1808"/>
      <c r="T18" s="1808"/>
      <c r="U18" s="1808"/>
      <c r="V18" s="1808"/>
      <c r="W18" s="1808"/>
      <c r="X18" s="1808"/>
      <c r="Y18" s="1808"/>
      <c r="Z18" s="1808"/>
      <c r="AA18" s="1787">
        <v>28765075</v>
      </c>
      <c r="AB18" s="1787"/>
      <c r="AC18" s="1787"/>
      <c r="AD18" s="1787"/>
      <c r="AE18" s="1787"/>
      <c r="AF18" s="1787">
        <v>1552329091</v>
      </c>
      <c r="AG18" s="1787"/>
      <c r="AH18" s="1787"/>
      <c r="AI18" s="1787"/>
      <c r="AJ18" s="1787"/>
      <c r="AK18" s="1787"/>
      <c r="AL18" s="1787"/>
      <c r="AM18" s="1787"/>
      <c r="AN18" s="1787"/>
      <c r="AO18" s="1787"/>
      <c r="AP18" s="1787"/>
      <c r="AQ18" s="1787"/>
      <c r="AR18" s="1787"/>
      <c r="AS18" s="1787"/>
      <c r="AT18" s="1787"/>
      <c r="AU18" s="1787">
        <v>838079166</v>
      </c>
      <c r="AV18" s="1787"/>
      <c r="AW18" s="1787"/>
      <c r="AX18" s="1787"/>
      <c r="AY18" s="1787"/>
      <c r="AZ18" s="1794">
        <v>1924648860</v>
      </c>
      <c r="BA18" s="1787"/>
      <c r="BB18" s="1787"/>
      <c r="BC18" s="1787"/>
      <c r="BD18" s="1787"/>
      <c r="BE18" s="1784">
        <f t="shared" si="0"/>
        <v>4343822192</v>
      </c>
      <c r="BF18" s="1784"/>
      <c r="BG18" s="1784"/>
      <c r="BH18" s="1784"/>
      <c r="BI18" s="1784"/>
      <c r="BJ18" s="1806"/>
      <c r="BK18" s="1795"/>
      <c r="BL18" s="1795"/>
    </row>
    <row r="19" spans="1:64" s="1046" customFormat="1" ht="12.75" customHeight="1">
      <c r="A19" s="1790" t="s">
        <v>507</v>
      </c>
      <c r="B19" s="1790"/>
      <c r="C19" s="1791" t="s">
        <v>707</v>
      </c>
      <c r="D19" s="1807"/>
      <c r="E19" s="1807"/>
      <c r="F19" s="1807"/>
      <c r="G19" s="1807"/>
      <c r="H19" s="1807"/>
      <c r="I19" s="1807"/>
      <c r="J19" s="1807"/>
      <c r="K19" s="1807"/>
      <c r="L19" s="1807"/>
      <c r="M19" s="1807"/>
      <c r="N19" s="1807"/>
      <c r="O19" s="1807"/>
      <c r="P19" s="1807"/>
      <c r="Q19" s="1807"/>
      <c r="R19" s="1807"/>
      <c r="S19" s="1807"/>
      <c r="T19" s="1807"/>
      <c r="U19" s="1807"/>
      <c r="V19" s="1807"/>
      <c r="W19" s="1807"/>
      <c r="X19" s="1807"/>
      <c r="Y19" s="1807"/>
      <c r="Z19" s="1807"/>
      <c r="AA19" s="1784">
        <f>SUM(AA14:AE18)</f>
        <v>28765075</v>
      </c>
      <c r="AB19" s="1792"/>
      <c r="AC19" s="1792"/>
      <c r="AD19" s="1792"/>
      <c r="AE19" s="1792"/>
      <c r="AF19" s="1784">
        <f>SUM(AF14:AJ18)</f>
        <v>1563133481</v>
      </c>
      <c r="AG19" s="1792"/>
      <c r="AH19" s="1792"/>
      <c r="AI19" s="1792"/>
      <c r="AJ19" s="1792"/>
      <c r="AK19" s="1784">
        <f>SUM(AK14:AO18)</f>
        <v>364088106</v>
      </c>
      <c r="AL19" s="1792"/>
      <c r="AM19" s="1792"/>
      <c r="AN19" s="1792"/>
      <c r="AO19" s="1792"/>
      <c r="AP19" s="1784">
        <f>SUM(AP14:AT18)</f>
        <v>0</v>
      </c>
      <c r="AQ19" s="1792"/>
      <c r="AR19" s="1792"/>
      <c r="AS19" s="1792"/>
      <c r="AT19" s="1792"/>
      <c r="AU19" s="1784">
        <f>SUM(AU14:AY18)</f>
        <v>838079166</v>
      </c>
      <c r="AV19" s="1792"/>
      <c r="AW19" s="1792"/>
      <c r="AX19" s="1792"/>
      <c r="AY19" s="1792"/>
      <c r="AZ19" s="1784">
        <f>SUM(AZ14:BD18)</f>
        <v>1924648860</v>
      </c>
      <c r="BA19" s="1792"/>
      <c r="BB19" s="1792"/>
      <c r="BC19" s="1792"/>
      <c r="BD19" s="1792"/>
      <c r="BE19" s="1784">
        <f t="shared" si="0"/>
        <v>4718714688</v>
      </c>
      <c r="BF19" s="1784"/>
      <c r="BG19" s="1784"/>
      <c r="BH19" s="1784"/>
      <c r="BI19" s="1784"/>
      <c r="BJ19" s="1803"/>
      <c r="BK19" s="1798"/>
      <c r="BL19" s="1798"/>
    </row>
    <row r="20" spans="1:64" s="1046" customFormat="1" ht="12.75" customHeight="1">
      <c r="A20" s="1790" t="s">
        <v>509</v>
      </c>
      <c r="B20" s="1790"/>
      <c r="C20" s="1805" t="s">
        <v>708</v>
      </c>
      <c r="D20" s="1805"/>
      <c r="E20" s="1805"/>
      <c r="F20" s="1805"/>
      <c r="G20" s="1805"/>
      <c r="H20" s="1805"/>
      <c r="I20" s="1805"/>
      <c r="J20" s="1805"/>
      <c r="K20" s="1805"/>
      <c r="L20" s="1805"/>
      <c r="M20" s="1805"/>
      <c r="N20" s="1805"/>
      <c r="O20" s="1805"/>
      <c r="P20" s="1805"/>
      <c r="Q20" s="1805"/>
      <c r="R20" s="1805"/>
      <c r="S20" s="1805"/>
      <c r="T20" s="1805"/>
      <c r="U20" s="1805"/>
      <c r="V20" s="1805"/>
      <c r="W20" s="1805"/>
      <c r="X20" s="1805"/>
      <c r="Y20" s="1805"/>
      <c r="Z20" s="1805"/>
      <c r="AA20" s="1784">
        <f>AA6+AA13-AA19</f>
        <v>72949508</v>
      </c>
      <c r="AB20" s="1792"/>
      <c r="AC20" s="1792"/>
      <c r="AD20" s="1792"/>
      <c r="AE20" s="1792"/>
      <c r="AF20" s="1784">
        <f>AF6+AF13-AF19</f>
        <v>13179155326</v>
      </c>
      <c r="AG20" s="1792"/>
      <c r="AH20" s="1792"/>
      <c r="AI20" s="1792"/>
      <c r="AJ20" s="1792"/>
      <c r="AK20" s="1784">
        <f>AK6+AK13-AK19</f>
        <v>1155384175</v>
      </c>
      <c r="AL20" s="1792"/>
      <c r="AM20" s="1792"/>
      <c r="AN20" s="1792"/>
      <c r="AO20" s="1792"/>
      <c r="AP20" s="1784">
        <f>AP6+AP13-AP19</f>
        <v>0</v>
      </c>
      <c r="AQ20" s="1792"/>
      <c r="AR20" s="1792"/>
      <c r="AS20" s="1792"/>
      <c r="AT20" s="1792"/>
      <c r="AU20" s="1784">
        <f>AU6+AU13-AU19</f>
        <v>219588217</v>
      </c>
      <c r="AV20" s="1792"/>
      <c r="AW20" s="1792"/>
      <c r="AX20" s="1792"/>
      <c r="AY20" s="1792"/>
      <c r="AZ20" s="1784">
        <f>AZ6+AZ13-AZ19</f>
        <v>0</v>
      </c>
      <c r="BA20" s="1792"/>
      <c r="BB20" s="1792"/>
      <c r="BC20" s="1792"/>
      <c r="BD20" s="1792"/>
      <c r="BE20" s="1785">
        <f t="shared" si="0"/>
        <v>14627077226</v>
      </c>
      <c r="BF20" s="1785"/>
      <c r="BG20" s="1785"/>
      <c r="BH20" s="1785"/>
      <c r="BI20" s="1785"/>
      <c r="BJ20" s="1803"/>
      <c r="BK20" s="1798"/>
      <c r="BL20" s="1798"/>
    </row>
    <row r="21" spans="1:64" s="1046" customFormat="1" ht="12.75" customHeight="1">
      <c r="A21" s="1790" t="s">
        <v>518</v>
      </c>
      <c r="B21" s="1790"/>
      <c r="C21" s="1804" t="s">
        <v>687</v>
      </c>
      <c r="D21" s="1804"/>
      <c r="E21" s="1804"/>
      <c r="F21" s="1804"/>
      <c r="G21" s="1804"/>
      <c r="H21" s="1804"/>
      <c r="I21" s="1804"/>
      <c r="J21" s="1804"/>
      <c r="K21" s="1804"/>
      <c r="L21" s="1804"/>
      <c r="M21" s="1804"/>
      <c r="N21" s="1804"/>
      <c r="O21" s="1804"/>
      <c r="P21" s="1804"/>
      <c r="Q21" s="1804"/>
      <c r="R21" s="1804"/>
      <c r="S21" s="1804"/>
      <c r="T21" s="1804"/>
      <c r="U21" s="1804"/>
      <c r="V21" s="1804"/>
      <c r="W21" s="1804"/>
      <c r="X21" s="1804"/>
      <c r="Y21" s="1804"/>
      <c r="Z21" s="1804"/>
      <c r="AA21" s="1787">
        <f>46482+57871581</f>
        <v>57918063</v>
      </c>
      <c r="AB21" s="1787"/>
      <c r="AC21" s="1787"/>
      <c r="AD21" s="1787"/>
      <c r="AE21" s="1787"/>
      <c r="AF21" s="1787">
        <v>1648026266</v>
      </c>
      <c r="AG21" s="1787"/>
      <c r="AH21" s="1787"/>
      <c r="AI21" s="1787"/>
      <c r="AJ21" s="1787"/>
      <c r="AK21" s="1787">
        <f>350520+242238210</f>
        <v>242588730</v>
      </c>
      <c r="AL21" s="1787"/>
      <c r="AM21" s="1787"/>
      <c r="AN21" s="1787"/>
      <c r="AO21" s="1787"/>
      <c r="AP21" s="1787"/>
      <c r="AQ21" s="1787"/>
      <c r="AR21" s="1787"/>
      <c r="AS21" s="1787"/>
      <c r="AT21" s="1787"/>
      <c r="AU21" s="1800"/>
      <c r="AV21" s="1800"/>
      <c r="AW21" s="1800"/>
      <c r="AX21" s="1800"/>
      <c r="AY21" s="1801"/>
      <c r="AZ21" s="1787">
        <v>1698506922</v>
      </c>
      <c r="BA21" s="1787"/>
      <c r="BB21" s="1787"/>
      <c r="BC21" s="1787"/>
      <c r="BD21" s="1787"/>
      <c r="BE21" s="1785">
        <f t="shared" si="0"/>
        <v>3647039981</v>
      </c>
      <c r="BF21" s="1785"/>
      <c r="BG21" s="1785"/>
      <c r="BH21" s="1785"/>
      <c r="BI21" s="1785"/>
      <c r="BJ21" s="1802"/>
      <c r="BK21" s="1802"/>
      <c r="BL21" s="1802"/>
    </row>
    <row r="22" spans="1:64" ht="12.75" customHeight="1">
      <c r="A22" s="1788" t="s">
        <v>520</v>
      </c>
      <c r="B22" s="1788"/>
      <c r="C22" s="1789" t="s">
        <v>686</v>
      </c>
      <c r="D22" s="1789"/>
      <c r="E22" s="1789"/>
      <c r="F22" s="1789"/>
      <c r="G22" s="1789"/>
      <c r="H22" s="1789"/>
      <c r="I22" s="1789"/>
      <c r="J22" s="1789"/>
      <c r="K22" s="1789"/>
      <c r="L22" s="1789"/>
      <c r="M22" s="1789"/>
      <c r="N22" s="1789"/>
      <c r="O22" s="1789"/>
      <c r="P22" s="1789"/>
      <c r="Q22" s="1789"/>
      <c r="R22" s="1789"/>
      <c r="S22" s="1789"/>
      <c r="T22" s="1789"/>
      <c r="U22" s="1789"/>
      <c r="V22" s="1789"/>
      <c r="W22" s="1789"/>
      <c r="X22" s="1789"/>
      <c r="Y22" s="1789"/>
      <c r="Z22" s="1789"/>
      <c r="AA22" s="1787">
        <v>14127134</v>
      </c>
      <c r="AB22" s="1787"/>
      <c r="AC22" s="1787"/>
      <c r="AD22" s="1787"/>
      <c r="AE22" s="1787"/>
      <c r="AF22" s="1787">
        <v>260642133</v>
      </c>
      <c r="AG22" s="1787"/>
      <c r="AH22" s="1787"/>
      <c r="AI22" s="1787"/>
      <c r="AJ22" s="1787"/>
      <c r="AK22" s="1787">
        <f>749502+64519944</f>
        <v>65269446</v>
      </c>
      <c r="AL22" s="1787"/>
      <c r="AM22" s="1787"/>
      <c r="AN22" s="1787"/>
      <c r="AO22" s="1787"/>
      <c r="AP22" s="1787"/>
      <c r="AQ22" s="1787"/>
      <c r="AR22" s="1787"/>
      <c r="AS22" s="1787"/>
      <c r="AT22" s="1787"/>
      <c r="AU22" s="1800"/>
      <c r="AV22" s="1800"/>
      <c r="AW22" s="1800"/>
      <c r="AX22" s="1800"/>
      <c r="AY22" s="1801"/>
      <c r="AZ22" s="1787">
        <v>225814458</v>
      </c>
      <c r="BA22" s="1787"/>
      <c r="BB22" s="1787"/>
      <c r="BC22" s="1787"/>
      <c r="BD22" s="1787"/>
      <c r="BE22" s="1785">
        <f t="shared" si="0"/>
        <v>565853171</v>
      </c>
      <c r="BF22" s="1785"/>
      <c r="BG22" s="1785"/>
      <c r="BH22" s="1785"/>
      <c r="BI22" s="1785"/>
      <c r="BJ22" s="1793"/>
      <c r="BK22" s="1793"/>
      <c r="BL22" s="1793"/>
    </row>
    <row r="23" spans="1:64" ht="12.75" customHeight="1">
      <c r="A23" s="1788" t="s">
        <v>521</v>
      </c>
      <c r="B23" s="1788"/>
      <c r="C23" s="1789" t="s">
        <v>685</v>
      </c>
      <c r="D23" s="1789"/>
      <c r="E23" s="1789"/>
      <c r="F23" s="1789"/>
      <c r="G23" s="1789"/>
      <c r="H23" s="1789"/>
      <c r="I23" s="1789"/>
      <c r="J23" s="1789"/>
      <c r="K23" s="1789"/>
      <c r="L23" s="1789"/>
      <c r="M23" s="1789"/>
      <c r="N23" s="1789"/>
      <c r="O23" s="1789"/>
      <c r="P23" s="1789"/>
      <c r="Q23" s="1789"/>
      <c r="R23" s="1789"/>
      <c r="S23" s="1789"/>
      <c r="T23" s="1789"/>
      <c r="U23" s="1789"/>
      <c r="V23" s="1789"/>
      <c r="W23" s="1789"/>
      <c r="X23" s="1789"/>
      <c r="Y23" s="1789"/>
      <c r="Z23" s="1789"/>
      <c r="AA23" s="1787">
        <v>27366592</v>
      </c>
      <c r="AB23" s="1787"/>
      <c r="AC23" s="1787"/>
      <c r="AD23" s="1787"/>
      <c r="AE23" s="1787"/>
      <c r="AF23" s="1787">
        <v>0</v>
      </c>
      <c r="AG23" s="1787"/>
      <c r="AH23" s="1787"/>
      <c r="AI23" s="1787"/>
      <c r="AJ23" s="1787"/>
      <c r="AK23" s="1787">
        <v>0</v>
      </c>
      <c r="AL23" s="1787"/>
      <c r="AM23" s="1787"/>
      <c r="AN23" s="1787"/>
      <c r="AO23" s="1787"/>
      <c r="AP23" s="1787"/>
      <c r="AQ23" s="1787"/>
      <c r="AR23" s="1787"/>
      <c r="AS23" s="1787"/>
      <c r="AT23" s="1787"/>
      <c r="AU23" s="1800"/>
      <c r="AV23" s="1800"/>
      <c r="AW23" s="1800"/>
      <c r="AX23" s="1800"/>
      <c r="AY23" s="1801"/>
      <c r="AZ23" s="1787">
        <v>1924321380</v>
      </c>
      <c r="BA23" s="1787"/>
      <c r="BB23" s="1787"/>
      <c r="BC23" s="1787"/>
      <c r="BD23" s="1787"/>
      <c r="BE23" s="1785">
        <f t="shared" si="0"/>
        <v>1951687972</v>
      </c>
      <c r="BF23" s="1785"/>
      <c r="BG23" s="1785"/>
      <c r="BH23" s="1785"/>
      <c r="BI23" s="1785"/>
      <c r="BJ23" s="1793"/>
      <c r="BK23" s="1793"/>
      <c r="BL23" s="1793"/>
    </row>
    <row r="24" spans="1:64" s="1046" customFormat="1" ht="12.75" customHeight="1">
      <c r="A24" s="1790" t="s">
        <v>523</v>
      </c>
      <c r="B24" s="1790"/>
      <c r="C24" s="1791" t="s">
        <v>709</v>
      </c>
      <c r="D24" s="1791"/>
      <c r="E24" s="1791"/>
      <c r="F24" s="1791"/>
      <c r="G24" s="1791"/>
      <c r="H24" s="1791"/>
      <c r="I24" s="1791"/>
      <c r="J24" s="1791"/>
      <c r="K24" s="1791"/>
      <c r="L24" s="1791"/>
      <c r="M24" s="1791"/>
      <c r="N24" s="1791"/>
      <c r="O24" s="1791"/>
      <c r="P24" s="1791"/>
      <c r="Q24" s="1791"/>
      <c r="R24" s="1791"/>
      <c r="S24" s="1791"/>
      <c r="T24" s="1791"/>
      <c r="U24" s="1791"/>
      <c r="V24" s="1791"/>
      <c r="W24" s="1791"/>
      <c r="X24" s="1791"/>
      <c r="Y24" s="1791"/>
      <c r="Z24" s="1791"/>
      <c r="AA24" s="1784">
        <f>AA21+AA22-AA23</f>
        <v>44678605</v>
      </c>
      <c r="AB24" s="1792"/>
      <c r="AC24" s="1792"/>
      <c r="AD24" s="1792"/>
      <c r="AE24" s="1792"/>
      <c r="AF24" s="1784">
        <f>AF21+AF22-AF23</f>
        <v>1908668399</v>
      </c>
      <c r="AG24" s="1792"/>
      <c r="AH24" s="1792"/>
      <c r="AI24" s="1792"/>
      <c r="AJ24" s="1792"/>
      <c r="AK24" s="1784">
        <f>AK21+AK22-AK23</f>
        <v>307858176</v>
      </c>
      <c r="AL24" s="1792"/>
      <c r="AM24" s="1792"/>
      <c r="AN24" s="1792"/>
      <c r="AO24" s="1792"/>
      <c r="AP24" s="1784">
        <f>AP21+AP22-AP23</f>
        <v>0</v>
      </c>
      <c r="AQ24" s="1792"/>
      <c r="AR24" s="1792"/>
      <c r="AS24" s="1792"/>
      <c r="AT24" s="1792"/>
      <c r="AU24" s="1784">
        <f>AU21+AU22-AU23</f>
        <v>0</v>
      </c>
      <c r="AV24" s="1792"/>
      <c r="AW24" s="1792"/>
      <c r="AX24" s="1792"/>
      <c r="AY24" s="1792"/>
      <c r="AZ24" s="1784">
        <f>AZ21+AZ22-AZ23</f>
        <v>0</v>
      </c>
      <c r="BA24" s="1792"/>
      <c r="BB24" s="1792"/>
      <c r="BC24" s="1792"/>
      <c r="BD24" s="1792"/>
      <c r="BE24" s="1785">
        <f t="shared" si="0"/>
        <v>2261205180</v>
      </c>
      <c r="BF24" s="1785"/>
      <c r="BG24" s="1785"/>
      <c r="BH24" s="1785"/>
      <c r="BI24" s="1785"/>
      <c r="BJ24" s="1798"/>
      <c r="BK24" s="1798"/>
      <c r="BL24" s="1798"/>
    </row>
    <row r="25" spans="1:64" s="1046" customFormat="1" ht="12.75" customHeight="1">
      <c r="A25" s="1790" t="s">
        <v>524</v>
      </c>
      <c r="B25" s="1790"/>
      <c r="C25" s="1791" t="s">
        <v>684</v>
      </c>
      <c r="D25" s="1791"/>
      <c r="E25" s="1791"/>
      <c r="F25" s="1791"/>
      <c r="G25" s="1791"/>
      <c r="H25" s="1791"/>
      <c r="I25" s="1791"/>
      <c r="J25" s="1791"/>
      <c r="K25" s="1791"/>
      <c r="L25" s="1791"/>
      <c r="M25" s="1791"/>
      <c r="N25" s="1791"/>
      <c r="O25" s="1791"/>
      <c r="P25" s="1791"/>
      <c r="Q25" s="1791"/>
      <c r="R25" s="1791"/>
      <c r="S25" s="1791"/>
      <c r="T25" s="1791"/>
      <c r="U25" s="1791"/>
      <c r="V25" s="1791"/>
      <c r="W25" s="1791"/>
      <c r="X25" s="1791"/>
      <c r="Y25" s="1791"/>
      <c r="Z25" s="1791"/>
      <c r="AA25" s="1797"/>
      <c r="AB25" s="1797"/>
      <c r="AC25" s="1797"/>
      <c r="AD25" s="1797"/>
      <c r="AE25" s="1797"/>
      <c r="AF25" s="1797"/>
      <c r="AG25" s="1797"/>
      <c r="AH25" s="1797"/>
      <c r="AI25" s="1797"/>
      <c r="AJ25" s="1797"/>
      <c r="AK25" s="1797"/>
      <c r="AL25" s="1797"/>
      <c r="AM25" s="1797"/>
      <c r="AN25" s="1797"/>
      <c r="AO25" s="1797"/>
      <c r="AP25" s="1797"/>
      <c r="AQ25" s="1797"/>
      <c r="AR25" s="1797"/>
      <c r="AS25" s="1797"/>
      <c r="AT25" s="1797"/>
      <c r="AU25" s="1799"/>
      <c r="AV25" s="1797"/>
      <c r="AW25" s="1797"/>
      <c r="AX25" s="1797"/>
      <c r="AY25" s="1797"/>
      <c r="AZ25" s="1797"/>
      <c r="BA25" s="1797"/>
      <c r="BB25" s="1797"/>
      <c r="BC25" s="1797"/>
      <c r="BD25" s="1797"/>
      <c r="BE25" s="1785">
        <f t="shared" si="0"/>
        <v>0</v>
      </c>
      <c r="BF25" s="1785"/>
      <c r="BG25" s="1785"/>
      <c r="BH25" s="1785"/>
      <c r="BI25" s="1785"/>
      <c r="BJ25" s="1798"/>
      <c r="BK25" s="1798"/>
      <c r="BL25" s="1798"/>
    </row>
    <row r="26" spans="1:64" ht="12.75" customHeight="1">
      <c r="A26" s="1788" t="s">
        <v>526</v>
      </c>
      <c r="B26" s="1788"/>
      <c r="C26" s="1796" t="s">
        <v>683</v>
      </c>
      <c r="D26" s="1796"/>
      <c r="E26" s="1796"/>
      <c r="F26" s="1796"/>
      <c r="G26" s="1796"/>
      <c r="H26" s="1796"/>
      <c r="I26" s="1796"/>
      <c r="J26" s="1796"/>
      <c r="K26" s="1796"/>
      <c r="L26" s="1796"/>
      <c r="M26" s="1796"/>
      <c r="N26" s="1796"/>
      <c r="O26" s="1796"/>
      <c r="P26" s="1796"/>
      <c r="Q26" s="1796"/>
      <c r="R26" s="1796"/>
      <c r="S26" s="1796"/>
      <c r="T26" s="1796"/>
      <c r="U26" s="1796"/>
      <c r="V26" s="1796"/>
      <c r="W26" s="1796"/>
      <c r="X26" s="1796"/>
      <c r="Y26" s="1796"/>
      <c r="Z26" s="1796"/>
      <c r="AA26" s="1786"/>
      <c r="AB26" s="1786"/>
      <c r="AC26" s="1786"/>
      <c r="AD26" s="1786"/>
      <c r="AE26" s="1786"/>
      <c r="AF26" s="1786">
        <v>1872828</v>
      </c>
      <c r="AG26" s="1786"/>
      <c r="AH26" s="1786"/>
      <c r="AI26" s="1786"/>
      <c r="AJ26" s="1786"/>
      <c r="AK26" s="1786">
        <v>162900745</v>
      </c>
      <c r="AL26" s="1786"/>
      <c r="AM26" s="1786"/>
      <c r="AN26" s="1786"/>
      <c r="AO26" s="1786"/>
      <c r="AP26" s="1786"/>
      <c r="AQ26" s="1786"/>
      <c r="AR26" s="1786"/>
      <c r="AS26" s="1786"/>
      <c r="AT26" s="1786"/>
      <c r="AU26" s="1794"/>
      <c r="AV26" s="1787"/>
      <c r="AW26" s="1787"/>
      <c r="AX26" s="1787"/>
      <c r="AY26" s="1787"/>
      <c r="AZ26" s="1787"/>
      <c r="BA26" s="1787"/>
      <c r="BB26" s="1787"/>
      <c r="BC26" s="1787"/>
      <c r="BD26" s="1787"/>
      <c r="BE26" s="1784">
        <f t="shared" si="0"/>
        <v>164773573</v>
      </c>
      <c r="BF26" s="1784"/>
      <c r="BG26" s="1784"/>
      <c r="BH26" s="1784"/>
      <c r="BI26" s="1784"/>
      <c r="BJ26" s="1795"/>
      <c r="BK26" s="1795"/>
      <c r="BL26" s="1795"/>
    </row>
    <row r="27" spans="1:64" ht="12.75" customHeight="1">
      <c r="A27" s="1788" t="s">
        <v>531</v>
      </c>
      <c r="B27" s="1788"/>
      <c r="C27" s="1796" t="s">
        <v>682</v>
      </c>
      <c r="D27" s="1796"/>
      <c r="E27" s="1796"/>
      <c r="F27" s="1796"/>
      <c r="G27" s="1796"/>
      <c r="H27" s="1796"/>
      <c r="I27" s="1796"/>
      <c r="J27" s="1796"/>
      <c r="K27" s="1796"/>
      <c r="L27" s="1796"/>
      <c r="M27" s="1796"/>
      <c r="N27" s="1796"/>
      <c r="O27" s="1796"/>
      <c r="P27" s="1796"/>
      <c r="Q27" s="1796"/>
      <c r="R27" s="1796"/>
      <c r="S27" s="1796"/>
      <c r="T27" s="1796"/>
      <c r="U27" s="1796"/>
      <c r="V27" s="1796"/>
      <c r="W27" s="1796"/>
      <c r="X27" s="1796"/>
      <c r="Y27" s="1796"/>
      <c r="Z27" s="1796"/>
      <c r="AA27" s="1786"/>
      <c r="AB27" s="1786"/>
      <c r="AC27" s="1786"/>
      <c r="AD27" s="1786"/>
      <c r="AE27" s="1786"/>
      <c r="AF27" s="1786"/>
      <c r="AG27" s="1786"/>
      <c r="AH27" s="1786"/>
      <c r="AI27" s="1786"/>
      <c r="AJ27" s="1786"/>
      <c r="AK27" s="1786"/>
      <c r="AL27" s="1786"/>
      <c r="AM27" s="1786"/>
      <c r="AN27" s="1786"/>
      <c r="AO27" s="1786"/>
      <c r="AP27" s="1786"/>
      <c r="AQ27" s="1786"/>
      <c r="AR27" s="1786"/>
      <c r="AS27" s="1786"/>
      <c r="AT27" s="1786"/>
      <c r="AU27" s="1786"/>
      <c r="AV27" s="1786"/>
      <c r="AW27" s="1786"/>
      <c r="AX27" s="1786"/>
      <c r="AY27" s="1786"/>
      <c r="AZ27" s="1787"/>
      <c r="BA27" s="1787"/>
      <c r="BB27" s="1787"/>
      <c r="BC27" s="1787"/>
      <c r="BD27" s="1787"/>
      <c r="BE27" s="1784">
        <f t="shared" si="0"/>
        <v>0</v>
      </c>
      <c r="BF27" s="1784"/>
      <c r="BG27" s="1784"/>
      <c r="BH27" s="1784"/>
      <c r="BI27" s="1784"/>
      <c r="BJ27" s="1793"/>
      <c r="BK27" s="1793"/>
      <c r="BL27" s="1793"/>
    </row>
    <row r="28" spans="1:64" s="1046" customFormat="1" ht="12.75" customHeight="1">
      <c r="A28" s="1790" t="s">
        <v>532</v>
      </c>
      <c r="B28" s="1790"/>
      <c r="C28" s="1791" t="s">
        <v>710</v>
      </c>
      <c r="D28" s="1791"/>
      <c r="E28" s="1791"/>
      <c r="F28" s="1791"/>
      <c r="G28" s="1791"/>
      <c r="H28" s="1791"/>
      <c r="I28" s="1791"/>
      <c r="J28" s="1791"/>
      <c r="K28" s="1791"/>
      <c r="L28" s="1791"/>
      <c r="M28" s="1791"/>
      <c r="N28" s="1791"/>
      <c r="O28" s="1791"/>
      <c r="P28" s="1791"/>
      <c r="Q28" s="1791"/>
      <c r="R28" s="1791"/>
      <c r="S28" s="1791"/>
      <c r="T28" s="1791"/>
      <c r="U28" s="1791"/>
      <c r="V28" s="1791"/>
      <c r="W28" s="1791"/>
      <c r="X28" s="1791"/>
      <c r="Y28" s="1791"/>
      <c r="Z28" s="1791"/>
      <c r="AA28" s="1784">
        <f>AA25+AA26-AA27</f>
        <v>0</v>
      </c>
      <c r="AB28" s="1792"/>
      <c r="AC28" s="1792"/>
      <c r="AD28" s="1792"/>
      <c r="AE28" s="1792"/>
      <c r="AF28" s="1784">
        <f>AF25+AF26-AF27</f>
        <v>1872828</v>
      </c>
      <c r="AG28" s="1792"/>
      <c r="AH28" s="1792"/>
      <c r="AI28" s="1792"/>
      <c r="AJ28" s="1792"/>
      <c r="AK28" s="1784">
        <f>AK25+AK26-AK27</f>
        <v>162900745</v>
      </c>
      <c r="AL28" s="1792"/>
      <c r="AM28" s="1792"/>
      <c r="AN28" s="1792"/>
      <c r="AO28" s="1792"/>
      <c r="AP28" s="1784">
        <f>AP25+AP26-AP27</f>
        <v>0</v>
      </c>
      <c r="AQ28" s="1792"/>
      <c r="AR28" s="1792"/>
      <c r="AS28" s="1792"/>
      <c r="AT28" s="1792"/>
      <c r="AU28" s="1784">
        <f>AU25+AU26-AU27</f>
        <v>0</v>
      </c>
      <c r="AV28" s="1792"/>
      <c r="AW28" s="1792"/>
      <c r="AX28" s="1792"/>
      <c r="AY28" s="1792"/>
      <c r="AZ28" s="1784">
        <f>AZ25+AZ26-AZ27</f>
        <v>0</v>
      </c>
      <c r="BA28" s="1792"/>
      <c r="BB28" s="1792"/>
      <c r="BC28" s="1792"/>
      <c r="BD28" s="1792"/>
      <c r="BE28" s="1784">
        <f t="shared" si="0"/>
        <v>164773573</v>
      </c>
      <c r="BF28" s="1784"/>
      <c r="BG28" s="1784"/>
      <c r="BH28" s="1784"/>
      <c r="BI28" s="1784"/>
      <c r="BJ28" s="1047"/>
      <c r="BK28" s="1047"/>
      <c r="BL28" s="1047"/>
    </row>
    <row r="29" spans="1:64" s="1046" customFormat="1" ht="12.75" customHeight="1">
      <c r="A29" s="1790" t="s">
        <v>681</v>
      </c>
      <c r="B29" s="1790"/>
      <c r="C29" s="1791" t="s">
        <v>711</v>
      </c>
      <c r="D29" s="1791"/>
      <c r="E29" s="1791"/>
      <c r="F29" s="1791"/>
      <c r="G29" s="1791"/>
      <c r="H29" s="1791"/>
      <c r="I29" s="1791"/>
      <c r="J29" s="1791"/>
      <c r="K29" s="1791"/>
      <c r="L29" s="1791"/>
      <c r="M29" s="1791"/>
      <c r="N29" s="1791"/>
      <c r="O29" s="1791"/>
      <c r="P29" s="1791"/>
      <c r="Q29" s="1791"/>
      <c r="R29" s="1791"/>
      <c r="S29" s="1791"/>
      <c r="T29" s="1791"/>
      <c r="U29" s="1791"/>
      <c r="V29" s="1791"/>
      <c r="W29" s="1791"/>
      <c r="X29" s="1791"/>
      <c r="Y29" s="1791"/>
      <c r="Z29" s="1791"/>
      <c r="AA29" s="1784">
        <f>AA24+AA28</f>
        <v>44678605</v>
      </c>
      <c r="AB29" s="1792"/>
      <c r="AC29" s="1792"/>
      <c r="AD29" s="1792"/>
      <c r="AE29" s="1792"/>
      <c r="AF29" s="1784">
        <f>AF24+AF28</f>
        <v>1910541227</v>
      </c>
      <c r="AG29" s="1792"/>
      <c r="AH29" s="1792"/>
      <c r="AI29" s="1792"/>
      <c r="AJ29" s="1792"/>
      <c r="AK29" s="1784">
        <f>AK24+AK28</f>
        <v>470758921</v>
      </c>
      <c r="AL29" s="1792"/>
      <c r="AM29" s="1792"/>
      <c r="AN29" s="1792"/>
      <c r="AO29" s="1792"/>
      <c r="AP29" s="1784">
        <f>AP24+AP28</f>
        <v>0</v>
      </c>
      <c r="AQ29" s="1792"/>
      <c r="AR29" s="1792"/>
      <c r="AS29" s="1792"/>
      <c r="AT29" s="1792"/>
      <c r="AU29" s="1784">
        <f>AU24+AU28</f>
        <v>0</v>
      </c>
      <c r="AV29" s="1792"/>
      <c r="AW29" s="1792"/>
      <c r="AX29" s="1792"/>
      <c r="AY29" s="1792"/>
      <c r="AZ29" s="1784">
        <f>AZ24+AZ28</f>
        <v>0</v>
      </c>
      <c r="BA29" s="1792"/>
      <c r="BB29" s="1792"/>
      <c r="BC29" s="1792"/>
      <c r="BD29" s="1792"/>
      <c r="BE29" s="1785">
        <f t="shared" si="0"/>
        <v>2425978753</v>
      </c>
      <c r="BF29" s="1785"/>
      <c r="BG29" s="1785"/>
      <c r="BH29" s="1785"/>
      <c r="BI29" s="1785"/>
      <c r="BJ29" s="1047"/>
      <c r="BK29" s="1047"/>
      <c r="BL29" s="1047"/>
    </row>
    <row r="30" spans="1:64" s="1046" customFormat="1" ht="12.75" customHeight="1">
      <c r="A30" s="1790" t="s">
        <v>680</v>
      </c>
      <c r="B30" s="1790"/>
      <c r="C30" s="1791" t="s">
        <v>712</v>
      </c>
      <c r="D30" s="1791"/>
      <c r="E30" s="1791"/>
      <c r="F30" s="1791"/>
      <c r="G30" s="1791"/>
      <c r="H30" s="1791"/>
      <c r="I30" s="1791"/>
      <c r="J30" s="1791"/>
      <c r="K30" s="1791"/>
      <c r="L30" s="1791"/>
      <c r="M30" s="1791"/>
      <c r="N30" s="1791"/>
      <c r="O30" s="1791"/>
      <c r="P30" s="1791"/>
      <c r="Q30" s="1791"/>
      <c r="R30" s="1791"/>
      <c r="S30" s="1791"/>
      <c r="T30" s="1791"/>
      <c r="U30" s="1791"/>
      <c r="V30" s="1791"/>
      <c r="W30" s="1791"/>
      <c r="X30" s="1791"/>
      <c r="Y30" s="1791"/>
      <c r="Z30" s="1791"/>
      <c r="AA30" s="1784">
        <f>AA20-AA29</f>
        <v>28270903</v>
      </c>
      <c r="AB30" s="1792"/>
      <c r="AC30" s="1792"/>
      <c r="AD30" s="1792"/>
      <c r="AE30" s="1792"/>
      <c r="AF30" s="1784">
        <f>AF20-AF29</f>
        <v>11268614099</v>
      </c>
      <c r="AG30" s="1792"/>
      <c r="AH30" s="1792"/>
      <c r="AI30" s="1792"/>
      <c r="AJ30" s="1792"/>
      <c r="AK30" s="1784">
        <f>AK20-AK29</f>
        <v>684625254</v>
      </c>
      <c r="AL30" s="1792"/>
      <c r="AM30" s="1792"/>
      <c r="AN30" s="1792"/>
      <c r="AO30" s="1792"/>
      <c r="AP30" s="1784">
        <f>AP20-AP29</f>
        <v>0</v>
      </c>
      <c r="AQ30" s="1792"/>
      <c r="AR30" s="1792"/>
      <c r="AS30" s="1792"/>
      <c r="AT30" s="1792"/>
      <c r="AU30" s="1784">
        <f>AU20-AU29</f>
        <v>219588217</v>
      </c>
      <c r="AV30" s="1792"/>
      <c r="AW30" s="1792"/>
      <c r="AX30" s="1792"/>
      <c r="AY30" s="1792"/>
      <c r="AZ30" s="1784">
        <f>AZ20-AZ29</f>
        <v>0</v>
      </c>
      <c r="BA30" s="1792"/>
      <c r="BB30" s="1792"/>
      <c r="BC30" s="1792"/>
      <c r="BD30" s="1792"/>
      <c r="BE30" s="1785">
        <f t="shared" si="0"/>
        <v>12201098473</v>
      </c>
      <c r="BF30" s="1785"/>
      <c r="BG30" s="1785"/>
      <c r="BH30" s="1785"/>
      <c r="BI30" s="1785"/>
      <c r="BJ30" s="1047"/>
      <c r="BK30" s="1047"/>
      <c r="BL30" s="1047"/>
    </row>
    <row r="31" spans="1:64" ht="12.75" customHeight="1">
      <c r="A31" s="1788" t="s">
        <v>679</v>
      </c>
      <c r="B31" s="1788"/>
      <c r="C31" s="1789" t="s">
        <v>678</v>
      </c>
      <c r="D31" s="1789"/>
      <c r="E31" s="1789"/>
      <c r="F31" s="1789"/>
      <c r="G31" s="1789"/>
      <c r="H31" s="1789"/>
      <c r="I31" s="1789"/>
      <c r="J31" s="1789"/>
      <c r="K31" s="1789"/>
      <c r="L31" s="1789"/>
      <c r="M31" s="1789"/>
      <c r="N31" s="1789"/>
      <c r="O31" s="1789"/>
      <c r="P31" s="1789"/>
      <c r="Q31" s="1789"/>
      <c r="R31" s="1789"/>
      <c r="S31" s="1789"/>
      <c r="T31" s="1789"/>
      <c r="U31" s="1789"/>
      <c r="V31" s="1789"/>
      <c r="W31" s="1789"/>
      <c r="X31" s="1789"/>
      <c r="Y31" s="1789"/>
      <c r="Z31" s="1789"/>
      <c r="AA31" s="1786">
        <f>46482+27622560</f>
        <v>27669042</v>
      </c>
      <c r="AB31" s="1786"/>
      <c r="AC31" s="1786"/>
      <c r="AD31" s="1786"/>
      <c r="AE31" s="1786"/>
      <c r="AF31" s="1786">
        <v>9389688</v>
      </c>
      <c r="AG31" s="1786"/>
      <c r="AH31" s="1786"/>
      <c r="AI31" s="1786"/>
      <c r="AJ31" s="1786"/>
      <c r="AK31" s="1786">
        <f>1000520+356913896</f>
        <v>357914416</v>
      </c>
      <c r="AL31" s="1786"/>
      <c r="AM31" s="1786"/>
      <c r="AN31" s="1786"/>
      <c r="AO31" s="1786"/>
      <c r="AP31" s="1786"/>
      <c r="AQ31" s="1786"/>
      <c r="AR31" s="1786"/>
      <c r="AS31" s="1786"/>
      <c r="AT31" s="1786"/>
      <c r="AU31" s="1786"/>
      <c r="AV31" s="1786"/>
      <c r="AW31" s="1786"/>
      <c r="AX31" s="1786"/>
      <c r="AY31" s="1786"/>
      <c r="AZ31" s="1787"/>
      <c r="BA31" s="1787"/>
      <c r="BB31" s="1787"/>
      <c r="BC31" s="1787"/>
      <c r="BD31" s="1787"/>
      <c r="BE31" s="1785">
        <f t="shared" si="0"/>
        <v>394973146</v>
      </c>
      <c r="BF31" s="1785"/>
      <c r="BG31" s="1785"/>
      <c r="BH31" s="1785"/>
      <c r="BI31" s="1785"/>
      <c r="BJ31" s="1043"/>
      <c r="BK31" s="1043"/>
      <c r="BL31" s="1043"/>
    </row>
    <row r="32" spans="59:64" ht="12.75">
      <c r="BG32" s="1048"/>
      <c r="BH32" s="1048"/>
      <c r="BI32" s="1048"/>
      <c r="BJ32" s="1043"/>
      <c r="BK32" s="1043"/>
      <c r="BL32" s="1043"/>
    </row>
    <row r="33" spans="59:64" ht="12.75">
      <c r="BG33" s="1047"/>
      <c r="BH33" s="1047"/>
      <c r="BI33" s="1047"/>
      <c r="BJ33" s="1043"/>
      <c r="BK33" s="1043"/>
      <c r="BL33" s="1043"/>
    </row>
    <row r="34" spans="59:64" ht="12.75">
      <c r="BG34" s="1047"/>
      <c r="BH34" s="1047"/>
      <c r="BI34" s="1047"/>
      <c r="BJ34" s="1043"/>
      <c r="BK34" s="1043"/>
      <c r="BL34" s="1043"/>
    </row>
    <row r="35" spans="59:64" ht="12.75">
      <c r="BG35" s="1047"/>
      <c r="BH35" s="1047"/>
      <c r="BI35" s="1047"/>
      <c r="BJ35" s="1043"/>
      <c r="BK35" s="1043"/>
      <c r="BL35" s="1043"/>
    </row>
    <row r="36" spans="57:64" ht="12.75">
      <c r="BE36" s="1821"/>
      <c r="BF36" s="1822"/>
      <c r="BG36" s="1822"/>
      <c r="BH36" s="1822"/>
      <c r="BI36" s="1822"/>
      <c r="BJ36" s="1822"/>
      <c r="BK36" s="1822"/>
      <c r="BL36" s="1043"/>
    </row>
    <row r="37" spans="57:64" ht="12.75">
      <c r="BE37" s="1822"/>
      <c r="BF37" s="1822"/>
      <c r="BG37" s="1822"/>
      <c r="BH37" s="1822"/>
      <c r="BI37" s="1822"/>
      <c r="BJ37" s="1822"/>
      <c r="BK37" s="1822"/>
      <c r="BL37" s="1043"/>
    </row>
    <row r="38" spans="59:64" ht="12.75">
      <c r="BG38" s="1047"/>
      <c r="BH38" s="1047"/>
      <c r="BI38" s="1047"/>
      <c r="BJ38" s="1043"/>
      <c r="BK38" s="1043"/>
      <c r="BL38" s="1043"/>
    </row>
    <row r="39" spans="59:64" ht="12.75">
      <c r="BG39" s="1047"/>
      <c r="BH39" s="1047"/>
      <c r="BI39" s="1047"/>
      <c r="BJ39" s="1043"/>
      <c r="BK39" s="1043"/>
      <c r="BL39" s="1043"/>
    </row>
    <row r="40" spans="59:64" ht="12.75">
      <c r="BG40" s="1047"/>
      <c r="BH40" s="1047"/>
      <c r="BI40" s="1047"/>
      <c r="BJ40" s="1043"/>
      <c r="BK40" s="1043"/>
      <c r="BL40" s="1043"/>
    </row>
    <row r="41" spans="59:64" ht="12.75">
      <c r="BG41" s="1047"/>
      <c r="BH41" s="1047"/>
      <c r="BI41" s="1047"/>
      <c r="BJ41" s="1043"/>
      <c r="BK41" s="1043"/>
      <c r="BL41" s="1043"/>
    </row>
    <row r="42" spans="59:64" ht="12.75">
      <c r="BG42" s="1047"/>
      <c r="BH42" s="1047"/>
      <c r="BI42" s="1047"/>
      <c r="BJ42" s="1043"/>
      <c r="BK42" s="1043"/>
      <c r="BL42" s="1043"/>
    </row>
    <row r="43" spans="59:64" ht="12.75">
      <c r="BG43" s="1047"/>
      <c r="BH43" s="1047"/>
      <c r="BI43" s="1047"/>
      <c r="BJ43" s="1043"/>
      <c r="BK43" s="1043"/>
      <c r="BL43" s="1043"/>
    </row>
    <row r="44" spans="59:64" ht="12.75">
      <c r="BG44" s="1047"/>
      <c r="BH44" s="1047"/>
      <c r="BI44" s="1047"/>
      <c r="BJ44" s="1043"/>
      <c r="BK44" s="1043"/>
      <c r="BL44" s="1043"/>
    </row>
    <row r="45" spans="59:64" ht="12.75">
      <c r="BG45" s="1047"/>
      <c r="BH45" s="1047"/>
      <c r="BI45" s="1047"/>
      <c r="BJ45" s="1043"/>
      <c r="BK45" s="1043"/>
      <c r="BL45" s="1043"/>
    </row>
    <row r="46" spans="59:64" ht="12.75">
      <c r="BG46" s="1047"/>
      <c r="BH46" s="1047"/>
      <c r="BI46" s="1047"/>
      <c r="BJ46" s="1043"/>
      <c r="BK46" s="1043"/>
      <c r="BL46" s="1043"/>
    </row>
    <row r="47" spans="59:64" ht="12.75">
      <c r="BG47" s="1047"/>
      <c r="BH47" s="1047"/>
      <c r="BI47" s="1047"/>
      <c r="BJ47" s="1043"/>
      <c r="BK47" s="1043"/>
      <c r="BL47" s="1043"/>
    </row>
    <row r="48" spans="59:64" ht="12.75">
      <c r="BG48" s="1047"/>
      <c r="BH48" s="1047"/>
      <c r="BI48" s="1047"/>
      <c r="BJ48" s="1043"/>
      <c r="BK48" s="1043"/>
      <c r="BL48" s="1043"/>
    </row>
    <row r="49" spans="59:64" ht="12.75">
      <c r="BG49" s="1047"/>
      <c r="BH49" s="1047"/>
      <c r="BI49" s="1047"/>
      <c r="BJ49" s="1043"/>
      <c r="BK49" s="1043"/>
      <c r="BL49" s="1043"/>
    </row>
    <row r="50" spans="59:64" ht="12.75">
      <c r="BG50" s="1047"/>
      <c r="BH50" s="1047"/>
      <c r="BI50" s="1047"/>
      <c r="BJ50" s="1043"/>
      <c r="BK50" s="1043"/>
      <c r="BL50" s="1043"/>
    </row>
    <row r="51" spans="59:64" ht="12.75">
      <c r="BG51" s="1047"/>
      <c r="BH51" s="1047"/>
      <c r="BI51" s="1047"/>
      <c r="BJ51" s="1043"/>
      <c r="BK51" s="1043"/>
      <c r="BL51" s="1043"/>
    </row>
    <row r="52" spans="59:64" ht="12.75">
      <c r="BG52" s="1047"/>
      <c r="BH52" s="1047"/>
      <c r="BI52" s="1047"/>
      <c r="BJ52" s="1043"/>
      <c r="BK52" s="1043"/>
      <c r="BL52" s="1043"/>
    </row>
    <row r="53" spans="59:61" ht="12.75">
      <c r="BG53" s="1047"/>
      <c r="BH53" s="1047"/>
      <c r="BI53" s="1047"/>
    </row>
    <row r="54" spans="59:61" ht="12.75">
      <c r="BG54" s="1047"/>
      <c r="BH54" s="1047"/>
      <c r="BI54" s="1047"/>
    </row>
    <row r="55" spans="59:61" ht="12.75">
      <c r="BG55" s="1047"/>
      <c r="BH55" s="1047"/>
      <c r="BI55" s="1047"/>
    </row>
    <row r="56" spans="59:61" ht="12.75">
      <c r="BG56" s="1047"/>
      <c r="BH56" s="1047"/>
      <c r="BI56" s="1047"/>
    </row>
    <row r="57" spans="59:61" ht="12.75">
      <c r="BG57" s="1047"/>
      <c r="BH57" s="1047"/>
      <c r="BI57" s="1047"/>
    </row>
    <row r="58" spans="59:61" ht="12.75">
      <c r="BG58" s="1047"/>
      <c r="BH58" s="1047"/>
      <c r="BI58" s="1047"/>
    </row>
    <row r="59" spans="59:61" ht="12.75">
      <c r="BG59" s="1047"/>
      <c r="BH59" s="1047"/>
      <c r="BI59" s="1047"/>
    </row>
  </sheetData>
  <sheetProtection/>
  <mergeCells count="270">
    <mergeCell ref="AK1:BI1"/>
    <mergeCell ref="BE11:BI11"/>
    <mergeCell ref="BJ6:BL6"/>
    <mergeCell ref="AK5:AO5"/>
    <mergeCell ref="BE5:BI5"/>
    <mergeCell ref="BE36:BK37"/>
    <mergeCell ref="BE12:BI12"/>
    <mergeCell ref="BE13:BI13"/>
    <mergeCell ref="BE6:BI6"/>
    <mergeCell ref="BE7:BI7"/>
    <mergeCell ref="BE8:BI8"/>
    <mergeCell ref="BE9:BI9"/>
    <mergeCell ref="BE10:BI10"/>
    <mergeCell ref="A3:BI3"/>
    <mergeCell ref="BJ5:BL5"/>
    <mergeCell ref="AP5:AT5"/>
    <mergeCell ref="AU5:AY5"/>
    <mergeCell ref="AZ5:BD5"/>
    <mergeCell ref="A4:BI4"/>
    <mergeCell ref="A5:B5"/>
    <mergeCell ref="C5:Z5"/>
    <mergeCell ref="AA5:AE5"/>
    <mergeCell ref="AF5:AJ5"/>
    <mergeCell ref="AP6:AT6"/>
    <mergeCell ref="A6:B6"/>
    <mergeCell ref="C6:Z6"/>
    <mergeCell ref="AA6:AE6"/>
    <mergeCell ref="AF6:AJ6"/>
    <mergeCell ref="AK6:AO6"/>
    <mergeCell ref="AU7:AY7"/>
    <mergeCell ref="A7:B7"/>
    <mergeCell ref="C7:Z7"/>
    <mergeCell ref="AA7:AE7"/>
    <mergeCell ref="AF7:AJ7"/>
    <mergeCell ref="AK7:AO7"/>
    <mergeCell ref="AZ8:BD8"/>
    <mergeCell ref="AU6:AY6"/>
    <mergeCell ref="AZ6:BD6"/>
    <mergeCell ref="BJ7:BL7"/>
    <mergeCell ref="A8:B8"/>
    <mergeCell ref="C8:Z8"/>
    <mergeCell ref="AA8:AE8"/>
    <mergeCell ref="AF8:AJ8"/>
    <mergeCell ref="AK8:AO8"/>
    <mergeCell ref="AP7:AT7"/>
    <mergeCell ref="BJ10:BL10"/>
    <mergeCell ref="AZ7:BD7"/>
    <mergeCell ref="BJ8:BL8"/>
    <mergeCell ref="A9:B9"/>
    <mergeCell ref="C9:Z9"/>
    <mergeCell ref="AA9:AE9"/>
    <mergeCell ref="AF9:AJ9"/>
    <mergeCell ref="AK9:AO9"/>
    <mergeCell ref="AP8:AT8"/>
    <mergeCell ref="AU8:AY8"/>
    <mergeCell ref="AP10:AT10"/>
    <mergeCell ref="BJ9:BL9"/>
    <mergeCell ref="A10:B10"/>
    <mergeCell ref="C10:Z10"/>
    <mergeCell ref="AA10:AE10"/>
    <mergeCell ref="AF10:AJ10"/>
    <mergeCell ref="AK10:AO10"/>
    <mergeCell ref="AP9:AT9"/>
    <mergeCell ref="AU9:AY9"/>
    <mergeCell ref="AZ9:BD9"/>
    <mergeCell ref="AU11:AY11"/>
    <mergeCell ref="A11:B11"/>
    <mergeCell ref="C11:Z11"/>
    <mergeCell ref="AA11:AE11"/>
    <mergeCell ref="AF11:AJ11"/>
    <mergeCell ref="AK11:AO11"/>
    <mergeCell ref="AZ12:BD12"/>
    <mergeCell ref="AU10:AY10"/>
    <mergeCell ref="AZ10:BD10"/>
    <mergeCell ref="BJ11:BL11"/>
    <mergeCell ref="A12:B12"/>
    <mergeCell ref="C12:Z12"/>
    <mergeCell ref="AA12:AE12"/>
    <mergeCell ref="AF12:AJ12"/>
    <mergeCell ref="AK12:AO12"/>
    <mergeCell ref="AP11:AT11"/>
    <mergeCell ref="BJ14:BL14"/>
    <mergeCell ref="AZ11:BD11"/>
    <mergeCell ref="BJ12:BL12"/>
    <mergeCell ref="A13:B13"/>
    <mergeCell ref="C13:Z13"/>
    <mergeCell ref="AA13:AE13"/>
    <mergeCell ref="AF13:AJ13"/>
    <mergeCell ref="AK13:AO13"/>
    <mergeCell ref="AP12:AT12"/>
    <mergeCell ref="AU12:AY12"/>
    <mergeCell ref="AP14:AT14"/>
    <mergeCell ref="BJ13:BL13"/>
    <mergeCell ref="A14:B14"/>
    <mergeCell ref="C14:Z14"/>
    <mergeCell ref="AA14:AE14"/>
    <mergeCell ref="AF14:AJ14"/>
    <mergeCell ref="AK14:AO14"/>
    <mergeCell ref="AP13:AT13"/>
    <mergeCell ref="AU13:AY13"/>
    <mergeCell ref="AZ13:BD13"/>
    <mergeCell ref="AU15:AY15"/>
    <mergeCell ref="A15:B15"/>
    <mergeCell ref="C15:Z15"/>
    <mergeCell ref="AA15:AE15"/>
    <mergeCell ref="AF15:AJ15"/>
    <mergeCell ref="AK15:AO15"/>
    <mergeCell ref="AZ16:BD16"/>
    <mergeCell ref="AU14:AY14"/>
    <mergeCell ref="AZ14:BD14"/>
    <mergeCell ref="BJ15:BL15"/>
    <mergeCell ref="A16:B16"/>
    <mergeCell ref="C16:Z16"/>
    <mergeCell ref="AA16:AE16"/>
    <mergeCell ref="AF16:AJ16"/>
    <mergeCell ref="AK16:AO16"/>
    <mergeCell ref="AP15:AT15"/>
    <mergeCell ref="AP17:AT17"/>
    <mergeCell ref="AZ15:BD15"/>
    <mergeCell ref="BJ16:BL16"/>
    <mergeCell ref="A17:B17"/>
    <mergeCell ref="C17:Z17"/>
    <mergeCell ref="AA17:AE17"/>
    <mergeCell ref="AF17:AJ17"/>
    <mergeCell ref="AK17:AO17"/>
    <mergeCell ref="AP16:AT16"/>
    <mergeCell ref="AU16:AY16"/>
    <mergeCell ref="AK18:AO18"/>
    <mergeCell ref="A19:B19"/>
    <mergeCell ref="C19:Z19"/>
    <mergeCell ref="AA19:AE19"/>
    <mergeCell ref="AF19:AJ19"/>
    <mergeCell ref="AK19:AO19"/>
    <mergeCell ref="C18:Z18"/>
    <mergeCell ref="AA18:AE18"/>
    <mergeCell ref="A18:B18"/>
    <mergeCell ref="BJ19:BL19"/>
    <mergeCell ref="AP18:AT18"/>
    <mergeCell ref="AU18:AY18"/>
    <mergeCell ref="AZ18:BD18"/>
    <mergeCell ref="AU17:AY17"/>
    <mergeCell ref="AZ17:BD17"/>
    <mergeCell ref="BJ18:BL18"/>
    <mergeCell ref="AP19:AT19"/>
    <mergeCell ref="AZ19:BD19"/>
    <mergeCell ref="BJ17:BL17"/>
    <mergeCell ref="A20:B20"/>
    <mergeCell ref="C20:Z20"/>
    <mergeCell ref="AA20:AE20"/>
    <mergeCell ref="AF20:AJ20"/>
    <mergeCell ref="AK20:AO20"/>
    <mergeCell ref="AZ20:BD20"/>
    <mergeCell ref="C21:Z21"/>
    <mergeCell ref="AA21:AE21"/>
    <mergeCell ref="AF21:AJ21"/>
    <mergeCell ref="AP21:AT21"/>
    <mergeCell ref="AU20:AY20"/>
    <mergeCell ref="AU21:AY21"/>
    <mergeCell ref="AK21:AO21"/>
    <mergeCell ref="AP20:AT20"/>
    <mergeCell ref="AU19:AY19"/>
    <mergeCell ref="AF18:AJ18"/>
    <mergeCell ref="BJ20:BL20"/>
    <mergeCell ref="BJ22:BL22"/>
    <mergeCell ref="A22:B22"/>
    <mergeCell ref="C22:Z22"/>
    <mergeCell ref="AA22:AE22"/>
    <mergeCell ref="AF22:AJ22"/>
    <mergeCell ref="AK22:AO22"/>
    <mergeCell ref="AP22:AT22"/>
    <mergeCell ref="A21:B21"/>
    <mergeCell ref="A23:B23"/>
    <mergeCell ref="C23:Z23"/>
    <mergeCell ref="BJ21:BL21"/>
    <mergeCell ref="AA23:AE23"/>
    <mergeCell ref="AF23:AJ23"/>
    <mergeCell ref="AK23:AO23"/>
    <mergeCell ref="AP23:AT23"/>
    <mergeCell ref="AU22:AY22"/>
    <mergeCell ref="AZ21:BD21"/>
    <mergeCell ref="AZ22:BD22"/>
    <mergeCell ref="A24:B24"/>
    <mergeCell ref="C24:Z24"/>
    <mergeCell ref="AA24:AE24"/>
    <mergeCell ref="AF24:AJ24"/>
    <mergeCell ref="AK24:AO24"/>
    <mergeCell ref="AP24:AT24"/>
    <mergeCell ref="AU23:AY23"/>
    <mergeCell ref="AZ23:BD23"/>
    <mergeCell ref="AU24:AY24"/>
    <mergeCell ref="AK25:AO25"/>
    <mergeCell ref="AP25:AT25"/>
    <mergeCell ref="AZ24:BD24"/>
    <mergeCell ref="BJ23:BL23"/>
    <mergeCell ref="BJ24:BL24"/>
    <mergeCell ref="AU25:AY25"/>
    <mergeCell ref="AZ25:BD25"/>
    <mergeCell ref="BJ25:BL25"/>
    <mergeCell ref="A25:B25"/>
    <mergeCell ref="C25:Z25"/>
    <mergeCell ref="AA25:AE25"/>
    <mergeCell ref="AF25:AJ25"/>
    <mergeCell ref="AA26:AE26"/>
    <mergeCell ref="AF26:AJ26"/>
    <mergeCell ref="BJ26:BL26"/>
    <mergeCell ref="BE26:BI26"/>
    <mergeCell ref="BE25:BI25"/>
    <mergeCell ref="A27:B27"/>
    <mergeCell ref="C27:Z27"/>
    <mergeCell ref="AA27:AE27"/>
    <mergeCell ref="AF27:AJ27"/>
    <mergeCell ref="AK27:AO27"/>
    <mergeCell ref="A26:B26"/>
    <mergeCell ref="C26:Z26"/>
    <mergeCell ref="AF28:AJ28"/>
    <mergeCell ref="AK28:AO28"/>
    <mergeCell ref="AP28:AT28"/>
    <mergeCell ref="AU26:AY26"/>
    <mergeCell ref="AZ26:BD26"/>
    <mergeCell ref="AU27:AY27"/>
    <mergeCell ref="AZ27:BD27"/>
    <mergeCell ref="AP27:AT27"/>
    <mergeCell ref="AK26:AO26"/>
    <mergeCell ref="AP26:AT26"/>
    <mergeCell ref="A29:B29"/>
    <mergeCell ref="C29:Z29"/>
    <mergeCell ref="AA29:AE29"/>
    <mergeCell ref="AF29:AJ29"/>
    <mergeCell ref="BJ27:BL27"/>
    <mergeCell ref="AU28:AY28"/>
    <mergeCell ref="AZ28:BD28"/>
    <mergeCell ref="A28:B28"/>
    <mergeCell ref="C28:Z28"/>
    <mergeCell ref="AA28:AE28"/>
    <mergeCell ref="AU30:AY30"/>
    <mergeCell ref="AZ30:BD30"/>
    <mergeCell ref="AK29:AO29"/>
    <mergeCell ref="AP29:AT29"/>
    <mergeCell ref="AU29:AY29"/>
    <mergeCell ref="AZ29:BD29"/>
    <mergeCell ref="A30:B30"/>
    <mergeCell ref="C30:Z30"/>
    <mergeCell ref="AA30:AE30"/>
    <mergeCell ref="AF30:AJ30"/>
    <mergeCell ref="AK30:AO30"/>
    <mergeCell ref="AP30:AT30"/>
    <mergeCell ref="AK31:AO31"/>
    <mergeCell ref="AP31:AT31"/>
    <mergeCell ref="AU31:AY31"/>
    <mergeCell ref="AZ31:BD31"/>
    <mergeCell ref="A31:B31"/>
    <mergeCell ref="C31:Z31"/>
    <mergeCell ref="AA31:AE31"/>
    <mergeCell ref="AF31:AJ31"/>
    <mergeCell ref="BE14:BI14"/>
    <mergeCell ref="BE15:BI15"/>
    <mergeCell ref="BE16:BI16"/>
    <mergeCell ref="BE17:BI17"/>
    <mergeCell ref="BE18:BI18"/>
    <mergeCell ref="BE19:BI19"/>
    <mergeCell ref="BE27:BI27"/>
    <mergeCell ref="BE28:BI28"/>
    <mergeCell ref="BE29:BI29"/>
    <mergeCell ref="BE30:BI30"/>
    <mergeCell ref="BE31:BI31"/>
    <mergeCell ref="BE20:BI20"/>
    <mergeCell ref="BE21:BI21"/>
    <mergeCell ref="BE22:BI22"/>
    <mergeCell ref="BE23:BI23"/>
    <mergeCell ref="BE24:BI24"/>
  </mergeCells>
  <printOptions horizontalCentered="1"/>
  <pageMargins left="0.1968503937007874" right="0.1968503937007874" top="0.5905511811023622" bottom="0.5905511811023622" header="0.5118110236220472" footer="0.5118110236220472"/>
  <pageSetup horizontalDpi="600" verticalDpi="600" orientation="landscape" paperSize="9" scale="8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BA45"/>
  <sheetViews>
    <sheetView view="pageBreakPreview" zoomScaleSheetLayoutView="100" zoomScalePageLayoutView="0" workbookViewId="0" topLeftCell="A1">
      <selection activeCell="Z1" sqref="Z1:AH1"/>
    </sheetView>
  </sheetViews>
  <sheetFormatPr defaultColWidth="9.00390625" defaultRowHeight="12.75"/>
  <cols>
    <col min="1" max="2" width="2.75390625" style="811" customWidth="1"/>
    <col min="3" max="3" width="3.625" style="811" customWidth="1"/>
    <col min="4" max="20" width="2.75390625" style="811" customWidth="1"/>
    <col min="21" max="21" width="8.125" style="811" customWidth="1"/>
    <col min="22" max="22" width="4.875" style="811" customWidth="1"/>
    <col min="23" max="23" width="6.75390625" style="811" customWidth="1"/>
    <col min="24" max="24" width="14.00390625" style="1145" customWidth="1"/>
    <col min="25" max="25" width="13.00390625" style="1145" customWidth="1"/>
    <col min="26" max="26" width="18.00390625" style="1155" customWidth="1"/>
    <col min="27" max="27" width="12.25390625" style="1145" customWidth="1"/>
    <col min="28" max="28" width="12.00390625" style="1145" customWidth="1"/>
    <col min="29" max="29" width="13.875" style="1155" customWidth="1"/>
    <col min="30" max="30" width="2.875" style="812" customWidth="1"/>
    <col min="31" max="32" width="1.75390625" style="812" customWidth="1"/>
    <col min="33" max="33" width="1.875" style="812" customWidth="1"/>
    <col min="34" max="34" width="5.875" style="812" customWidth="1"/>
    <col min="35" max="41" width="2.75390625" style="811" customWidth="1"/>
    <col min="42" max="16384" width="9.125" style="811" customWidth="1"/>
  </cols>
  <sheetData>
    <row r="1" spans="26:34" ht="12.75">
      <c r="Z1" s="1946" t="s">
        <v>1088</v>
      </c>
      <c r="AA1" s="1946"/>
      <c r="AB1" s="1946"/>
      <c r="AC1" s="1946"/>
      <c r="AD1" s="1946"/>
      <c r="AE1" s="1946"/>
      <c r="AF1" s="1946"/>
      <c r="AG1" s="1946"/>
      <c r="AH1" s="1946"/>
    </row>
    <row r="2" spans="1:34" s="805" customFormat="1" ht="32.25" customHeight="1">
      <c r="A2" s="1826"/>
      <c r="B2" s="1827"/>
      <c r="C2" s="1827"/>
      <c r="D2" s="1827"/>
      <c r="E2" s="1827"/>
      <c r="F2" s="1827"/>
      <c r="G2" s="1827"/>
      <c r="H2" s="1827"/>
      <c r="I2" s="1827"/>
      <c r="J2" s="1827"/>
      <c r="K2" s="1827"/>
      <c r="L2" s="1827"/>
      <c r="M2" s="1827"/>
      <c r="N2" s="1827"/>
      <c r="O2" s="1827"/>
      <c r="P2" s="1827"/>
      <c r="Q2" s="1827"/>
      <c r="R2" s="1827"/>
      <c r="S2" s="1827"/>
      <c r="T2" s="1827"/>
      <c r="U2" s="1827"/>
      <c r="V2" s="1827"/>
      <c r="W2" s="1827"/>
      <c r="X2" s="1827"/>
      <c r="Y2" s="1827"/>
      <c r="Z2" s="1827"/>
      <c r="AA2" s="1827"/>
      <c r="AB2" s="1827"/>
      <c r="AC2" s="1827"/>
      <c r="AD2" s="1827"/>
      <c r="AE2" s="1827"/>
      <c r="AF2" s="1827"/>
      <c r="AG2" s="1827"/>
      <c r="AH2" s="1827"/>
    </row>
    <row r="3" spans="1:53" s="805" customFormat="1" ht="12.75" customHeight="1">
      <c r="A3" s="1828" t="s">
        <v>540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828"/>
      <c r="M3" s="1828"/>
      <c r="N3" s="1828"/>
      <c r="O3" s="1828"/>
      <c r="P3" s="1828"/>
      <c r="Q3" s="1828"/>
      <c r="R3" s="1828"/>
      <c r="S3" s="1828"/>
      <c r="T3" s="1828"/>
      <c r="U3" s="1828"/>
      <c r="V3" s="1828"/>
      <c r="W3" s="1828"/>
      <c r="X3" s="1828"/>
      <c r="Y3" s="1828"/>
      <c r="Z3" s="1828"/>
      <c r="AA3" s="1828"/>
      <c r="AB3" s="1828"/>
      <c r="AC3" s="1828"/>
      <c r="AD3" s="1828"/>
      <c r="AE3" s="1828"/>
      <c r="AF3" s="1828"/>
      <c r="AG3" s="1828"/>
      <c r="AH3" s="1828"/>
      <c r="AM3" s="806"/>
      <c r="AN3" s="806"/>
      <c r="AO3" s="806"/>
      <c r="AP3" s="806"/>
      <c r="AQ3" s="806"/>
      <c r="AR3" s="806"/>
      <c r="AS3" s="806"/>
      <c r="AT3" s="806"/>
      <c r="AU3" s="806"/>
      <c r="AV3" s="806"/>
      <c r="AW3" s="806"/>
      <c r="AX3" s="806"/>
      <c r="AY3" s="806"/>
      <c r="AZ3" s="806"/>
      <c r="BA3" s="806"/>
    </row>
    <row r="4" spans="1:34" s="805" customFormat="1" ht="27.75" customHeight="1">
      <c r="A4" s="1860" t="s">
        <v>485</v>
      </c>
      <c r="B4" s="1861"/>
      <c r="C4" s="1861"/>
      <c r="D4" s="1860" t="s">
        <v>486</v>
      </c>
      <c r="E4" s="1861"/>
      <c r="F4" s="1861"/>
      <c r="G4" s="1861"/>
      <c r="H4" s="1861"/>
      <c r="I4" s="1861"/>
      <c r="J4" s="1861"/>
      <c r="K4" s="1861"/>
      <c r="L4" s="1861"/>
      <c r="M4" s="1861"/>
      <c r="N4" s="1861"/>
      <c r="O4" s="1861"/>
      <c r="P4" s="1861"/>
      <c r="Q4" s="1861"/>
      <c r="R4" s="1861"/>
      <c r="S4" s="1861"/>
      <c r="T4" s="1861"/>
      <c r="U4" s="1861"/>
      <c r="V4" s="1861"/>
      <c r="W4" s="1864"/>
      <c r="X4" s="1776" t="s">
        <v>333</v>
      </c>
      <c r="Y4" s="1775" t="s">
        <v>534</v>
      </c>
      <c r="Z4" s="1775" t="s">
        <v>159</v>
      </c>
      <c r="AA4" s="1775" t="s">
        <v>160</v>
      </c>
      <c r="AB4" s="1775" t="s">
        <v>60</v>
      </c>
      <c r="AC4" s="1775" t="s">
        <v>334</v>
      </c>
      <c r="AD4" s="1829" t="s">
        <v>533</v>
      </c>
      <c r="AE4" s="1830"/>
      <c r="AF4" s="1830"/>
      <c r="AG4" s="1830"/>
      <c r="AH4" s="1831"/>
    </row>
    <row r="5" spans="1:34" s="807" customFormat="1" ht="17.25" customHeight="1">
      <c r="A5" s="1862"/>
      <c r="B5" s="1863"/>
      <c r="C5" s="1863"/>
      <c r="D5" s="1862"/>
      <c r="E5" s="1863"/>
      <c r="F5" s="1863"/>
      <c r="G5" s="1863"/>
      <c r="H5" s="1863"/>
      <c r="I5" s="1863"/>
      <c r="J5" s="1863"/>
      <c r="K5" s="1863"/>
      <c r="L5" s="1863"/>
      <c r="M5" s="1863"/>
      <c r="N5" s="1863"/>
      <c r="O5" s="1863"/>
      <c r="P5" s="1863"/>
      <c r="Q5" s="1863"/>
      <c r="R5" s="1863"/>
      <c r="S5" s="1863"/>
      <c r="T5" s="1863"/>
      <c r="U5" s="1863"/>
      <c r="V5" s="1863"/>
      <c r="W5" s="1865"/>
      <c r="X5" s="1776"/>
      <c r="Y5" s="1775"/>
      <c r="Z5" s="1775"/>
      <c r="AA5" s="1775"/>
      <c r="AB5" s="1775"/>
      <c r="AC5" s="1775"/>
      <c r="AD5" s="1832"/>
      <c r="AE5" s="1833"/>
      <c r="AF5" s="1833"/>
      <c r="AG5" s="1833"/>
      <c r="AH5" s="1834"/>
    </row>
    <row r="6" spans="1:34" s="808" customFormat="1" ht="15.75" customHeight="1">
      <c r="A6" s="1835" t="s">
        <v>335</v>
      </c>
      <c r="B6" s="1835"/>
      <c r="C6" s="1835"/>
      <c r="D6" s="1836" t="s">
        <v>487</v>
      </c>
      <c r="E6" s="1836"/>
      <c r="F6" s="1836"/>
      <c r="G6" s="1836"/>
      <c r="H6" s="1836"/>
      <c r="I6" s="1836"/>
      <c r="J6" s="1836"/>
      <c r="K6" s="1836"/>
      <c r="L6" s="1836"/>
      <c r="M6" s="1836"/>
      <c r="N6" s="1836"/>
      <c r="O6" s="1836"/>
      <c r="P6" s="1836"/>
      <c r="Q6" s="1836"/>
      <c r="R6" s="1836"/>
      <c r="S6" s="1836"/>
      <c r="T6" s="1836"/>
      <c r="U6" s="1836"/>
      <c r="V6" s="1836"/>
      <c r="W6" s="1836"/>
      <c r="X6" s="1134">
        <v>924329375</v>
      </c>
      <c r="Y6" s="1134">
        <v>0</v>
      </c>
      <c r="Z6" s="1134"/>
      <c r="AA6" s="1134"/>
      <c r="AB6" s="1134">
        <v>0</v>
      </c>
      <c r="AC6" s="1134"/>
      <c r="AD6" s="1823">
        <f aca="true" t="shared" si="0" ref="AD6:AD43">SUM(X6:AC6)</f>
        <v>924329375</v>
      </c>
      <c r="AE6" s="1823"/>
      <c r="AF6" s="1823"/>
      <c r="AG6" s="1823"/>
      <c r="AH6" s="1823"/>
    </row>
    <row r="7" spans="1:34" s="808" customFormat="1" ht="15.75" customHeight="1">
      <c r="A7" s="1835" t="s">
        <v>337</v>
      </c>
      <c r="B7" s="1835"/>
      <c r="C7" s="1835"/>
      <c r="D7" s="1837" t="s">
        <v>488</v>
      </c>
      <c r="E7" s="1837"/>
      <c r="F7" s="1837"/>
      <c r="G7" s="1837"/>
      <c r="H7" s="1837"/>
      <c r="I7" s="1837"/>
      <c r="J7" s="1837"/>
      <c r="K7" s="1837"/>
      <c r="L7" s="1837"/>
      <c r="M7" s="1837"/>
      <c r="N7" s="1837"/>
      <c r="O7" s="1837"/>
      <c r="P7" s="1837"/>
      <c r="Q7" s="1837"/>
      <c r="R7" s="1837"/>
      <c r="S7" s="1837"/>
      <c r="T7" s="1837"/>
      <c r="U7" s="1837"/>
      <c r="V7" s="1837"/>
      <c r="W7" s="1837"/>
      <c r="X7" s="1135">
        <v>62125516</v>
      </c>
      <c r="Y7" s="1135">
        <v>4080843</v>
      </c>
      <c r="Z7" s="1135">
        <v>67626144</v>
      </c>
      <c r="AA7" s="1135">
        <v>2159</v>
      </c>
      <c r="AB7" s="1135">
        <v>1294156</v>
      </c>
      <c r="AC7" s="1135">
        <v>3756920</v>
      </c>
      <c r="AD7" s="1823">
        <f t="shared" si="0"/>
        <v>138885738</v>
      </c>
      <c r="AE7" s="1823"/>
      <c r="AF7" s="1823"/>
      <c r="AG7" s="1823"/>
      <c r="AH7" s="1823"/>
    </row>
    <row r="8" spans="1:34" s="808" customFormat="1" ht="15.75" customHeight="1">
      <c r="A8" s="1835" t="s">
        <v>341</v>
      </c>
      <c r="B8" s="1835"/>
      <c r="C8" s="1835"/>
      <c r="D8" s="1837" t="s">
        <v>489</v>
      </c>
      <c r="E8" s="1837"/>
      <c r="F8" s="1837"/>
      <c r="G8" s="1837"/>
      <c r="H8" s="1837"/>
      <c r="I8" s="1837"/>
      <c r="J8" s="1837"/>
      <c r="K8" s="1837"/>
      <c r="L8" s="1837"/>
      <c r="M8" s="1837"/>
      <c r="N8" s="1837"/>
      <c r="O8" s="1837"/>
      <c r="P8" s="1837"/>
      <c r="Q8" s="1837"/>
      <c r="R8" s="1837"/>
      <c r="S8" s="1837"/>
      <c r="T8" s="1837"/>
      <c r="U8" s="1837"/>
      <c r="V8" s="1837"/>
      <c r="W8" s="1837"/>
      <c r="X8" s="1135">
        <v>-9933761</v>
      </c>
      <c r="Y8" s="1135"/>
      <c r="Z8" s="1135"/>
      <c r="AA8" s="1135"/>
      <c r="AB8" s="1135"/>
      <c r="AC8" s="1135"/>
      <c r="AD8" s="1823">
        <f t="shared" si="0"/>
        <v>-9933761</v>
      </c>
      <c r="AE8" s="1823"/>
      <c r="AF8" s="1823"/>
      <c r="AG8" s="1823"/>
      <c r="AH8" s="1823"/>
    </row>
    <row r="9" spans="1:34" s="808" customFormat="1" ht="15.75" customHeight="1">
      <c r="A9" s="1838" t="s">
        <v>339</v>
      </c>
      <c r="B9" s="1838"/>
      <c r="C9" s="1838"/>
      <c r="D9" s="1839" t="s">
        <v>490</v>
      </c>
      <c r="E9" s="1839"/>
      <c r="F9" s="1839"/>
      <c r="G9" s="1839"/>
      <c r="H9" s="1839"/>
      <c r="I9" s="1839"/>
      <c r="J9" s="1839"/>
      <c r="K9" s="1839"/>
      <c r="L9" s="1839"/>
      <c r="M9" s="1839"/>
      <c r="N9" s="1839"/>
      <c r="O9" s="1839"/>
      <c r="P9" s="1839"/>
      <c r="Q9" s="1839"/>
      <c r="R9" s="1839"/>
      <c r="S9" s="1839"/>
      <c r="T9" s="1839"/>
      <c r="U9" s="1839"/>
      <c r="V9" s="1839"/>
      <c r="W9" s="1839"/>
      <c r="X9" s="1136">
        <f aca="true" t="shared" si="1" ref="X9:AC9">SUM(X6:X8)</f>
        <v>976521130</v>
      </c>
      <c r="Y9" s="1136">
        <f t="shared" si="1"/>
        <v>4080843</v>
      </c>
      <c r="Z9" s="1136">
        <f t="shared" si="1"/>
        <v>67626144</v>
      </c>
      <c r="AA9" s="1136">
        <f t="shared" si="1"/>
        <v>2159</v>
      </c>
      <c r="AB9" s="1136">
        <f t="shared" si="1"/>
        <v>1294156</v>
      </c>
      <c r="AC9" s="1136">
        <f t="shared" si="1"/>
        <v>3756920</v>
      </c>
      <c r="AD9" s="1823">
        <f t="shared" si="0"/>
        <v>1053281352</v>
      </c>
      <c r="AE9" s="1823"/>
      <c r="AF9" s="1823"/>
      <c r="AG9" s="1823"/>
      <c r="AH9" s="1823"/>
    </row>
    <row r="10" spans="1:34" s="808" customFormat="1" ht="15.75" customHeight="1">
      <c r="A10" s="1835" t="s">
        <v>343</v>
      </c>
      <c r="B10" s="1835"/>
      <c r="C10" s="1835"/>
      <c r="D10" s="1837" t="s">
        <v>491</v>
      </c>
      <c r="E10" s="1837"/>
      <c r="F10" s="1837"/>
      <c r="G10" s="1837"/>
      <c r="H10" s="1837"/>
      <c r="I10" s="1837"/>
      <c r="J10" s="1837"/>
      <c r="K10" s="1837"/>
      <c r="L10" s="1837"/>
      <c r="M10" s="1837"/>
      <c r="N10" s="1837"/>
      <c r="O10" s="1837"/>
      <c r="P10" s="1837"/>
      <c r="Q10" s="1837"/>
      <c r="R10" s="1837"/>
      <c r="S10" s="1837"/>
      <c r="T10" s="1837"/>
      <c r="U10" s="1837"/>
      <c r="V10" s="1837"/>
      <c r="W10" s="1837"/>
      <c r="X10" s="1135"/>
      <c r="Y10" s="1135"/>
      <c r="Z10" s="1135"/>
      <c r="AA10" s="1135"/>
      <c r="AB10" s="1135"/>
      <c r="AC10" s="1135"/>
      <c r="AD10" s="1823">
        <f t="shared" si="0"/>
        <v>0</v>
      </c>
      <c r="AE10" s="1823"/>
      <c r="AF10" s="1823"/>
      <c r="AG10" s="1823"/>
      <c r="AH10" s="1823"/>
    </row>
    <row r="11" spans="1:34" s="808" customFormat="1" ht="15.75" customHeight="1">
      <c r="A11" s="1835" t="s">
        <v>348</v>
      </c>
      <c r="B11" s="1835"/>
      <c r="C11" s="1835"/>
      <c r="D11" s="1837" t="s">
        <v>492</v>
      </c>
      <c r="E11" s="1840"/>
      <c r="F11" s="1840"/>
      <c r="G11" s="1840"/>
      <c r="H11" s="1840"/>
      <c r="I11" s="1840"/>
      <c r="J11" s="1840"/>
      <c r="K11" s="1840"/>
      <c r="L11" s="1840"/>
      <c r="M11" s="1840"/>
      <c r="N11" s="1840"/>
      <c r="O11" s="1840"/>
      <c r="P11" s="1840"/>
      <c r="Q11" s="1840"/>
      <c r="R11" s="1840"/>
      <c r="S11" s="1840"/>
      <c r="T11" s="1840"/>
      <c r="U11" s="1840"/>
      <c r="V11" s="1840"/>
      <c r="W11" s="1840"/>
      <c r="X11" s="1137"/>
      <c r="Y11" s="1137"/>
      <c r="Z11" s="1137"/>
      <c r="AA11" s="1137"/>
      <c r="AB11" s="1137"/>
      <c r="AC11" s="1137"/>
      <c r="AD11" s="1823">
        <f t="shared" si="0"/>
        <v>0</v>
      </c>
      <c r="AE11" s="1823"/>
      <c r="AF11" s="1823"/>
      <c r="AG11" s="1823"/>
      <c r="AH11" s="1823"/>
    </row>
    <row r="12" spans="1:34" s="808" customFormat="1" ht="15.75" customHeight="1">
      <c r="A12" s="1838" t="s">
        <v>345</v>
      </c>
      <c r="B12" s="1838"/>
      <c r="C12" s="1838"/>
      <c r="D12" s="1841" t="s">
        <v>493</v>
      </c>
      <c r="E12" s="1841"/>
      <c r="F12" s="1841"/>
      <c r="G12" s="1841"/>
      <c r="H12" s="1841"/>
      <c r="I12" s="1841"/>
      <c r="J12" s="1841"/>
      <c r="K12" s="1841"/>
      <c r="L12" s="1841"/>
      <c r="M12" s="1841"/>
      <c r="N12" s="1841"/>
      <c r="O12" s="1841"/>
      <c r="P12" s="1841"/>
      <c r="Q12" s="1841"/>
      <c r="R12" s="1841"/>
      <c r="S12" s="1841"/>
      <c r="T12" s="1841"/>
      <c r="U12" s="1841"/>
      <c r="V12" s="1841"/>
      <c r="W12" s="1841"/>
      <c r="X12" s="1138">
        <f aca="true" t="shared" si="2" ref="X12:AC12">SUM(X10:X11)</f>
        <v>0</v>
      </c>
      <c r="Y12" s="1138">
        <f t="shared" si="2"/>
        <v>0</v>
      </c>
      <c r="Z12" s="1138">
        <f t="shared" si="2"/>
        <v>0</v>
      </c>
      <c r="AA12" s="1138">
        <f t="shared" si="2"/>
        <v>0</v>
      </c>
      <c r="AB12" s="1138">
        <f t="shared" si="2"/>
        <v>0</v>
      </c>
      <c r="AC12" s="1138">
        <f t="shared" si="2"/>
        <v>0</v>
      </c>
      <c r="AD12" s="1823">
        <f t="shared" si="0"/>
        <v>0</v>
      </c>
      <c r="AE12" s="1823"/>
      <c r="AF12" s="1823"/>
      <c r="AG12" s="1823"/>
      <c r="AH12" s="1823"/>
    </row>
    <row r="13" spans="1:34" s="808" customFormat="1" ht="15.75" customHeight="1">
      <c r="A13" s="1835" t="s">
        <v>350</v>
      </c>
      <c r="B13" s="1835"/>
      <c r="C13" s="1835"/>
      <c r="D13" s="1837" t="s">
        <v>494</v>
      </c>
      <c r="E13" s="1837"/>
      <c r="F13" s="1837"/>
      <c r="G13" s="1837"/>
      <c r="H13" s="1837"/>
      <c r="I13" s="1837"/>
      <c r="J13" s="1837"/>
      <c r="K13" s="1837"/>
      <c r="L13" s="1837"/>
      <c r="M13" s="1837"/>
      <c r="N13" s="1837"/>
      <c r="O13" s="1837"/>
      <c r="P13" s="1837"/>
      <c r="Q13" s="1837"/>
      <c r="R13" s="1837"/>
      <c r="S13" s="1837"/>
      <c r="T13" s="1837"/>
      <c r="U13" s="1837"/>
      <c r="V13" s="1837"/>
      <c r="W13" s="1837"/>
      <c r="X13" s="1135">
        <v>564220709</v>
      </c>
      <c r="Y13" s="1135">
        <v>225726000</v>
      </c>
      <c r="Z13" s="1135">
        <v>128812000</v>
      </c>
      <c r="AA13" s="1135">
        <v>233492000</v>
      </c>
      <c r="AB13" s="1135">
        <v>34674000</v>
      </c>
      <c r="AC13" s="1135">
        <v>34865000</v>
      </c>
      <c r="AD13" s="1823">
        <f t="shared" si="0"/>
        <v>1221789709</v>
      </c>
      <c r="AE13" s="1823"/>
      <c r="AF13" s="1823"/>
      <c r="AG13" s="1823"/>
      <c r="AH13" s="1823"/>
    </row>
    <row r="14" spans="1:34" s="808" customFormat="1" ht="15.75" customHeight="1">
      <c r="A14" s="1835" t="s">
        <v>354</v>
      </c>
      <c r="B14" s="1835"/>
      <c r="C14" s="1835"/>
      <c r="D14" s="1837" t="s">
        <v>495</v>
      </c>
      <c r="E14" s="1837"/>
      <c r="F14" s="1837"/>
      <c r="G14" s="1837"/>
      <c r="H14" s="1837"/>
      <c r="I14" s="1837"/>
      <c r="J14" s="1837"/>
      <c r="K14" s="1837"/>
      <c r="L14" s="1837"/>
      <c r="M14" s="1837"/>
      <c r="N14" s="1837"/>
      <c r="O14" s="1837"/>
      <c r="P14" s="1837"/>
      <c r="Q14" s="1837"/>
      <c r="R14" s="1837"/>
      <c r="S14" s="1837"/>
      <c r="T14" s="1837"/>
      <c r="U14" s="1837"/>
      <c r="V14" s="1837"/>
      <c r="W14" s="1837"/>
      <c r="X14" s="1135">
        <v>348564094</v>
      </c>
      <c r="Y14" s="1135">
        <v>7989957</v>
      </c>
      <c r="Z14" s="1135">
        <v>36460681</v>
      </c>
      <c r="AA14" s="1135">
        <v>1694582</v>
      </c>
      <c r="AB14" s="1135"/>
      <c r="AC14" s="1135">
        <v>890241</v>
      </c>
      <c r="AD14" s="1823">
        <f t="shared" si="0"/>
        <v>395599555</v>
      </c>
      <c r="AE14" s="1823"/>
      <c r="AF14" s="1823"/>
      <c r="AG14" s="1823"/>
      <c r="AH14" s="1823"/>
    </row>
    <row r="15" spans="1:34" s="808" customFormat="1" ht="15.75" customHeight="1">
      <c r="A15" s="1835" t="s">
        <v>356</v>
      </c>
      <c r="B15" s="1835"/>
      <c r="C15" s="1835"/>
      <c r="D15" s="1837" t="s">
        <v>496</v>
      </c>
      <c r="E15" s="1837"/>
      <c r="F15" s="1837"/>
      <c r="G15" s="1837"/>
      <c r="H15" s="1837"/>
      <c r="I15" s="1837"/>
      <c r="J15" s="1837"/>
      <c r="K15" s="1837"/>
      <c r="L15" s="1837"/>
      <c r="M15" s="1837"/>
      <c r="N15" s="1837"/>
      <c r="O15" s="1837"/>
      <c r="P15" s="1837"/>
      <c r="Q15" s="1837"/>
      <c r="R15" s="1837"/>
      <c r="S15" s="1837"/>
      <c r="T15" s="1837"/>
      <c r="U15" s="1837"/>
      <c r="V15" s="1837"/>
      <c r="W15" s="1837"/>
      <c r="X15" s="1135">
        <v>141709563</v>
      </c>
      <c r="Y15" s="1135">
        <v>0</v>
      </c>
      <c r="Z15" s="1135">
        <v>1800000</v>
      </c>
      <c r="AA15" s="1135">
        <v>0</v>
      </c>
      <c r="AB15" s="1135"/>
      <c r="AC15" s="1135"/>
      <c r="AD15" s="1823">
        <f>SUM(X15:AC15)</f>
        <v>143509563</v>
      </c>
      <c r="AE15" s="1823"/>
      <c r="AF15" s="1823"/>
      <c r="AG15" s="1823"/>
      <c r="AH15" s="1823"/>
    </row>
    <row r="16" spans="1:34" s="808" customFormat="1" ht="15.75" customHeight="1">
      <c r="A16" s="1845" t="s">
        <v>497</v>
      </c>
      <c r="B16" s="1846"/>
      <c r="C16" s="1847"/>
      <c r="D16" s="1842" t="s">
        <v>496</v>
      </c>
      <c r="E16" s="1843"/>
      <c r="F16" s="1843"/>
      <c r="G16" s="1843"/>
      <c r="H16" s="1843"/>
      <c r="I16" s="1843"/>
      <c r="J16" s="1843"/>
      <c r="K16" s="1843"/>
      <c r="L16" s="1843"/>
      <c r="M16" s="1843"/>
      <c r="N16" s="1843"/>
      <c r="O16" s="1843"/>
      <c r="P16" s="1843"/>
      <c r="Q16" s="1843"/>
      <c r="R16" s="1843"/>
      <c r="S16" s="1843"/>
      <c r="T16" s="1843"/>
      <c r="U16" s="1843"/>
      <c r="V16" s="1843"/>
      <c r="W16" s="1844"/>
      <c r="X16" s="1135">
        <v>4440898138</v>
      </c>
      <c r="Y16" s="1135">
        <v>100244</v>
      </c>
      <c r="Z16" s="1135">
        <v>5</v>
      </c>
      <c r="AA16" s="1135">
        <v>1</v>
      </c>
      <c r="AB16" s="1135">
        <v>11370</v>
      </c>
      <c r="AC16" s="1135">
        <v>3</v>
      </c>
      <c r="AD16" s="1823">
        <f>SUM(X16:AC16)</f>
        <v>4441009761</v>
      </c>
      <c r="AE16" s="1823"/>
      <c r="AF16" s="1823"/>
      <c r="AG16" s="1823"/>
      <c r="AH16" s="1823"/>
    </row>
    <row r="17" spans="1:34" s="808" customFormat="1" ht="15.75" customHeight="1">
      <c r="A17" s="1838" t="s">
        <v>352</v>
      </c>
      <c r="B17" s="1838"/>
      <c r="C17" s="1838"/>
      <c r="D17" s="1839" t="s">
        <v>943</v>
      </c>
      <c r="E17" s="1839"/>
      <c r="F17" s="1839"/>
      <c r="G17" s="1839"/>
      <c r="H17" s="1839"/>
      <c r="I17" s="1839"/>
      <c r="J17" s="1839"/>
      <c r="K17" s="1839"/>
      <c r="L17" s="1839"/>
      <c r="M17" s="1839"/>
      <c r="N17" s="1839"/>
      <c r="O17" s="1839"/>
      <c r="P17" s="1839"/>
      <c r="Q17" s="1839"/>
      <c r="R17" s="1839"/>
      <c r="S17" s="1839"/>
      <c r="T17" s="1839"/>
      <c r="U17" s="1839"/>
      <c r="V17" s="1839"/>
      <c r="W17" s="1839"/>
      <c r="X17" s="1136">
        <f aca="true" t="shared" si="3" ref="X17:AC17">SUM(X13:X16)</f>
        <v>5495392504</v>
      </c>
      <c r="Y17" s="1136">
        <f t="shared" si="3"/>
        <v>233816201</v>
      </c>
      <c r="Z17" s="1136">
        <f t="shared" si="3"/>
        <v>167072686</v>
      </c>
      <c r="AA17" s="1136">
        <f t="shared" si="3"/>
        <v>235186583</v>
      </c>
      <c r="AB17" s="1136">
        <f t="shared" si="3"/>
        <v>34685370</v>
      </c>
      <c r="AC17" s="1136">
        <f t="shared" si="3"/>
        <v>35755244</v>
      </c>
      <c r="AD17" s="1823">
        <f>SUM(X17:AC17)</f>
        <v>6201908588</v>
      </c>
      <c r="AE17" s="1823"/>
      <c r="AF17" s="1823"/>
      <c r="AG17" s="1823"/>
      <c r="AH17" s="1823"/>
    </row>
    <row r="18" spans="1:34" s="808" customFormat="1" ht="15.75" customHeight="1">
      <c r="A18" s="1835" t="s">
        <v>499</v>
      </c>
      <c r="B18" s="1835"/>
      <c r="C18" s="1835"/>
      <c r="D18" s="1837" t="s">
        <v>498</v>
      </c>
      <c r="E18" s="1837"/>
      <c r="F18" s="1837"/>
      <c r="G18" s="1837"/>
      <c r="H18" s="1837"/>
      <c r="I18" s="1837"/>
      <c r="J18" s="1837"/>
      <c r="K18" s="1837"/>
      <c r="L18" s="1837"/>
      <c r="M18" s="1837"/>
      <c r="N18" s="1837"/>
      <c r="O18" s="1837"/>
      <c r="P18" s="1837"/>
      <c r="Q18" s="1837"/>
      <c r="R18" s="1837"/>
      <c r="S18" s="1837"/>
      <c r="T18" s="1837"/>
      <c r="U18" s="1837"/>
      <c r="V18" s="1837"/>
      <c r="W18" s="1837"/>
      <c r="X18" s="1135">
        <v>20750579</v>
      </c>
      <c r="Y18" s="1135">
        <v>4511179</v>
      </c>
      <c r="Z18" s="1147">
        <v>12898395</v>
      </c>
      <c r="AA18" s="1135">
        <v>3718314</v>
      </c>
      <c r="AB18" s="1135">
        <v>5053668</v>
      </c>
      <c r="AC18" s="1147">
        <v>1378361</v>
      </c>
      <c r="AD18" s="1823">
        <f t="shared" si="0"/>
        <v>48310496</v>
      </c>
      <c r="AE18" s="1823"/>
      <c r="AF18" s="1823"/>
      <c r="AG18" s="1823"/>
      <c r="AH18" s="1823"/>
    </row>
    <row r="19" spans="1:34" s="808" customFormat="1" ht="15.75" customHeight="1">
      <c r="A19" s="1835" t="s">
        <v>501</v>
      </c>
      <c r="B19" s="1835"/>
      <c r="C19" s="1835"/>
      <c r="D19" s="1837" t="s">
        <v>500</v>
      </c>
      <c r="E19" s="1837"/>
      <c r="F19" s="1837"/>
      <c r="G19" s="1837"/>
      <c r="H19" s="1837"/>
      <c r="I19" s="1837"/>
      <c r="J19" s="1837"/>
      <c r="K19" s="1837"/>
      <c r="L19" s="1837"/>
      <c r="M19" s="1837"/>
      <c r="N19" s="1837"/>
      <c r="O19" s="1837"/>
      <c r="P19" s="1837"/>
      <c r="Q19" s="1837"/>
      <c r="R19" s="1837"/>
      <c r="S19" s="1837"/>
      <c r="T19" s="1837"/>
      <c r="U19" s="1837"/>
      <c r="V19" s="1837"/>
      <c r="W19" s="1837"/>
      <c r="X19" s="1135">
        <v>339306582</v>
      </c>
      <c r="Y19" s="1135">
        <v>22291951</v>
      </c>
      <c r="Z19" s="1147">
        <v>31490698</v>
      </c>
      <c r="AA19" s="1135">
        <v>7176816</v>
      </c>
      <c r="AB19" s="1135">
        <v>6689525</v>
      </c>
      <c r="AC19" s="1147">
        <v>3465346</v>
      </c>
      <c r="AD19" s="1823">
        <f t="shared" si="0"/>
        <v>410420918</v>
      </c>
      <c r="AE19" s="1823"/>
      <c r="AF19" s="1823"/>
      <c r="AG19" s="1823"/>
      <c r="AH19" s="1823"/>
    </row>
    <row r="20" spans="1:34" s="809" customFormat="1" ht="15.75" customHeight="1">
      <c r="A20" s="1835" t="s">
        <v>503</v>
      </c>
      <c r="B20" s="1835"/>
      <c r="C20" s="1835"/>
      <c r="D20" s="1848" t="s">
        <v>502</v>
      </c>
      <c r="E20" s="1848"/>
      <c r="F20" s="1848"/>
      <c r="G20" s="1848"/>
      <c r="H20" s="1848"/>
      <c r="I20" s="1848"/>
      <c r="J20" s="1848"/>
      <c r="K20" s="1848"/>
      <c r="L20" s="1848"/>
      <c r="M20" s="1848"/>
      <c r="N20" s="1848"/>
      <c r="O20" s="1848"/>
      <c r="P20" s="1848"/>
      <c r="Q20" s="1848"/>
      <c r="R20" s="1848"/>
      <c r="S20" s="1848"/>
      <c r="T20" s="1848"/>
      <c r="U20" s="1848"/>
      <c r="V20" s="1848"/>
      <c r="W20" s="1848"/>
      <c r="X20" s="1139"/>
      <c r="Y20" s="1139"/>
      <c r="Z20" s="1151"/>
      <c r="AA20" s="1139"/>
      <c r="AB20" s="1139"/>
      <c r="AC20" s="1151"/>
      <c r="AD20" s="1823">
        <f t="shared" si="0"/>
        <v>0</v>
      </c>
      <c r="AE20" s="1823"/>
      <c r="AF20" s="1823"/>
      <c r="AG20" s="1823"/>
      <c r="AH20" s="1823"/>
    </row>
    <row r="21" spans="1:34" s="808" customFormat="1" ht="15.75" customHeight="1">
      <c r="A21" s="1835" t="s">
        <v>505</v>
      </c>
      <c r="B21" s="1835"/>
      <c r="C21" s="1835"/>
      <c r="D21" s="1837" t="s">
        <v>504</v>
      </c>
      <c r="E21" s="1837"/>
      <c r="F21" s="1837"/>
      <c r="G21" s="1837"/>
      <c r="H21" s="1837"/>
      <c r="I21" s="1837"/>
      <c r="J21" s="1837"/>
      <c r="K21" s="1837"/>
      <c r="L21" s="1837"/>
      <c r="M21" s="1837"/>
      <c r="N21" s="1837"/>
      <c r="O21" s="1837"/>
      <c r="P21" s="1837"/>
      <c r="Q21" s="1837"/>
      <c r="R21" s="1837"/>
      <c r="S21" s="1837"/>
      <c r="T21" s="1837"/>
      <c r="U21" s="1837"/>
      <c r="V21" s="1837"/>
      <c r="W21" s="1837"/>
      <c r="X21" s="1135">
        <v>15497381</v>
      </c>
      <c r="Y21" s="1135">
        <v>3270843</v>
      </c>
      <c r="Z21" s="1147">
        <v>634510</v>
      </c>
      <c r="AA21" s="1135">
        <v>0</v>
      </c>
      <c r="AB21" s="1135">
        <v>29877</v>
      </c>
      <c r="AC21" s="1147"/>
      <c r="AD21" s="1823">
        <f t="shared" si="0"/>
        <v>19432611</v>
      </c>
      <c r="AE21" s="1823"/>
      <c r="AF21" s="1823"/>
      <c r="AG21" s="1823"/>
      <c r="AH21" s="1823"/>
    </row>
    <row r="22" spans="1:34" s="808" customFormat="1" ht="15.75" customHeight="1">
      <c r="A22" s="1838" t="s">
        <v>358</v>
      </c>
      <c r="B22" s="1838"/>
      <c r="C22" s="1838"/>
      <c r="D22" s="1839" t="s">
        <v>942</v>
      </c>
      <c r="E22" s="1839"/>
      <c r="F22" s="1839"/>
      <c r="G22" s="1839"/>
      <c r="H22" s="1839"/>
      <c r="I22" s="1839"/>
      <c r="J22" s="1839"/>
      <c r="K22" s="1839"/>
      <c r="L22" s="1839"/>
      <c r="M22" s="1839"/>
      <c r="N22" s="1839"/>
      <c r="O22" s="1839"/>
      <c r="P22" s="1839"/>
      <c r="Q22" s="1839"/>
      <c r="R22" s="1839"/>
      <c r="S22" s="1839"/>
      <c r="T22" s="1839"/>
      <c r="U22" s="1839"/>
      <c r="V22" s="1839"/>
      <c r="W22" s="1839"/>
      <c r="X22" s="1136">
        <f aca="true" t="shared" si="4" ref="X22:AC22">SUM(X18:X21)</f>
        <v>375554542</v>
      </c>
      <c r="Y22" s="1136">
        <f t="shared" si="4"/>
        <v>30073973</v>
      </c>
      <c r="Z22" s="1148">
        <f t="shared" si="4"/>
        <v>45023603</v>
      </c>
      <c r="AA22" s="1136">
        <f t="shared" si="4"/>
        <v>10895130</v>
      </c>
      <c r="AB22" s="1136">
        <f t="shared" si="4"/>
        <v>11773070</v>
      </c>
      <c r="AC22" s="1148">
        <f t="shared" si="4"/>
        <v>4843707</v>
      </c>
      <c r="AD22" s="1823">
        <f t="shared" si="0"/>
        <v>478164025</v>
      </c>
      <c r="AE22" s="1823"/>
      <c r="AF22" s="1823"/>
      <c r="AG22" s="1823"/>
      <c r="AH22" s="1823"/>
    </row>
    <row r="23" spans="1:34" s="808" customFormat="1" ht="15.75" customHeight="1">
      <c r="A23" s="1835" t="s">
        <v>507</v>
      </c>
      <c r="B23" s="1835"/>
      <c r="C23" s="1835"/>
      <c r="D23" s="1837" t="s">
        <v>506</v>
      </c>
      <c r="E23" s="1837"/>
      <c r="F23" s="1837"/>
      <c r="G23" s="1837"/>
      <c r="H23" s="1837"/>
      <c r="I23" s="1837"/>
      <c r="J23" s="1837"/>
      <c r="K23" s="1837"/>
      <c r="L23" s="1837"/>
      <c r="M23" s="1837"/>
      <c r="N23" s="1837"/>
      <c r="O23" s="1837"/>
      <c r="P23" s="1837"/>
      <c r="Q23" s="1837"/>
      <c r="R23" s="1837"/>
      <c r="S23" s="1837"/>
      <c r="T23" s="1837"/>
      <c r="U23" s="1837"/>
      <c r="V23" s="1837"/>
      <c r="W23" s="1837"/>
      <c r="X23" s="1135">
        <v>79470677</v>
      </c>
      <c r="Y23" s="1135">
        <v>136035390</v>
      </c>
      <c r="Z23" s="1147">
        <v>130662262</v>
      </c>
      <c r="AA23" s="1135">
        <v>166212421</v>
      </c>
      <c r="AB23" s="1135">
        <v>17114295</v>
      </c>
      <c r="AC23" s="1147">
        <v>21248475</v>
      </c>
      <c r="AD23" s="1823">
        <f t="shared" si="0"/>
        <v>550743520</v>
      </c>
      <c r="AE23" s="1823"/>
      <c r="AF23" s="1823"/>
      <c r="AG23" s="1823"/>
      <c r="AH23" s="1823"/>
    </row>
    <row r="24" spans="1:34" s="808" customFormat="1" ht="15.75" customHeight="1">
      <c r="A24" s="1835" t="s">
        <v>509</v>
      </c>
      <c r="B24" s="1835"/>
      <c r="C24" s="1835"/>
      <c r="D24" s="1837" t="s">
        <v>508</v>
      </c>
      <c r="E24" s="1837"/>
      <c r="F24" s="1837"/>
      <c r="G24" s="1837"/>
      <c r="H24" s="1837"/>
      <c r="I24" s="1837"/>
      <c r="J24" s="1837"/>
      <c r="K24" s="1837"/>
      <c r="L24" s="1837"/>
      <c r="M24" s="1837"/>
      <c r="N24" s="1837"/>
      <c r="O24" s="1837"/>
      <c r="P24" s="1837"/>
      <c r="Q24" s="1837"/>
      <c r="R24" s="1837"/>
      <c r="S24" s="1837"/>
      <c r="T24" s="1837"/>
      <c r="U24" s="1837"/>
      <c r="V24" s="1837"/>
      <c r="W24" s="1837"/>
      <c r="X24" s="1135">
        <v>34327290</v>
      </c>
      <c r="Y24" s="1135">
        <v>13670091</v>
      </c>
      <c r="Z24" s="1147">
        <v>12210610</v>
      </c>
      <c r="AA24" s="1135">
        <v>14153734</v>
      </c>
      <c r="AB24" s="1135">
        <v>1803696</v>
      </c>
      <c r="AC24" s="1147">
        <v>2791970</v>
      </c>
      <c r="AD24" s="1823">
        <f t="shared" si="0"/>
        <v>78957391</v>
      </c>
      <c r="AE24" s="1823"/>
      <c r="AF24" s="1823"/>
      <c r="AG24" s="1823"/>
      <c r="AH24" s="1823"/>
    </row>
    <row r="25" spans="1:34" s="808" customFormat="1" ht="15.75" customHeight="1">
      <c r="A25" s="1835" t="s">
        <v>518</v>
      </c>
      <c r="B25" s="1835"/>
      <c r="C25" s="1835"/>
      <c r="D25" s="1837" t="s">
        <v>510</v>
      </c>
      <c r="E25" s="1837"/>
      <c r="F25" s="1837"/>
      <c r="G25" s="1837"/>
      <c r="H25" s="1837"/>
      <c r="I25" s="1837"/>
      <c r="J25" s="1837"/>
      <c r="K25" s="1837"/>
      <c r="L25" s="1837"/>
      <c r="M25" s="1837"/>
      <c r="N25" s="1837"/>
      <c r="O25" s="1837"/>
      <c r="P25" s="1837"/>
      <c r="Q25" s="1837"/>
      <c r="R25" s="1837"/>
      <c r="S25" s="1837"/>
      <c r="T25" s="1837"/>
      <c r="U25" s="1837"/>
      <c r="V25" s="1837"/>
      <c r="W25" s="1837"/>
      <c r="X25" s="1135">
        <v>22249553</v>
      </c>
      <c r="Y25" s="1135">
        <v>42028379</v>
      </c>
      <c r="Z25" s="1147">
        <v>40914185</v>
      </c>
      <c r="AA25" s="1135">
        <v>52005908</v>
      </c>
      <c r="AB25" s="1135">
        <v>5148680</v>
      </c>
      <c r="AC25" s="1147">
        <v>6402975</v>
      </c>
      <c r="AD25" s="1823">
        <f t="shared" si="0"/>
        <v>168749680</v>
      </c>
      <c r="AE25" s="1823"/>
      <c r="AF25" s="1823"/>
      <c r="AG25" s="1823"/>
      <c r="AH25" s="1823"/>
    </row>
    <row r="26" spans="1:34" s="808" customFormat="1" ht="15.75" customHeight="1">
      <c r="A26" s="1838" t="s">
        <v>511</v>
      </c>
      <c r="B26" s="1838"/>
      <c r="C26" s="1838"/>
      <c r="D26" s="1839" t="s">
        <v>941</v>
      </c>
      <c r="E26" s="1839"/>
      <c r="F26" s="1839"/>
      <c r="G26" s="1839"/>
      <c r="H26" s="1839"/>
      <c r="I26" s="1839"/>
      <c r="J26" s="1839"/>
      <c r="K26" s="1839"/>
      <c r="L26" s="1839"/>
      <c r="M26" s="1839"/>
      <c r="N26" s="1839"/>
      <c r="O26" s="1839"/>
      <c r="P26" s="1839"/>
      <c r="Q26" s="1839"/>
      <c r="R26" s="1839"/>
      <c r="S26" s="1839"/>
      <c r="T26" s="1839"/>
      <c r="U26" s="1839"/>
      <c r="V26" s="1839"/>
      <c r="W26" s="1839"/>
      <c r="X26" s="1136">
        <f aca="true" t="shared" si="5" ref="X26:AC26">SUM(X23:X25)</f>
        <v>136047520</v>
      </c>
      <c r="Y26" s="1136">
        <f t="shared" si="5"/>
        <v>191733860</v>
      </c>
      <c r="Z26" s="1148">
        <f t="shared" si="5"/>
        <v>183787057</v>
      </c>
      <c r="AA26" s="1136">
        <f t="shared" si="5"/>
        <v>232372063</v>
      </c>
      <c r="AB26" s="1136">
        <f t="shared" si="5"/>
        <v>24066671</v>
      </c>
      <c r="AC26" s="1148">
        <f t="shared" si="5"/>
        <v>30443420</v>
      </c>
      <c r="AD26" s="1823">
        <f t="shared" si="0"/>
        <v>798450591</v>
      </c>
      <c r="AE26" s="1823"/>
      <c r="AF26" s="1823"/>
      <c r="AG26" s="1823"/>
      <c r="AH26" s="1823"/>
    </row>
    <row r="27" spans="1:34" s="808" customFormat="1" ht="15.75" customHeight="1">
      <c r="A27" s="1838" t="s">
        <v>512</v>
      </c>
      <c r="B27" s="1838"/>
      <c r="C27" s="1838"/>
      <c r="D27" s="1839" t="s">
        <v>513</v>
      </c>
      <c r="E27" s="1839"/>
      <c r="F27" s="1839"/>
      <c r="G27" s="1839"/>
      <c r="H27" s="1839"/>
      <c r="I27" s="1839"/>
      <c r="J27" s="1839"/>
      <c r="K27" s="1839"/>
      <c r="L27" s="1839"/>
      <c r="M27" s="1839"/>
      <c r="N27" s="1839"/>
      <c r="O27" s="1839"/>
      <c r="P27" s="1839"/>
      <c r="Q27" s="1839"/>
      <c r="R27" s="1839"/>
      <c r="S27" s="1839"/>
      <c r="T27" s="1839"/>
      <c r="U27" s="1839"/>
      <c r="V27" s="1839"/>
      <c r="W27" s="1839"/>
      <c r="X27" s="1136">
        <v>331212664</v>
      </c>
      <c r="Y27" s="1136">
        <v>0</v>
      </c>
      <c r="Z27" s="1148"/>
      <c r="AA27" s="1136"/>
      <c r="AB27" s="1136"/>
      <c r="AC27" s="1148">
        <v>749502</v>
      </c>
      <c r="AD27" s="1823">
        <f t="shared" si="0"/>
        <v>331962166</v>
      </c>
      <c r="AE27" s="1823"/>
      <c r="AF27" s="1823"/>
      <c r="AG27" s="1823"/>
      <c r="AH27" s="1823"/>
    </row>
    <row r="28" spans="1:34" s="810" customFormat="1" ht="15.75" customHeight="1">
      <c r="A28" s="1838" t="s">
        <v>514</v>
      </c>
      <c r="B28" s="1838"/>
      <c r="C28" s="1838"/>
      <c r="D28" s="1839" t="s">
        <v>515</v>
      </c>
      <c r="E28" s="1839"/>
      <c r="F28" s="1839"/>
      <c r="G28" s="1839"/>
      <c r="H28" s="1839"/>
      <c r="I28" s="1839"/>
      <c r="J28" s="1839"/>
      <c r="K28" s="1839"/>
      <c r="L28" s="1839"/>
      <c r="M28" s="1839"/>
      <c r="N28" s="1839"/>
      <c r="O28" s="1839"/>
      <c r="P28" s="1839"/>
      <c r="Q28" s="1839"/>
      <c r="R28" s="1839"/>
      <c r="S28" s="1839"/>
      <c r="T28" s="1839"/>
      <c r="U28" s="1839"/>
      <c r="V28" s="1839"/>
      <c r="W28" s="1839"/>
      <c r="X28" s="1136">
        <v>2988327907</v>
      </c>
      <c r="Y28" s="1136">
        <v>35258301</v>
      </c>
      <c r="Z28" s="1148">
        <v>22653940</v>
      </c>
      <c r="AA28" s="1136">
        <v>6502453</v>
      </c>
      <c r="AB28" s="1136">
        <v>2795159</v>
      </c>
      <c r="AC28" s="1148">
        <v>3677222</v>
      </c>
      <c r="AD28" s="1823">
        <f t="shared" si="0"/>
        <v>3059214982</v>
      </c>
      <c r="AE28" s="1823"/>
      <c r="AF28" s="1823"/>
      <c r="AG28" s="1823"/>
      <c r="AH28" s="1823"/>
    </row>
    <row r="29" spans="1:34" s="1014" customFormat="1" ht="15.75" customHeight="1">
      <c r="A29" s="1849" t="s">
        <v>516</v>
      </c>
      <c r="B29" s="1849"/>
      <c r="C29" s="1849"/>
      <c r="D29" s="1850" t="s">
        <v>517</v>
      </c>
      <c r="E29" s="1850"/>
      <c r="F29" s="1850"/>
      <c r="G29" s="1850"/>
      <c r="H29" s="1850"/>
      <c r="I29" s="1850"/>
      <c r="J29" s="1850"/>
      <c r="K29" s="1850"/>
      <c r="L29" s="1850"/>
      <c r="M29" s="1850"/>
      <c r="N29" s="1850"/>
      <c r="O29" s="1850"/>
      <c r="P29" s="1850"/>
      <c r="Q29" s="1850"/>
      <c r="R29" s="1850"/>
      <c r="S29" s="1850"/>
      <c r="T29" s="1850"/>
      <c r="U29" s="1850"/>
      <c r="V29" s="1850"/>
      <c r="W29" s="1850"/>
      <c r="X29" s="1140">
        <f aca="true" t="shared" si="6" ref="X29:AC29">X9+X12+X17-X22-X26-X27-X28</f>
        <v>2640771001</v>
      </c>
      <c r="Y29" s="1140">
        <f t="shared" si="6"/>
        <v>-19169090</v>
      </c>
      <c r="Z29" s="1152">
        <f t="shared" si="6"/>
        <v>-16765770</v>
      </c>
      <c r="AA29" s="1140">
        <f t="shared" si="6"/>
        <v>-14580904</v>
      </c>
      <c r="AB29" s="1140">
        <f t="shared" si="6"/>
        <v>-2655374</v>
      </c>
      <c r="AC29" s="1152">
        <f t="shared" si="6"/>
        <v>-201687</v>
      </c>
      <c r="AD29" s="1851">
        <f t="shared" si="0"/>
        <v>2587398176</v>
      </c>
      <c r="AE29" s="1851"/>
      <c r="AF29" s="1851"/>
      <c r="AG29" s="1851"/>
      <c r="AH29" s="1851"/>
    </row>
    <row r="30" spans="1:34" s="809" customFormat="1" ht="15.75" customHeight="1">
      <c r="A30" s="1835" t="s">
        <v>520</v>
      </c>
      <c r="B30" s="1835"/>
      <c r="C30" s="1835"/>
      <c r="D30" s="1848" t="s">
        <v>519</v>
      </c>
      <c r="E30" s="1848"/>
      <c r="F30" s="1848"/>
      <c r="G30" s="1848"/>
      <c r="H30" s="1848"/>
      <c r="I30" s="1848"/>
      <c r="J30" s="1848"/>
      <c r="K30" s="1848"/>
      <c r="L30" s="1848"/>
      <c r="M30" s="1848"/>
      <c r="N30" s="1848"/>
      <c r="O30" s="1848"/>
      <c r="P30" s="1848"/>
      <c r="Q30" s="1848"/>
      <c r="R30" s="1848"/>
      <c r="S30" s="1848"/>
      <c r="T30" s="1848"/>
      <c r="U30" s="1848"/>
      <c r="V30" s="1848"/>
      <c r="W30" s="1848"/>
      <c r="X30" s="1139">
        <v>76951</v>
      </c>
      <c r="Y30" s="1139"/>
      <c r="Z30" s="1151"/>
      <c r="AA30" s="1139"/>
      <c r="AB30" s="1139"/>
      <c r="AC30" s="1151"/>
      <c r="AD30" s="1823">
        <f t="shared" si="0"/>
        <v>76951</v>
      </c>
      <c r="AE30" s="1823"/>
      <c r="AF30" s="1823"/>
      <c r="AG30" s="1823"/>
      <c r="AH30" s="1823"/>
    </row>
    <row r="31" spans="1:34" s="809" customFormat="1" ht="25.5" customHeight="1">
      <c r="A31" s="1835" t="s">
        <v>521</v>
      </c>
      <c r="B31" s="1835"/>
      <c r="C31" s="1835"/>
      <c r="D31" s="1848" t="s">
        <v>940</v>
      </c>
      <c r="E31" s="1848"/>
      <c r="F31" s="1848"/>
      <c r="G31" s="1848"/>
      <c r="H31" s="1848"/>
      <c r="I31" s="1848"/>
      <c r="J31" s="1848"/>
      <c r="K31" s="1848"/>
      <c r="L31" s="1848"/>
      <c r="M31" s="1848"/>
      <c r="N31" s="1848"/>
      <c r="O31" s="1848"/>
      <c r="P31" s="1848"/>
      <c r="Q31" s="1848"/>
      <c r="R31" s="1848"/>
      <c r="S31" s="1848"/>
      <c r="T31" s="1848"/>
      <c r="U31" s="1848"/>
      <c r="V31" s="1848"/>
      <c r="W31" s="1848"/>
      <c r="X31" s="1139"/>
      <c r="Y31" s="1139"/>
      <c r="Z31" s="1151"/>
      <c r="AA31" s="1139"/>
      <c r="AB31" s="1139"/>
      <c r="AC31" s="1151"/>
      <c r="AD31" s="1823">
        <f>SUM(X31:AC31)</f>
        <v>0</v>
      </c>
      <c r="AE31" s="1823"/>
      <c r="AF31" s="1823"/>
      <c r="AG31" s="1823"/>
      <c r="AH31" s="1823"/>
    </row>
    <row r="32" spans="1:34" s="809" customFormat="1" ht="24.75" customHeight="1">
      <c r="A32" s="1824" t="s">
        <v>523</v>
      </c>
      <c r="B32" s="1824"/>
      <c r="C32" s="1824"/>
      <c r="D32" s="1825" t="s">
        <v>939</v>
      </c>
      <c r="E32" s="1825"/>
      <c r="F32" s="1825"/>
      <c r="G32" s="1825"/>
      <c r="H32" s="1825"/>
      <c r="I32" s="1825"/>
      <c r="J32" s="1825"/>
      <c r="K32" s="1825"/>
      <c r="L32" s="1825"/>
      <c r="M32" s="1825"/>
      <c r="N32" s="1825"/>
      <c r="O32" s="1825"/>
      <c r="P32" s="1825"/>
      <c r="Q32" s="1825"/>
      <c r="R32" s="1825"/>
      <c r="S32" s="1825"/>
      <c r="T32" s="1825"/>
      <c r="U32" s="1825"/>
      <c r="V32" s="1825"/>
      <c r="W32" s="1825"/>
      <c r="X32" s="1139">
        <v>0</v>
      </c>
      <c r="Y32" s="1139">
        <v>0</v>
      </c>
      <c r="Z32" s="1151">
        <v>0</v>
      </c>
      <c r="AA32" s="1139">
        <v>0</v>
      </c>
      <c r="AB32" s="1139">
        <v>0</v>
      </c>
      <c r="AC32" s="1151">
        <v>0</v>
      </c>
      <c r="AD32" s="1823">
        <f t="shared" si="0"/>
        <v>0</v>
      </c>
      <c r="AE32" s="1823"/>
      <c r="AF32" s="1823"/>
      <c r="AG32" s="1823"/>
      <c r="AH32" s="1823"/>
    </row>
    <row r="33" spans="1:34" s="809" customFormat="1" ht="15.75" customHeight="1">
      <c r="A33" s="1852" t="s">
        <v>524</v>
      </c>
      <c r="B33" s="1853"/>
      <c r="C33" s="1854"/>
      <c r="D33" s="1855" t="s">
        <v>938</v>
      </c>
      <c r="E33" s="1856"/>
      <c r="F33" s="1856"/>
      <c r="G33" s="1856"/>
      <c r="H33" s="1856"/>
      <c r="I33" s="1856"/>
      <c r="J33" s="1856"/>
      <c r="K33" s="1856"/>
      <c r="L33" s="1856"/>
      <c r="M33" s="1856"/>
      <c r="N33" s="1856"/>
      <c r="O33" s="1856"/>
      <c r="P33" s="1856"/>
      <c r="Q33" s="1856"/>
      <c r="R33" s="1856"/>
      <c r="S33" s="1856"/>
      <c r="T33" s="1856"/>
      <c r="U33" s="1856"/>
      <c r="V33" s="1856"/>
      <c r="W33" s="1857"/>
      <c r="X33" s="1141">
        <v>11700681</v>
      </c>
      <c r="Y33" s="1141">
        <v>1643</v>
      </c>
      <c r="Z33" s="1153">
        <v>2448</v>
      </c>
      <c r="AA33" s="1141">
        <v>398</v>
      </c>
      <c r="AB33" s="1141">
        <v>240</v>
      </c>
      <c r="AC33" s="1153">
        <v>220</v>
      </c>
      <c r="AD33" s="1823">
        <f t="shared" si="0"/>
        <v>11705630</v>
      </c>
      <c r="AE33" s="1823"/>
      <c r="AF33" s="1823"/>
      <c r="AG33" s="1823"/>
      <c r="AH33" s="1823"/>
    </row>
    <row r="34" spans="1:34" s="809" customFormat="1" ht="15.75" customHeight="1">
      <c r="A34" s="1824" t="s">
        <v>526</v>
      </c>
      <c r="B34" s="1824"/>
      <c r="C34" s="1824"/>
      <c r="D34" s="1858" t="s">
        <v>937</v>
      </c>
      <c r="E34" s="1825"/>
      <c r="F34" s="1825"/>
      <c r="G34" s="1825"/>
      <c r="H34" s="1825"/>
      <c r="I34" s="1825"/>
      <c r="J34" s="1825"/>
      <c r="K34" s="1825"/>
      <c r="L34" s="1825"/>
      <c r="M34" s="1825"/>
      <c r="N34" s="1825"/>
      <c r="O34" s="1825"/>
      <c r="P34" s="1825"/>
      <c r="Q34" s="1825"/>
      <c r="R34" s="1825"/>
      <c r="S34" s="1825"/>
      <c r="T34" s="1825"/>
      <c r="U34" s="1825"/>
      <c r="V34" s="1825"/>
      <c r="W34" s="1825"/>
      <c r="X34" s="1141">
        <v>9703164</v>
      </c>
      <c r="Y34" s="1141"/>
      <c r="Z34" s="1153"/>
      <c r="AA34" s="1141"/>
      <c r="AB34" s="1141"/>
      <c r="AC34" s="1153"/>
      <c r="AD34" s="1823">
        <f t="shared" si="0"/>
        <v>9703164</v>
      </c>
      <c r="AE34" s="1823"/>
      <c r="AF34" s="1823"/>
      <c r="AG34" s="1823"/>
      <c r="AH34" s="1823"/>
    </row>
    <row r="35" spans="1:34" s="809" customFormat="1" ht="15.75" customHeight="1">
      <c r="A35" s="1866" t="s">
        <v>522</v>
      </c>
      <c r="B35" s="1866"/>
      <c r="C35" s="1866"/>
      <c r="D35" s="1867" t="s">
        <v>936</v>
      </c>
      <c r="E35" s="1867"/>
      <c r="F35" s="1867"/>
      <c r="G35" s="1867"/>
      <c r="H35" s="1867"/>
      <c r="I35" s="1867"/>
      <c r="J35" s="1867"/>
      <c r="K35" s="1867"/>
      <c r="L35" s="1867"/>
      <c r="M35" s="1867"/>
      <c r="N35" s="1867"/>
      <c r="O35" s="1867"/>
      <c r="P35" s="1867"/>
      <c r="Q35" s="1867"/>
      <c r="R35" s="1867"/>
      <c r="S35" s="1867"/>
      <c r="T35" s="1867"/>
      <c r="U35" s="1867"/>
      <c r="V35" s="1867"/>
      <c r="W35" s="1867"/>
      <c r="X35" s="1142">
        <f aca="true" t="shared" si="7" ref="X35:AC35">SUM(X30:X34)</f>
        <v>21480796</v>
      </c>
      <c r="Y35" s="1142">
        <f t="shared" si="7"/>
        <v>1643</v>
      </c>
      <c r="Z35" s="1142">
        <f t="shared" si="7"/>
        <v>2448</v>
      </c>
      <c r="AA35" s="1142">
        <f t="shared" si="7"/>
        <v>398</v>
      </c>
      <c r="AB35" s="1142">
        <f t="shared" si="7"/>
        <v>240</v>
      </c>
      <c r="AC35" s="1142">
        <f t="shared" si="7"/>
        <v>220</v>
      </c>
      <c r="AD35" s="1823">
        <v>61478</v>
      </c>
      <c r="AE35" s="1823"/>
      <c r="AF35" s="1823"/>
      <c r="AG35" s="1823"/>
      <c r="AH35" s="1823"/>
    </row>
    <row r="36" spans="1:34" s="809" customFormat="1" ht="15.75" customHeight="1">
      <c r="A36" s="1824" t="s">
        <v>531</v>
      </c>
      <c r="B36" s="1824"/>
      <c r="C36" s="1824"/>
      <c r="D36" s="1825" t="s">
        <v>935</v>
      </c>
      <c r="E36" s="1825"/>
      <c r="F36" s="1825"/>
      <c r="G36" s="1825"/>
      <c r="H36" s="1825"/>
      <c r="I36" s="1825"/>
      <c r="J36" s="1825"/>
      <c r="K36" s="1825"/>
      <c r="L36" s="1825"/>
      <c r="M36" s="1825"/>
      <c r="N36" s="1825"/>
      <c r="O36" s="1825"/>
      <c r="P36" s="1825"/>
      <c r="Q36" s="1825"/>
      <c r="R36" s="1825"/>
      <c r="S36" s="1825"/>
      <c r="T36" s="1825"/>
      <c r="U36" s="1825"/>
      <c r="V36" s="1825"/>
      <c r="W36" s="1825"/>
      <c r="X36" s="1141">
        <v>0</v>
      </c>
      <c r="Y36" s="1141"/>
      <c r="Z36" s="1153"/>
      <c r="AA36" s="1141"/>
      <c r="AB36" s="1141">
        <v>0</v>
      </c>
      <c r="AC36" s="1153"/>
      <c r="AD36" s="1823">
        <f t="shared" si="0"/>
        <v>0</v>
      </c>
      <c r="AE36" s="1823"/>
      <c r="AF36" s="1823"/>
      <c r="AG36" s="1823"/>
      <c r="AH36" s="1823"/>
    </row>
    <row r="37" spans="1:34" s="809" customFormat="1" ht="25.5" customHeight="1">
      <c r="A37" s="1824" t="s">
        <v>532</v>
      </c>
      <c r="B37" s="1824"/>
      <c r="C37" s="1824"/>
      <c r="D37" s="1825" t="s">
        <v>934</v>
      </c>
      <c r="E37" s="1825"/>
      <c r="F37" s="1825"/>
      <c r="G37" s="1825"/>
      <c r="H37" s="1825"/>
      <c r="I37" s="1825"/>
      <c r="J37" s="1825"/>
      <c r="K37" s="1825"/>
      <c r="L37" s="1825"/>
      <c r="M37" s="1825"/>
      <c r="N37" s="1825"/>
      <c r="O37" s="1825"/>
      <c r="P37" s="1825"/>
      <c r="Q37" s="1825"/>
      <c r="R37" s="1825"/>
      <c r="S37" s="1825"/>
      <c r="T37" s="1825"/>
      <c r="U37" s="1825"/>
      <c r="V37" s="1825"/>
      <c r="W37" s="1825"/>
      <c r="X37" s="1141">
        <v>0</v>
      </c>
      <c r="Y37" s="1141"/>
      <c r="Z37" s="1153"/>
      <c r="AA37" s="1141"/>
      <c r="AB37" s="1141"/>
      <c r="AC37" s="1153"/>
      <c r="AD37" s="1823">
        <f>SUM(X37:AC37)</f>
        <v>0</v>
      </c>
      <c r="AE37" s="1823"/>
      <c r="AF37" s="1823"/>
      <c r="AG37" s="1823"/>
      <c r="AH37" s="1823"/>
    </row>
    <row r="38" spans="1:34" s="808" customFormat="1" ht="15.75" customHeight="1">
      <c r="A38" s="1824" t="s">
        <v>681</v>
      </c>
      <c r="B38" s="1824"/>
      <c r="C38" s="1824"/>
      <c r="D38" s="1825" t="s">
        <v>933</v>
      </c>
      <c r="E38" s="1825"/>
      <c r="F38" s="1825"/>
      <c r="G38" s="1825"/>
      <c r="H38" s="1825"/>
      <c r="I38" s="1825"/>
      <c r="J38" s="1825"/>
      <c r="K38" s="1825"/>
      <c r="L38" s="1825"/>
      <c r="M38" s="1825"/>
      <c r="N38" s="1825"/>
      <c r="O38" s="1825"/>
      <c r="P38" s="1825"/>
      <c r="Q38" s="1825"/>
      <c r="R38" s="1825"/>
      <c r="S38" s="1825"/>
      <c r="T38" s="1825"/>
      <c r="U38" s="1825"/>
      <c r="V38" s="1825"/>
      <c r="W38" s="1825"/>
      <c r="X38" s="1141">
        <v>1107837</v>
      </c>
      <c r="Y38" s="1141"/>
      <c r="Z38" s="1153"/>
      <c r="AA38" s="1141"/>
      <c r="AB38" s="1141"/>
      <c r="AC38" s="1153"/>
      <c r="AD38" s="1823">
        <f t="shared" si="0"/>
        <v>1107837</v>
      </c>
      <c r="AE38" s="1823"/>
      <c r="AF38" s="1823"/>
      <c r="AG38" s="1823"/>
      <c r="AH38" s="1823"/>
    </row>
    <row r="39" spans="1:34" s="808" customFormat="1" ht="15.75" customHeight="1">
      <c r="A39" s="1852" t="s">
        <v>680</v>
      </c>
      <c r="B39" s="1853"/>
      <c r="C39" s="1854"/>
      <c r="D39" s="1855" t="s">
        <v>525</v>
      </c>
      <c r="E39" s="1856"/>
      <c r="F39" s="1856"/>
      <c r="G39" s="1856"/>
      <c r="H39" s="1856"/>
      <c r="I39" s="1856"/>
      <c r="J39" s="1856"/>
      <c r="K39" s="1856"/>
      <c r="L39" s="1856"/>
      <c r="M39" s="1856"/>
      <c r="N39" s="1856"/>
      <c r="O39" s="1856"/>
      <c r="P39" s="1856"/>
      <c r="Q39" s="1856"/>
      <c r="R39" s="1856"/>
      <c r="S39" s="1856"/>
      <c r="T39" s="1856"/>
      <c r="U39" s="1856"/>
      <c r="V39" s="1856"/>
      <c r="W39" s="1857"/>
      <c r="X39" s="1141">
        <v>283138</v>
      </c>
      <c r="Y39" s="1141">
        <v>0</v>
      </c>
      <c r="Z39" s="1153"/>
      <c r="AA39" s="1141"/>
      <c r="AB39" s="1141"/>
      <c r="AC39" s="1153"/>
      <c r="AD39" s="1823">
        <f t="shared" si="0"/>
        <v>283138</v>
      </c>
      <c r="AE39" s="1823"/>
      <c r="AF39" s="1823"/>
      <c r="AG39" s="1823"/>
      <c r="AH39" s="1823"/>
    </row>
    <row r="40" spans="1:34" s="808" customFormat="1" ht="15.75" customHeight="1">
      <c r="A40" s="1824" t="s">
        <v>679</v>
      </c>
      <c r="B40" s="1824"/>
      <c r="C40" s="1824"/>
      <c r="D40" s="1858" t="s">
        <v>932</v>
      </c>
      <c r="E40" s="1825"/>
      <c r="F40" s="1825"/>
      <c r="G40" s="1825"/>
      <c r="H40" s="1825"/>
      <c r="I40" s="1825"/>
      <c r="J40" s="1825"/>
      <c r="K40" s="1825"/>
      <c r="L40" s="1825"/>
      <c r="M40" s="1825"/>
      <c r="N40" s="1825"/>
      <c r="O40" s="1825"/>
      <c r="P40" s="1825"/>
      <c r="Q40" s="1825"/>
      <c r="R40" s="1825"/>
      <c r="S40" s="1825"/>
      <c r="T40" s="1825"/>
      <c r="U40" s="1825"/>
      <c r="V40" s="1825"/>
      <c r="W40" s="1825"/>
      <c r="X40" s="1141">
        <v>0</v>
      </c>
      <c r="Y40" s="1141"/>
      <c r="Z40" s="1153">
        <v>398</v>
      </c>
      <c r="AA40" s="1141"/>
      <c r="AB40" s="1141"/>
      <c r="AC40" s="1153"/>
      <c r="AD40" s="1823">
        <f t="shared" si="0"/>
        <v>398</v>
      </c>
      <c r="AE40" s="1823"/>
      <c r="AF40" s="1823"/>
      <c r="AG40" s="1823"/>
      <c r="AH40" s="1823"/>
    </row>
    <row r="41" spans="1:34" s="808" customFormat="1" ht="15.75" customHeight="1">
      <c r="A41" s="1838" t="s">
        <v>527</v>
      </c>
      <c r="B41" s="1838"/>
      <c r="C41" s="1838"/>
      <c r="D41" s="1859" t="s">
        <v>931</v>
      </c>
      <c r="E41" s="1859"/>
      <c r="F41" s="1859"/>
      <c r="G41" s="1859"/>
      <c r="H41" s="1859"/>
      <c r="I41" s="1859"/>
      <c r="J41" s="1859"/>
      <c r="K41" s="1859"/>
      <c r="L41" s="1859"/>
      <c r="M41" s="1859"/>
      <c r="N41" s="1859"/>
      <c r="O41" s="1859"/>
      <c r="P41" s="1859"/>
      <c r="Q41" s="1859"/>
      <c r="R41" s="1859"/>
      <c r="S41" s="1859"/>
      <c r="T41" s="1859"/>
      <c r="U41" s="1859"/>
      <c r="V41" s="1859"/>
      <c r="W41" s="1859"/>
      <c r="X41" s="1143">
        <f aca="true" t="shared" si="8" ref="X41:AC41">SUM(X36:X40)</f>
        <v>1390975</v>
      </c>
      <c r="Y41" s="1143">
        <f t="shared" si="8"/>
        <v>0</v>
      </c>
      <c r="Z41" s="1143">
        <f t="shared" si="8"/>
        <v>398</v>
      </c>
      <c r="AA41" s="1143">
        <f t="shared" si="8"/>
        <v>0</v>
      </c>
      <c r="AB41" s="1143">
        <f t="shared" si="8"/>
        <v>0</v>
      </c>
      <c r="AC41" s="1143">
        <f t="shared" si="8"/>
        <v>0</v>
      </c>
      <c r="AD41" s="1823">
        <v>5</v>
      </c>
      <c r="AE41" s="1823"/>
      <c r="AF41" s="1823"/>
      <c r="AG41" s="1823"/>
      <c r="AH41" s="1823"/>
    </row>
    <row r="42" spans="1:34" s="1013" customFormat="1" ht="15.75" customHeight="1">
      <c r="A42" s="1849" t="s">
        <v>528</v>
      </c>
      <c r="B42" s="1849"/>
      <c r="C42" s="1849"/>
      <c r="D42" s="1850" t="s">
        <v>529</v>
      </c>
      <c r="E42" s="1850"/>
      <c r="F42" s="1850"/>
      <c r="G42" s="1850"/>
      <c r="H42" s="1850"/>
      <c r="I42" s="1850"/>
      <c r="J42" s="1850"/>
      <c r="K42" s="1850"/>
      <c r="L42" s="1850"/>
      <c r="M42" s="1850"/>
      <c r="N42" s="1850"/>
      <c r="O42" s="1850"/>
      <c r="P42" s="1850"/>
      <c r="Q42" s="1850"/>
      <c r="R42" s="1850"/>
      <c r="S42" s="1850"/>
      <c r="T42" s="1850"/>
      <c r="U42" s="1850"/>
      <c r="V42" s="1850"/>
      <c r="W42" s="1850"/>
      <c r="X42" s="1140">
        <f aca="true" t="shared" si="9" ref="X42:AC42">X35-X41</f>
        <v>20089821</v>
      </c>
      <c r="Y42" s="1140">
        <f t="shared" si="9"/>
        <v>1643</v>
      </c>
      <c r="Z42" s="1152">
        <f t="shared" si="9"/>
        <v>2050</v>
      </c>
      <c r="AA42" s="1140">
        <f t="shared" si="9"/>
        <v>398</v>
      </c>
      <c r="AB42" s="1140">
        <f t="shared" si="9"/>
        <v>240</v>
      </c>
      <c r="AC42" s="1152">
        <f t="shared" si="9"/>
        <v>220</v>
      </c>
      <c r="AD42" s="1851">
        <f t="shared" si="0"/>
        <v>20094372</v>
      </c>
      <c r="AE42" s="1851"/>
      <c r="AF42" s="1851"/>
      <c r="AG42" s="1851"/>
      <c r="AH42" s="1851"/>
    </row>
    <row r="43" spans="1:34" s="1013" customFormat="1" ht="15.75" customHeight="1">
      <c r="A43" s="1849" t="s">
        <v>530</v>
      </c>
      <c r="B43" s="1849"/>
      <c r="C43" s="1849"/>
      <c r="D43" s="1850" t="s">
        <v>930</v>
      </c>
      <c r="E43" s="1850"/>
      <c r="F43" s="1850"/>
      <c r="G43" s="1850"/>
      <c r="H43" s="1850"/>
      <c r="I43" s="1850"/>
      <c r="J43" s="1850"/>
      <c r="K43" s="1850"/>
      <c r="L43" s="1850"/>
      <c r="M43" s="1850"/>
      <c r="N43" s="1850"/>
      <c r="O43" s="1850"/>
      <c r="P43" s="1850"/>
      <c r="Q43" s="1850"/>
      <c r="R43" s="1850"/>
      <c r="S43" s="1850"/>
      <c r="T43" s="1850"/>
      <c r="U43" s="1850"/>
      <c r="V43" s="1850"/>
      <c r="W43" s="1850"/>
      <c r="X43" s="1140">
        <f aca="true" t="shared" si="10" ref="X43:AC43">X29+X42</f>
        <v>2660860822</v>
      </c>
      <c r="Y43" s="1140">
        <f t="shared" si="10"/>
        <v>-19167447</v>
      </c>
      <c r="Z43" s="1152">
        <f t="shared" si="10"/>
        <v>-16763720</v>
      </c>
      <c r="AA43" s="1140">
        <f t="shared" si="10"/>
        <v>-14580506</v>
      </c>
      <c r="AB43" s="1140">
        <f t="shared" si="10"/>
        <v>-2655134</v>
      </c>
      <c r="AC43" s="1152">
        <f t="shared" si="10"/>
        <v>-201467</v>
      </c>
      <c r="AD43" s="1851">
        <f t="shared" si="0"/>
        <v>2607492548</v>
      </c>
      <c r="AE43" s="1851"/>
      <c r="AF43" s="1851"/>
      <c r="AG43" s="1851"/>
      <c r="AH43" s="1851"/>
    </row>
    <row r="44" spans="4:29" ht="12.75">
      <c r="D44" s="805"/>
      <c r="E44" s="805"/>
      <c r="F44" s="805"/>
      <c r="G44" s="805"/>
      <c r="H44" s="805"/>
      <c r="I44" s="805"/>
      <c r="J44" s="805"/>
      <c r="K44" s="805"/>
      <c r="L44" s="805"/>
      <c r="M44" s="805"/>
      <c r="N44" s="805"/>
      <c r="O44" s="805"/>
      <c r="P44" s="805"/>
      <c r="Q44" s="805"/>
      <c r="R44" s="805"/>
      <c r="S44" s="805"/>
      <c r="T44" s="805"/>
      <c r="U44" s="805"/>
      <c r="V44" s="805"/>
      <c r="W44" s="805"/>
      <c r="X44" s="1144"/>
      <c r="Y44" s="1144"/>
      <c r="Z44" s="1154"/>
      <c r="AA44" s="1144"/>
      <c r="AB44" s="1144"/>
      <c r="AC44" s="1154"/>
    </row>
    <row r="45" spans="4:29" ht="12.75">
      <c r="D45" s="805"/>
      <c r="E45" s="805"/>
      <c r="F45" s="805"/>
      <c r="G45" s="805"/>
      <c r="H45" s="805"/>
      <c r="I45" s="805"/>
      <c r="J45" s="805"/>
      <c r="K45" s="805"/>
      <c r="L45" s="805"/>
      <c r="M45" s="805"/>
      <c r="N45" s="805"/>
      <c r="O45" s="805"/>
      <c r="P45" s="805"/>
      <c r="Q45" s="805"/>
      <c r="R45" s="805"/>
      <c r="S45" s="805"/>
      <c r="T45" s="805"/>
      <c r="U45" s="805"/>
      <c r="V45" s="805"/>
      <c r="W45" s="805"/>
      <c r="X45" s="1144"/>
      <c r="Y45" s="1144"/>
      <c r="Z45" s="1154"/>
      <c r="AA45" s="1144"/>
      <c r="AB45" s="1144"/>
      <c r="AC45" s="1154"/>
    </row>
  </sheetData>
  <sheetProtection/>
  <mergeCells count="126">
    <mergeCell ref="Z1:AH1"/>
    <mergeCell ref="Z4:Z5"/>
    <mergeCell ref="AA4:AA5"/>
    <mergeCell ref="A40:C40"/>
    <mergeCell ref="D40:W40"/>
    <mergeCell ref="A35:C35"/>
    <mergeCell ref="D35:W35"/>
    <mergeCell ref="X4:X5"/>
    <mergeCell ref="Y4:Y5"/>
    <mergeCell ref="A30:C30"/>
    <mergeCell ref="D30:W30"/>
    <mergeCell ref="A43:C43"/>
    <mergeCell ref="D43:W43"/>
    <mergeCell ref="AD43:AH43"/>
    <mergeCell ref="AB4:AB5"/>
    <mergeCell ref="AC4:AC5"/>
    <mergeCell ref="A42:C42"/>
    <mergeCell ref="D42:W42"/>
    <mergeCell ref="AD42:AH42"/>
    <mergeCell ref="A4:C5"/>
    <mergeCell ref="D4:W5"/>
    <mergeCell ref="AD40:AH40"/>
    <mergeCell ref="A41:C41"/>
    <mergeCell ref="D41:W41"/>
    <mergeCell ref="AD41:AH41"/>
    <mergeCell ref="A38:C38"/>
    <mergeCell ref="D38:W38"/>
    <mergeCell ref="AD38:AH38"/>
    <mergeCell ref="A39:C39"/>
    <mergeCell ref="D39:W39"/>
    <mergeCell ref="AD39:AH39"/>
    <mergeCell ref="AD35:AH35"/>
    <mergeCell ref="A36:C36"/>
    <mergeCell ref="D36:W36"/>
    <mergeCell ref="AD36:AH36"/>
    <mergeCell ref="A33:C33"/>
    <mergeCell ref="D33:W33"/>
    <mergeCell ref="AD33:AH33"/>
    <mergeCell ref="A34:C34"/>
    <mergeCell ref="D34:W34"/>
    <mergeCell ref="AD34:AH34"/>
    <mergeCell ref="AD30:AH30"/>
    <mergeCell ref="A32:C32"/>
    <mergeCell ref="D32:W32"/>
    <mergeCell ref="AD32:AH32"/>
    <mergeCell ref="A31:C31"/>
    <mergeCell ref="D31:W31"/>
    <mergeCell ref="AD31:AH31"/>
    <mergeCell ref="A28:C28"/>
    <mergeCell ref="D28:W28"/>
    <mergeCell ref="AD28:AH28"/>
    <mergeCell ref="A29:C29"/>
    <mergeCell ref="D29:W29"/>
    <mergeCell ref="AD29:AH29"/>
    <mergeCell ref="A26:C26"/>
    <mergeCell ref="D26:W26"/>
    <mergeCell ref="AD26:AH26"/>
    <mergeCell ref="A27:C27"/>
    <mergeCell ref="D27:W27"/>
    <mergeCell ref="AD27:AH27"/>
    <mergeCell ref="A24:C24"/>
    <mergeCell ref="D24:W24"/>
    <mergeCell ref="AD24:AH24"/>
    <mergeCell ref="A25:C25"/>
    <mergeCell ref="D25:W25"/>
    <mergeCell ref="AD25:AH25"/>
    <mergeCell ref="A22:C22"/>
    <mergeCell ref="D22:W22"/>
    <mergeCell ref="AD22:AH22"/>
    <mergeCell ref="A23:C23"/>
    <mergeCell ref="D23:W23"/>
    <mergeCell ref="AD23:AH23"/>
    <mergeCell ref="A20:C20"/>
    <mergeCell ref="D20:W20"/>
    <mergeCell ref="AD20:AH20"/>
    <mergeCell ref="A21:C21"/>
    <mergeCell ref="D21:W21"/>
    <mergeCell ref="AD21:AH21"/>
    <mergeCell ref="A18:C18"/>
    <mergeCell ref="D18:W18"/>
    <mergeCell ref="AD18:AH18"/>
    <mergeCell ref="A19:C19"/>
    <mergeCell ref="D19:W19"/>
    <mergeCell ref="AD19:AH19"/>
    <mergeCell ref="A17:C17"/>
    <mergeCell ref="D17:W17"/>
    <mergeCell ref="AD17:AH17"/>
    <mergeCell ref="D16:W16"/>
    <mergeCell ref="A16:C16"/>
    <mergeCell ref="AD16:AH16"/>
    <mergeCell ref="A14:C14"/>
    <mergeCell ref="D14:W14"/>
    <mergeCell ref="AD14:AH14"/>
    <mergeCell ref="A15:C15"/>
    <mergeCell ref="D15:W15"/>
    <mergeCell ref="AD15:AH15"/>
    <mergeCell ref="A12:C12"/>
    <mergeCell ref="D12:W12"/>
    <mergeCell ref="AD12:AH12"/>
    <mergeCell ref="A13:C13"/>
    <mergeCell ref="D13:W13"/>
    <mergeCell ref="AD13:AH13"/>
    <mergeCell ref="A10:C10"/>
    <mergeCell ref="D10:W10"/>
    <mergeCell ref="AD10:AH10"/>
    <mergeCell ref="A11:C11"/>
    <mergeCell ref="D11:W11"/>
    <mergeCell ref="AD11:AH11"/>
    <mergeCell ref="D7:W7"/>
    <mergeCell ref="AD7:AH7"/>
    <mergeCell ref="A8:C8"/>
    <mergeCell ref="D8:W8"/>
    <mergeCell ref="AD8:AH8"/>
    <mergeCell ref="A9:C9"/>
    <mergeCell ref="D9:W9"/>
    <mergeCell ref="AD9:AH9"/>
    <mergeCell ref="AD37:AH37"/>
    <mergeCell ref="A37:C37"/>
    <mergeCell ref="D37:W37"/>
    <mergeCell ref="A2:AH2"/>
    <mergeCell ref="A3:AH3"/>
    <mergeCell ref="AD4:AH5"/>
    <mergeCell ref="A6:C6"/>
    <mergeCell ref="D6:W6"/>
    <mergeCell ref="AD6:AH6"/>
    <mergeCell ref="A7:C7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BA48"/>
  <sheetViews>
    <sheetView view="pageBreakPreview" zoomScaleSheetLayoutView="100" zoomScalePageLayoutView="0" workbookViewId="0" topLeftCell="A1">
      <selection activeCell="Z1" sqref="Z1:AH1"/>
    </sheetView>
  </sheetViews>
  <sheetFormatPr defaultColWidth="9.00390625" defaultRowHeight="12.75"/>
  <cols>
    <col min="1" max="2" width="2.75390625" style="811" customWidth="1"/>
    <col min="3" max="3" width="3.625" style="811" customWidth="1"/>
    <col min="4" max="20" width="2.75390625" style="811" customWidth="1"/>
    <col min="21" max="21" width="8.125" style="811" customWidth="1"/>
    <col min="22" max="22" width="4.875" style="811" customWidth="1"/>
    <col min="23" max="23" width="6.75390625" style="811" customWidth="1"/>
    <col min="24" max="24" width="13.875" style="1145" customWidth="1"/>
    <col min="25" max="25" width="13.00390625" style="1145" customWidth="1"/>
    <col min="26" max="26" width="17.375" style="1155" customWidth="1"/>
    <col min="27" max="27" width="11.375" style="1145" customWidth="1"/>
    <col min="28" max="28" width="12.00390625" style="1145" customWidth="1"/>
    <col min="29" max="29" width="13.875" style="1155" customWidth="1"/>
    <col min="30" max="30" width="2.875" style="812" customWidth="1"/>
    <col min="31" max="32" width="1.75390625" style="812" customWidth="1"/>
    <col min="33" max="33" width="1.875" style="812" customWidth="1"/>
    <col min="34" max="34" width="6.125" style="812" customWidth="1"/>
    <col min="35" max="41" width="2.75390625" style="811" customWidth="1"/>
    <col min="42" max="16384" width="9.125" style="811" customWidth="1"/>
  </cols>
  <sheetData>
    <row r="1" spans="26:34" ht="12.75">
      <c r="Z1" s="1946" t="s">
        <v>1089</v>
      </c>
      <c r="AA1" s="1946"/>
      <c r="AB1" s="1946"/>
      <c r="AC1" s="1946"/>
      <c r="AD1" s="1946"/>
      <c r="AE1" s="1946"/>
      <c r="AF1" s="1946"/>
      <c r="AG1" s="1946"/>
      <c r="AH1" s="1946"/>
    </row>
    <row r="2" spans="1:34" s="805" customFormat="1" ht="32.25" customHeight="1">
      <c r="A2" s="1826"/>
      <c r="B2" s="1827"/>
      <c r="C2" s="1827"/>
      <c r="D2" s="1827"/>
      <c r="E2" s="1827"/>
      <c r="F2" s="1827"/>
      <c r="G2" s="1827"/>
      <c r="H2" s="1827"/>
      <c r="I2" s="1827"/>
      <c r="J2" s="1827"/>
      <c r="K2" s="1827"/>
      <c r="L2" s="1827"/>
      <c r="M2" s="1827"/>
      <c r="N2" s="1827"/>
      <c r="O2" s="1827"/>
      <c r="P2" s="1827"/>
      <c r="Q2" s="1827"/>
      <c r="R2" s="1827"/>
      <c r="S2" s="1827"/>
      <c r="T2" s="1827"/>
      <c r="U2" s="1827"/>
      <c r="V2" s="1827"/>
      <c r="W2" s="1827"/>
      <c r="X2" s="1827"/>
      <c r="Y2" s="1827"/>
      <c r="Z2" s="1827"/>
      <c r="AA2" s="1827"/>
      <c r="AB2" s="1827"/>
      <c r="AC2" s="1827"/>
      <c r="AD2" s="1827"/>
      <c r="AE2" s="1827"/>
      <c r="AF2" s="1827"/>
      <c r="AG2" s="1827"/>
      <c r="AH2" s="1827"/>
    </row>
    <row r="3" spans="1:53" s="805" customFormat="1" ht="12.75" customHeight="1">
      <c r="A3" s="1828" t="s">
        <v>540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828"/>
      <c r="M3" s="1828"/>
      <c r="N3" s="1828"/>
      <c r="O3" s="1828"/>
      <c r="P3" s="1828"/>
      <c r="Q3" s="1828"/>
      <c r="R3" s="1828"/>
      <c r="S3" s="1828"/>
      <c r="T3" s="1828"/>
      <c r="U3" s="1828"/>
      <c r="V3" s="1828"/>
      <c r="W3" s="1828"/>
      <c r="X3" s="1828"/>
      <c r="Y3" s="1828"/>
      <c r="Z3" s="1828"/>
      <c r="AA3" s="1828"/>
      <c r="AB3" s="1828"/>
      <c r="AC3" s="1828"/>
      <c r="AD3" s="1828"/>
      <c r="AE3" s="1828"/>
      <c r="AF3" s="1828"/>
      <c r="AG3" s="1828"/>
      <c r="AH3" s="1828"/>
      <c r="AM3" s="806"/>
      <c r="AN3" s="806"/>
      <c r="AO3" s="806"/>
      <c r="AP3" s="806"/>
      <c r="AQ3" s="806"/>
      <c r="AR3" s="806"/>
      <c r="AS3" s="806"/>
      <c r="AT3" s="806"/>
      <c r="AU3" s="806"/>
      <c r="AV3" s="806"/>
      <c r="AW3" s="806"/>
      <c r="AX3" s="806"/>
      <c r="AY3" s="806"/>
      <c r="AZ3" s="806"/>
      <c r="BA3" s="806"/>
    </row>
    <row r="4" spans="1:34" s="805" customFormat="1" ht="27.75" customHeight="1">
      <c r="A4" s="1860" t="s">
        <v>485</v>
      </c>
      <c r="B4" s="1861"/>
      <c r="C4" s="1861"/>
      <c r="D4" s="1860" t="s">
        <v>486</v>
      </c>
      <c r="E4" s="1861"/>
      <c r="F4" s="1861"/>
      <c r="G4" s="1861"/>
      <c r="H4" s="1861"/>
      <c r="I4" s="1861"/>
      <c r="J4" s="1861"/>
      <c r="K4" s="1861"/>
      <c r="L4" s="1861"/>
      <c r="M4" s="1861"/>
      <c r="N4" s="1861"/>
      <c r="O4" s="1861"/>
      <c r="P4" s="1861"/>
      <c r="Q4" s="1861"/>
      <c r="R4" s="1861"/>
      <c r="S4" s="1861"/>
      <c r="T4" s="1861"/>
      <c r="U4" s="1861"/>
      <c r="V4" s="1861"/>
      <c r="W4" s="1864"/>
      <c r="X4" s="1775" t="s">
        <v>333</v>
      </c>
      <c r="Y4" s="1775" t="s">
        <v>534</v>
      </c>
      <c r="Z4" s="1775" t="s">
        <v>159</v>
      </c>
      <c r="AA4" s="1775" t="s">
        <v>160</v>
      </c>
      <c r="AB4" s="1775" t="s">
        <v>60</v>
      </c>
      <c r="AC4" s="1775" t="s">
        <v>334</v>
      </c>
      <c r="AD4" s="1829" t="s">
        <v>533</v>
      </c>
      <c r="AE4" s="1830"/>
      <c r="AF4" s="1830"/>
      <c r="AG4" s="1830"/>
      <c r="AH4" s="1831"/>
    </row>
    <row r="5" spans="1:34" s="807" customFormat="1" ht="17.25" customHeight="1">
      <c r="A5" s="1862"/>
      <c r="B5" s="1863"/>
      <c r="C5" s="1863"/>
      <c r="D5" s="1862"/>
      <c r="E5" s="1863"/>
      <c r="F5" s="1863"/>
      <c r="G5" s="1863"/>
      <c r="H5" s="1863"/>
      <c r="I5" s="1863"/>
      <c r="J5" s="1863"/>
      <c r="K5" s="1863"/>
      <c r="L5" s="1863"/>
      <c r="M5" s="1863"/>
      <c r="N5" s="1863"/>
      <c r="O5" s="1863"/>
      <c r="P5" s="1863"/>
      <c r="Q5" s="1863"/>
      <c r="R5" s="1863"/>
      <c r="S5" s="1863"/>
      <c r="T5" s="1863"/>
      <c r="U5" s="1863"/>
      <c r="V5" s="1863"/>
      <c r="W5" s="1865"/>
      <c r="X5" s="1775"/>
      <c r="Y5" s="1775"/>
      <c r="Z5" s="1775"/>
      <c r="AA5" s="1775"/>
      <c r="AB5" s="1775"/>
      <c r="AC5" s="1775"/>
      <c r="AD5" s="1832"/>
      <c r="AE5" s="1833"/>
      <c r="AF5" s="1833"/>
      <c r="AG5" s="1833"/>
      <c r="AH5" s="1834"/>
    </row>
    <row r="6" spans="1:34" s="808" customFormat="1" ht="15.75" customHeight="1">
      <c r="A6" s="1835" t="s">
        <v>335</v>
      </c>
      <c r="B6" s="1835"/>
      <c r="C6" s="1835"/>
      <c r="D6" s="1836" t="s">
        <v>487</v>
      </c>
      <c r="E6" s="1836"/>
      <c r="F6" s="1836"/>
      <c r="G6" s="1836"/>
      <c r="H6" s="1836"/>
      <c r="I6" s="1836"/>
      <c r="J6" s="1836"/>
      <c r="K6" s="1836"/>
      <c r="L6" s="1836"/>
      <c r="M6" s="1836"/>
      <c r="N6" s="1836"/>
      <c r="O6" s="1836"/>
      <c r="P6" s="1836"/>
      <c r="Q6" s="1836"/>
      <c r="R6" s="1836"/>
      <c r="S6" s="1836"/>
      <c r="T6" s="1836"/>
      <c r="U6" s="1836"/>
      <c r="V6" s="1836"/>
      <c r="W6" s="1836"/>
      <c r="X6" s="1134">
        <v>984076952</v>
      </c>
      <c r="Y6" s="1134">
        <v>0</v>
      </c>
      <c r="Z6" s="1146"/>
      <c r="AA6" s="1134"/>
      <c r="AB6" s="1134"/>
      <c r="AC6" s="1146"/>
      <c r="AD6" s="1823">
        <f aca="true" t="shared" si="0" ref="AD6:AD46">SUM(X6:AC6)</f>
        <v>984076952</v>
      </c>
      <c r="AE6" s="1823"/>
      <c r="AF6" s="1823"/>
      <c r="AG6" s="1823"/>
      <c r="AH6" s="1823"/>
    </row>
    <row r="7" spans="1:34" s="808" customFormat="1" ht="15.75" customHeight="1">
      <c r="A7" s="1835" t="s">
        <v>337</v>
      </c>
      <c r="B7" s="1835"/>
      <c r="C7" s="1835"/>
      <c r="D7" s="1837" t="s">
        <v>488</v>
      </c>
      <c r="E7" s="1837"/>
      <c r="F7" s="1837"/>
      <c r="G7" s="1837"/>
      <c r="H7" s="1837"/>
      <c r="I7" s="1837"/>
      <c r="J7" s="1837"/>
      <c r="K7" s="1837"/>
      <c r="L7" s="1837"/>
      <c r="M7" s="1837"/>
      <c r="N7" s="1837"/>
      <c r="O7" s="1837"/>
      <c r="P7" s="1837"/>
      <c r="Q7" s="1837"/>
      <c r="R7" s="1837"/>
      <c r="S7" s="1837"/>
      <c r="T7" s="1837"/>
      <c r="U7" s="1837"/>
      <c r="V7" s="1837"/>
      <c r="W7" s="1837"/>
      <c r="X7" s="1135">
        <v>70807819</v>
      </c>
      <c r="Y7" s="1135">
        <v>2670716</v>
      </c>
      <c r="Z7" s="1147">
        <v>53401161</v>
      </c>
      <c r="AA7" s="1135">
        <v>145389</v>
      </c>
      <c r="AB7" s="1135">
        <v>1096363</v>
      </c>
      <c r="AC7" s="1147">
        <v>3396875</v>
      </c>
      <c r="AD7" s="1823">
        <f t="shared" si="0"/>
        <v>131518323</v>
      </c>
      <c r="AE7" s="1823"/>
      <c r="AF7" s="1823"/>
      <c r="AG7" s="1823"/>
      <c r="AH7" s="1823"/>
    </row>
    <row r="8" spans="1:34" s="808" customFormat="1" ht="15.75" customHeight="1">
      <c r="A8" s="1835" t="s">
        <v>341</v>
      </c>
      <c r="B8" s="1835"/>
      <c r="C8" s="1835"/>
      <c r="D8" s="1837" t="s">
        <v>489</v>
      </c>
      <c r="E8" s="1837"/>
      <c r="F8" s="1837"/>
      <c r="G8" s="1837"/>
      <c r="H8" s="1837"/>
      <c r="I8" s="1837"/>
      <c r="J8" s="1837"/>
      <c r="K8" s="1837"/>
      <c r="L8" s="1837"/>
      <c r="M8" s="1837"/>
      <c r="N8" s="1837"/>
      <c r="O8" s="1837"/>
      <c r="P8" s="1837"/>
      <c r="Q8" s="1837"/>
      <c r="R8" s="1837"/>
      <c r="S8" s="1837"/>
      <c r="T8" s="1837"/>
      <c r="U8" s="1837"/>
      <c r="V8" s="1837"/>
      <c r="W8" s="1837"/>
      <c r="X8" s="1135">
        <v>1394361894</v>
      </c>
      <c r="Y8" s="1135"/>
      <c r="Z8" s="1147"/>
      <c r="AA8" s="1135"/>
      <c r="AB8" s="1135"/>
      <c r="AC8" s="1147"/>
      <c r="AD8" s="1823">
        <f t="shared" si="0"/>
        <v>1394361894</v>
      </c>
      <c r="AE8" s="1823"/>
      <c r="AF8" s="1823"/>
      <c r="AG8" s="1823"/>
      <c r="AH8" s="1823"/>
    </row>
    <row r="9" spans="1:34" s="808" customFormat="1" ht="15.75" customHeight="1">
      <c r="A9" s="1838" t="s">
        <v>339</v>
      </c>
      <c r="B9" s="1838"/>
      <c r="C9" s="1838"/>
      <c r="D9" s="1839" t="s">
        <v>490</v>
      </c>
      <c r="E9" s="1839"/>
      <c r="F9" s="1839"/>
      <c r="G9" s="1839"/>
      <c r="H9" s="1839"/>
      <c r="I9" s="1839"/>
      <c r="J9" s="1839"/>
      <c r="K9" s="1839"/>
      <c r="L9" s="1839"/>
      <c r="M9" s="1839"/>
      <c r="N9" s="1839"/>
      <c r="O9" s="1839"/>
      <c r="P9" s="1839"/>
      <c r="Q9" s="1839"/>
      <c r="R9" s="1839"/>
      <c r="S9" s="1839"/>
      <c r="T9" s="1839"/>
      <c r="U9" s="1839"/>
      <c r="V9" s="1839"/>
      <c r="W9" s="1839"/>
      <c r="X9" s="1136">
        <f aca="true" t="shared" si="1" ref="X9:AC9">SUM(X6:X8)</f>
        <v>2449246665</v>
      </c>
      <c r="Y9" s="1136">
        <f t="shared" si="1"/>
        <v>2670716</v>
      </c>
      <c r="Z9" s="1148">
        <f t="shared" si="1"/>
        <v>53401161</v>
      </c>
      <c r="AA9" s="1136">
        <f t="shared" si="1"/>
        <v>145389</v>
      </c>
      <c r="AB9" s="1136">
        <f t="shared" si="1"/>
        <v>1096363</v>
      </c>
      <c r="AC9" s="1148">
        <f t="shared" si="1"/>
        <v>3396875</v>
      </c>
      <c r="AD9" s="1823">
        <f t="shared" si="0"/>
        <v>2509957169</v>
      </c>
      <c r="AE9" s="1823"/>
      <c r="AF9" s="1823"/>
      <c r="AG9" s="1823"/>
      <c r="AH9" s="1823"/>
    </row>
    <row r="10" spans="1:34" s="808" customFormat="1" ht="15.75" customHeight="1">
      <c r="A10" s="1835" t="s">
        <v>343</v>
      </c>
      <c r="B10" s="1835"/>
      <c r="C10" s="1835"/>
      <c r="D10" s="1837" t="s">
        <v>491</v>
      </c>
      <c r="E10" s="1837"/>
      <c r="F10" s="1837"/>
      <c r="G10" s="1837"/>
      <c r="H10" s="1837"/>
      <c r="I10" s="1837"/>
      <c r="J10" s="1837"/>
      <c r="K10" s="1837"/>
      <c r="L10" s="1837"/>
      <c r="M10" s="1837"/>
      <c r="N10" s="1837"/>
      <c r="O10" s="1837"/>
      <c r="P10" s="1837"/>
      <c r="Q10" s="1837"/>
      <c r="R10" s="1837"/>
      <c r="S10" s="1837"/>
      <c r="T10" s="1837"/>
      <c r="U10" s="1837"/>
      <c r="V10" s="1837"/>
      <c r="W10" s="1837"/>
      <c r="X10" s="1135"/>
      <c r="Y10" s="1135"/>
      <c r="Z10" s="1147"/>
      <c r="AA10" s="1135"/>
      <c r="AB10" s="1135"/>
      <c r="AC10" s="1147"/>
      <c r="AD10" s="1823">
        <f t="shared" si="0"/>
        <v>0</v>
      </c>
      <c r="AE10" s="1823"/>
      <c r="AF10" s="1823"/>
      <c r="AG10" s="1823"/>
      <c r="AH10" s="1823"/>
    </row>
    <row r="11" spans="1:34" s="808" customFormat="1" ht="15.75" customHeight="1">
      <c r="A11" s="1835" t="s">
        <v>348</v>
      </c>
      <c r="B11" s="1835"/>
      <c r="C11" s="1835"/>
      <c r="D11" s="1837" t="s">
        <v>492</v>
      </c>
      <c r="E11" s="1840"/>
      <c r="F11" s="1840"/>
      <c r="G11" s="1840"/>
      <c r="H11" s="1840"/>
      <c r="I11" s="1840"/>
      <c r="J11" s="1840"/>
      <c r="K11" s="1840"/>
      <c r="L11" s="1840"/>
      <c r="M11" s="1840"/>
      <c r="N11" s="1840"/>
      <c r="O11" s="1840"/>
      <c r="P11" s="1840"/>
      <c r="Q11" s="1840"/>
      <c r="R11" s="1840"/>
      <c r="S11" s="1840"/>
      <c r="T11" s="1840"/>
      <c r="U11" s="1840"/>
      <c r="V11" s="1840"/>
      <c r="W11" s="1840"/>
      <c r="X11" s="1137"/>
      <c r="Y11" s="1137"/>
      <c r="Z11" s="1149"/>
      <c r="AA11" s="1137"/>
      <c r="AB11" s="1137"/>
      <c r="AC11" s="1149"/>
      <c r="AD11" s="1823">
        <f t="shared" si="0"/>
        <v>0</v>
      </c>
      <c r="AE11" s="1823"/>
      <c r="AF11" s="1823"/>
      <c r="AG11" s="1823"/>
      <c r="AH11" s="1823"/>
    </row>
    <row r="12" spans="1:34" s="808" customFormat="1" ht="15.75" customHeight="1">
      <c r="A12" s="1838" t="s">
        <v>345</v>
      </c>
      <c r="B12" s="1838"/>
      <c r="C12" s="1838"/>
      <c r="D12" s="1841" t="s">
        <v>493</v>
      </c>
      <c r="E12" s="1841"/>
      <c r="F12" s="1841"/>
      <c r="G12" s="1841"/>
      <c r="H12" s="1841"/>
      <c r="I12" s="1841"/>
      <c r="J12" s="1841"/>
      <c r="K12" s="1841"/>
      <c r="L12" s="1841"/>
      <c r="M12" s="1841"/>
      <c r="N12" s="1841"/>
      <c r="O12" s="1841"/>
      <c r="P12" s="1841"/>
      <c r="Q12" s="1841"/>
      <c r="R12" s="1841"/>
      <c r="S12" s="1841"/>
      <c r="T12" s="1841"/>
      <c r="U12" s="1841"/>
      <c r="V12" s="1841"/>
      <c r="W12" s="1841"/>
      <c r="X12" s="1138">
        <f aca="true" t="shared" si="2" ref="X12:AC12">SUM(X10:X11)</f>
        <v>0</v>
      </c>
      <c r="Y12" s="1138">
        <f t="shared" si="2"/>
        <v>0</v>
      </c>
      <c r="Z12" s="1150">
        <f t="shared" si="2"/>
        <v>0</v>
      </c>
      <c r="AA12" s="1138">
        <f t="shared" si="2"/>
        <v>0</v>
      </c>
      <c r="AB12" s="1138">
        <f t="shared" si="2"/>
        <v>0</v>
      </c>
      <c r="AC12" s="1150">
        <f t="shared" si="2"/>
        <v>0</v>
      </c>
      <c r="AD12" s="1823">
        <f t="shared" si="0"/>
        <v>0</v>
      </c>
      <c r="AE12" s="1823"/>
      <c r="AF12" s="1823"/>
      <c r="AG12" s="1823"/>
      <c r="AH12" s="1823"/>
    </row>
    <row r="13" spans="1:34" s="808" customFormat="1" ht="15.75" customHeight="1">
      <c r="A13" s="1835" t="s">
        <v>350</v>
      </c>
      <c r="B13" s="1835"/>
      <c r="C13" s="1835"/>
      <c r="D13" s="1837" t="s">
        <v>494</v>
      </c>
      <c r="E13" s="1837"/>
      <c r="F13" s="1837"/>
      <c r="G13" s="1837"/>
      <c r="H13" s="1837"/>
      <c r="I13" s="1837"/>
      <c r="J13" s="1837"/>
      <c r="K13" s="1837"/>
      <c r="L13" s="1837"/>
      <c r="M13" s="1837"/>
      <c r="N13" s="1837"/>
      <c r="O13" s="1837"/>
      <c r="P13" s="1837"/>
      <c r="Q13" s="1837"/>
      <c r="R13" s="1837"/>
      <c r="S13" s="1837"/>
      <c r="T13" s="1837"/>
      <c r="U13" s="1837"/>
      <c r="V13" s="1837"/>
      <c r="W13" s="1837"/>
      <c r="X13" s="1135">
        <v>622062101</v>
      </c>
      <c r="Y13" s="1135">
        <v>235880000</v>
      </c>
      <c r="Z13" s="1147">
        <v>107067000</v>
      </c>
      <c r="AA13" s="1135">
        <v>222885000</v>
      </c>
      <c r="AB13" s="1135">
        <v>30197000</v>
      </c>
      <c r="AC13" s="1147">
        <v>19206000</v>
      </c>
      <c r="AD13" s="1823">
        <f t="shared" si="0"/>
        <v>1237297101</v>
      </c>
      <c r="AE13" s="1823"/>
      <c r="AF13" s="1823"/>
      <c r="AG13" s="1823"/>
      <c r="AH13" s="1823"/>
    </row>
    <row r="14" spans="1:34" s="808" customFormat="1" ht="15.75" customHeight="1">
      <c r="A14" s="1835" t="s">
        <v>354</v>
      </c>
      <c r="B14" s="1835"/>
      <c r="C14" s="1835"/>
      <c r="D14" s="1837" t="s">
        <v>495</v>
      </c>
      <c r="E14" s="1837"/>
      <c r="F14" s="1837"/>
      <c r="G14" s="1837"/>
      <c r="H14" s="1837"/>
      <c r="I14" s="1837"/>
      <c r="J14" s="1837"/>
      <c r="K14" s="1837"/>
      <c r="L14" s="1837"/>
      <c r="M14" s="1837"/>
      <c r="N14" s="1837"/>
      <c r="O14" s="1837"/>
      <c r="P14" s="1837"/>
      <c r="Q14" s="1837"/>
      <c r="R14" s="1837"/>
      <c r="S14" s="1837"/>
      <c r="T14" s="1837"/>
      <c r="U14" s="1837"/>
      <c r="V14" s="1837"/>
      <c r="W14" s="1837"/>
      <c r="X14" s="1135">
        <v>297971552</v>
      </c>
      <c r="Y14" s="1135">
        <v>2237961</v>
      </c>
      <c r="Z14" s="1147">
        <v>35241300</v>
      </c>
      <c r="AA14" s="1135"/>
      <c r="AB14" s="1135"/>
      <c r="AC14" s="1147">
        <v>1075987</v>
      </c>
      <c r="AD14" s="1823">
        <f t="shared" si="0"/>
        <v>336526800</v>
      </c>
      <c r="AE14" s="1823"/>
      <c r="AF14" s="1823"/>
      <c r="AG14" s="1823"/>
      <c r="AH14" s="1823"/>
    </row>
    <row r="15" spans="1:34" s="808" customFormat="1" ht="15.75" customHeight="1">
      <c r="A15" s="1835" t="s">
        <v>356</v>
      </c>
      <c r="B15" s="1835"/>
      <c r="C15" s="1835"/>
      <c r="D15" s="1837" t="s">
        <v>496</v>
      </c>
      <c r="E15" s="1837"/>
      <c r="F15" s="1837"/>
      <c r="G15" s="1837"/>
      <c r="H15" s="1837"/>
      <c r="I15" s="1837"/>
      <c r="J15" s="1837"/>
      <c r="K15" s="1837"/>
      <c r="L15" s="1837"/>
      <c r="M15" s="1837"/>
      <c r="N15" s="1837"/>
      <c r="O15" s="1837"/>
      <c r="P15" s="1837"/>
      <c r="Q15" s="1837"/>
      <c r="R15" s="1837"/>
      <c r="S15" s="1837"/>
      <c r="T15" s="1837"/>
      <c r="U15" s="1837"/>
      <c r="V15" s="1837"/>
      <c r="W15" s="1837"/>
      <c r="X15" s="1135">
        <f>760019824+12040994</f>
        <v>772060818</v>
      </c>
      <c r="Y15" s="1135">
        <v>1027</v>
      </c>
      <c r="Z15" s="1147">
        <v>167</v>
      </c>
      <c r="AA15" s="1135">
        <v>2</v>
      </c>
      <c r="AB15" s="1135">
        <v>6</v>
      </c>
      <c r="AC15" s="1147">
        <v>94500</v>
      </c>
      <c r="AD15" s="1823">
        <f t="shared" si="0"/>
        <v>772156520</v>
      </c>
      <c r="AE15" s="1823"/>
      <c r="AF15" s="1823"/>
      <c r="AG15" s="1823"/>
      <c r="AH15" s="1823"/>
    </row>
    <row r="16" spans="1:34" s="808" customFormat="1" ht="15.75" customHeight="1">
      <c r="A16" s="1838" t="s">
        <v>352</v>
      </c>
      <c r="B16" s="1838"/>
      <c r="C16" s="1838"/>
      <c r="D16" s="1839" t="s">
        <v>966</v>
      </c>
      <c r="E16" s="1839"/>
      <c r="F16" s="1839"/>
      <c r="G16" s="1839"/>
      <c r="H16" s="1839"/>
      <c r="I16" s="1839"/>
      <c r="J16" s="1839"/>
      <c r="K16" s="1839"/>
      <c r="L16" s="1839"/>
      <c r="M16" s="1839"/>
      <c r="N16" s="1839"/>
      <c r="O16" s="1839"/>
      <c r="P16" s="1839"/>
      <c r="Q16" s="1839"/>
      <c r="R16" s="1839"/>
      <c r="S16" s="1839"/>
      <c r="T16" s="1839"/>
      <c r="U16" s="1839"/>
      <c r="V16" s="1839"/>
      <c r="W16" s="1839"/>
      <c r="X16" s="1136">
        <f aca="true" t="shared" si="3" ref="X16:AC16">SUM(X13:X15)</f>
        <v>1692094471</v>
      </c>
      <c r="Y16" s="1136">
        <f t="shared" si="3"/>
        <v>238118988</v>
      </c>
      <c r="Z16" s="1148">
        <f t="shared" si="3"/>
        <v>142308467</v>
      </c>
      <c r="AA16" s="1136">
        <f t="shared" si="3"/>
        <v>222885002</v>
      </c>
      <c r="AB16" s="1136">
        <f t="shared" si="3"/>
        <v>30197006</v>
      </c>
      <c r="AC16" s="1148">
        <f t="shared" si="3"/>
        <v>20376487</v>
      </c>
      <c r="AD16" s="1823">
        <f t="shared" si="0"/>
        <v>2345980421</v>
      </c>
      <c r="AE16" s="1823"/>
      <c r="AF16" s="1823"/>
      <c r="AG16" s="1823"/>
      <c r="AH16" s="1823"/>
    </row>
    <row r="17" spans="1:34" s="808" customFormat="1" ht="15.75" customHeight="1">
      <c r="A17" s="1835" t="s">
        <v>497</v>
      </c>
      <c r="B17" s="1835"/>
      <c r="C17" s="1835"/>
      <c r="D17" s="1837" t="s">
        <v>498</v>
      </c>
      <c r="E17" s="1837"/>
      <c r="F17" s="1837"/>
      <c r="G17" s="1837"/>
      <c r="H17" s="1837"/>
      <c r="I17" s="1837"/>
      <c r="J17" s="1837"/>
      <c r="K17" s="1837"/>
      <c r="L17" s="1837"/>
      <c r="M17" s="1837"/>
      <c r="N17" s="1837"/>
      <c r="O17" s="1837"/>
      <c r="P17" s="1837"/>
      <c r="Q17" s="1837"/>
      <c r="R17" s="1837"/>
      <c r="S17" s="1837"/>
      <c r="T17" s="1837"/>
      <c r="U17" s="1837"/>
      <c r="V17" s="1837"/>
      <c r="W17" s="1837"/>
      <c r="X17" s="1135">
        <v>15845779</v>
      </c>
      <c r="Y17" s="1135">
        <v>3030924</v>
      </c>
      <c r="Z17" s="1147">
        <v>11055926</v>
      </c>
      <c r="AA17" s="1135">
        <v>3835269</v>
      </c>
      <c r="AB17" s="1135">
        <v>4087487</v>
      </c>
      <c r="AC17" s="1147">
        <v>2084197</v>
      </c>
      <c r="AD17" s="1823">
        <f t="shared" si="0"/>
        <v>39939582</v>
      </c>
      <c r="AE17" s="1823"/>
      <c r="AF17" s="1823"/>
      <c r="AG17" s="1823"/>
      <c r="AH17" s="1823"/>
    </row>
    <row r="18" spans="1:34" s="808" customFormat="1" ht="15.75" customHeight="1">
      <c r="A18" s="1835" t="s">
        <v>499</v>
      </c>
      <c r="B18" s="1835"/>
      <c r="C18" s="1835"/>
      <c r="D18" s="1837" t="s">
        <v>500</v>
      </c>
      <c r="E18" s="1837"/>
      <c r="F18" s="1837"/>
      <c r="G18" s="1837"/>
      <c r="H18" s="1837"/>
      <c r="I18" s="1837"/>
      <c r="J18" s="1837"/>
      <c r="K18" s="1837"/>
      <c r="L18" s="1837"/>
      <c r="M18" s="1837"/>
      <c r="N18" s="1837"/>
      <c r="O18" s="1837"/>
      <c r="P18" s="1837"/>
      <c r="Q18" s="1837"/>
      <c r="R18" s="1837"/>
      <c r="S18" s="1837"/>
      <c r="T18" s="1837"/>
      <c r="U18" s="1837"/>
      <c r="V18" s="1837"/>
      <c r="W18" s="1837"/>
      <c r="X18" s="1135">
        <v>452057141</v>
      </c>
      <c r="Y18" s="1135">
        <v>17655132</v>
      </c>
      <c r="Z18" s="1147">
        <v>28822890</v>
      </c>
      <c r="AA18" s="1135">
        <v>8121565</v>
      </c>
      <c r="AB18" s="1135">
        <v>2634942</v>
      </c>
      <c r="AC18" s="1147">
        <v>3242769</v>
      </c>
      <c r="AD18" s="1823">
        <f t="shared" si="0"/>
        <v>512534439</v>
      </c>
      <c r="AE18" s="1823"/>
      <c r="AF18" s="1823"/>
      <c r="AG18" s="1823"/>
      <c r="AH18" s="1823"/>
    </row>
    <row r="19" spans="1:34" s="809" customFormat="1" ht="15.75" customHeight="1">
      <c r="A19" s="1835" t="s">
        <v>501</v>
      </c>
      <c r="B19" s="1835"/>
      <c r="C19" s="1835"/>
      <c r="D19" s="1848" t="s">
        <v>502</v>
      </c>
      <c r="E19" s="1848"/>
      <c r="F19" s="1848"/>
      <c r="G19" s="1848"/>
      <c r="H19" s="1848"/>
      <c r="I19" s="1848"/>
      <c r="J19" s="1848"/>
      <c r="K19" s="1848"/>
      <c r="L19" s="1848"/>
      <c r="M19" s="1848"/>
      <c r="N19" s="1848"/>
      <c r="O19" s="1848"/>
      <c r="P19" s="1848"/>
      <c r="Q19" s="1848"/>
      <c r="R19" s="1848"/>
      <c r="S19" s="1848"/>
      <c r="T19" s="1848"/>
      <c r="U19" s="1848"/>
      <c r="V19" s="1848"/>
      <c r="W19" s="1848"/>
      <c r="X19" s="1139"/>
      <c r="Y19" s="1139"/>
      <c r="Z19" s="1151"/>
      <c r="AA19" s="1139"/>
      <c r="AB19" s="1139"/>
      <c r="AC19" s="1151"/>
      <c r="AD19" s="1823">
        <f t="shared" si="0"/>
        <v>0</v>
      </c>
      <c r="AE19" s="1823"/>
      <c r="AF19" s="1823"/>
      <c r="AG19" s="1823"/>
      <c r="AH19" s="1823"/>
    </row>
    <row r="20" spans="1:34" s="808" customFormat="1" ht="15.75" customHeight="1">
      <c r="A20" s="1835" t="s">
        <v>503</v>
      </c>
      <c r="B20" s="1835"/>
      <c r="C20" s="1835"/>
      <c r="D20" s="1837" t="s">
        <v>504</v>
      </c>
      <c r="E20" s="1837"/>
      <c r="F20" s="1837"/>
      <c r="G20" s="1837"/>
      <c r="H20" s="1837"/>
      <c r="I20" s="1837"/>
      <c r="J20" s="1837"/>
      <c r="K20" s="1837"/>
      <c r="L20" s="1837"/>
      <c r="M20" s="1837"/>
      <c r="N20" s="1837"/>
      <c r="O20" s="1837"/>
      <c r="P20" s="1837"/>
      <c r="Q20" s="1837"/>
      <c r="R20" s="1837"/>
      <c r="S20" s="1837"/>
      <c r="T20" s="1837"/>
      <c r="U20" s="1837"/>
      <c r="V20" s="1837"/>
      <c r="W20" s="1837"/>
      <c r="X20" s="1135">
        <v>12006996</v>
      </c>
      <c r="Y20" s="1135">
        <v>1255946</v>
      </c>
      <c r="Z20" s="1147">
        <v>464792</v>
      </c>
      <c r="AA20" s="1135">
        <v>0</v>
      </c>
      <c r="AB20" s="1135">
        <v>123399</v>
      </c>
      <c r="AC20" s="1147"/>
      <c r="AD20" s="1823">
        <f t="shared" si="0"/>
        <v>13851133</v>
      </c>
      <c r="AE20" s="1823"/>
      <c r="AF20" s="1823"/>
      <c r="AG20" s="1823"/>
      <c r="AH20" s="1823"/>
    </row>
    <row r="21" spans="1:34" s="808" customFormat="1" ht="15.75" customHeight="1">
      <c r="A21" s="1838" t="s">
        <v>358</v>
      </c>
      <c r="B21" s="1838"/>
      <c r="C21" s="1838"/>
      <c r="D21" s="1839" t="s">
        <v>967</v>
      </c>
      <c r="E21" s="1839"/>
      <c r="F21" s="1839"/>
      <c r="G21" s="1839"/>
      <c r="H21" s="1839"/>
      <c r="I21" s="1839"/>
      <c r="J21" s="1839"/>
      <c r="K21" s="1839"/>
      <c r="L21" s="1839"/>
      <c r="M21" s="1839"/>
      <c r="N21" s="1839"/>
      <c r="O21" s="1839"/>
      <c r="P21" s="1839"/>
      <c r="Q21" s="1839"/>
      <c r="R21" s="1839"/>
      <c r="S21" s="1839"/>
      <c r="T21" s="1839"/>
      <c r="U21" s="1839"/>
      <c r="V21" s="1839"/>
      <c r="W21" s="1839"/>
      <c r="X21" s="1136">
        <f aca="true" t="shared" si="4" ref="X21:AC21">SUM(X17:X20)</f>
        <v>479909916</v>
      </c>
      <c r="Y21" s="1136">
        <f t="shared" si="4"/>
        <v>21942002</v>
      </c>
      <c r="Z21" s="1148">
        <f t="shared" si="4"/>
        <v>40343608</v>
      </c>
      <c r="AA21" s="1136">
        <f t="shared" si="4"/>
        <v>11956834</v>
      </c>
      <c r="AB21" s="1136">
        <f t="shared" si="4"/>
        <v>6845828</v>
      </c>
      <c r="AC21" s="1148">
        <f t="shared" si="4"/>
        <v>5326966</v>
      </c>
      <c r="AD21" s="1823">
        <f t="shared" si="0"/>
        <v>566325154</v>
      </c>
      <c r="AE21" s="1823"/>
      <c r="AF21" s="1823"/>
      <c r="AG21" s="1823"/>
      <c r="AH21" s="1823"/>
    </row>
    <row r="22" spans="1:34" s="808" customFormat="1" ht="15.75" customHeight="1">
      <c r="A22" s="1835" t="s">
        <v>505</v>
      </c>
      <c r="B22" s="1835"/>
      <c r="C22" s="1835"/>
      <c r="D22" s="1837" t="s">
        <v>506</v>
      </c>
      <c r="E22" s="1837"/>
      <c r="F22" s="1837"/>
      <c r="G22" s="1837"/>
      <c r="H22" s="1837"/>
      <c r="I22" s="1837"/>
      <c r="J22" s="1837"/>
      <c r="K22" s="1837"/>
      <c r="L22" s="1837"/>
      <c r="M22" s="1837"/>
      <c r="N22" s="1837"/>
      <c r="O22" s="1837"/>
      <c r="P22" s="1837"/>
      <c r="Q22" s="1837"/>
      <c r="R22" s="1837"/>
      <c r="S22" s="1837"/>
      <c r="T22" s="1837"/>
      <c r="U22" s="1837"/>
      <c r="V22" s="1837"/>
      <c r="W22" s="1837"/>
      <c r="X22" s="1135">
        <v>69554755</v>
      </c>
      <c r="Y22" s="1135">
        <v>120397831</v>
      </c>
      <c r="Z22" s="1147">
        <v>92623585</v>
      </c>
      <c r="AA22" s="1135">
        <v>146935517</v>
      </c>
      <c r="AB22" s="1135">
        <v>15167914</v>
      </c>
      <c r="AC22" s="1147">
        <v>12089670</v>
      </c>
      <c r="AD22" s="1823">
        <f t="shared" si="0"/>
        <v>456769272</v>
      </c>
      <c r="AE22" s="1823"/>
      <c r="AF22" s="1823"/>
      <c r="AG22" s="1823"/>
      <c r="AH22" s="1823"/>
    </row>
    <row r="23" spans="1:34" s="808" customFormat="1" ht="15.75" customHeight="1">
      <c r="A23" s="1835" t="s">
        <v>507</v>
      </c>
      <c r="B23" s="1835"/>
      <c r="C23" s="1835"/>
      <c r="D23" s="1837" t="s">
        <v>508</v>
      </c>
      <c r="E23" s="1837"/>
      <c r="F23" s="1837"/>
      <c r="G23" s="1837"/>
      <c r="H23" s="1837"/>
      <c r="I23" s="1837"/>
      <c r="J23" s="1837"/>
      <c r="K23" s="1837"/>
      <c r="L23" s="1837"/>
      <c r="M23" s="1837"/>
      <c r="N23" s="1837"/>
      <c r="O23" s="1837"/>
      <c r="P23" s="1837"/>
      <c r="Q23" s="1837"/>
      <c r="R23" s="1837"/>
      <c r="S23" s="1837"/>
      <c r="T23" s="1837"/>
      <c r="U23" s="1837"/>
      <c r="V23" s="1837"/>
      <c r="W23" s="1837"/>
      <c r="X23" s="1135">
        <v>36565173</v>
      </c>
      <c r="Y23" s="1135">
        <v>14976692</v>
      </c>
      <c r="Z23" s="1147">
        <v>8897803</v>
      </c>
      <c r="AA23" s="1135">
        <v>10130436</v>
      </c>
      <c r="AB23" s="1135">
        <v>1561190</v>
      </c>
      <c r="AC23" s="1147">
        <v>815505</v>
      </c>
      <c r="AD23" s="1823">
        <f t="shared" si="0"/>
        <v>72946799</v>
      </c>
      <c r="AE23" s="1823"/>
      <c r="AF23" s="1823"/>
      <c r="AG23" s="1823"/>
      <c r="AH23" s="1823"/>
    </row>
    <row r="24" spans="1:34" s="808" customFormat="1" ht="15.75" customHeight="1">
      <c r="A24" s="1835" t="s">
        <v>509</v>
      </c>
      <c r="B24" s="1835"/>
      <c r="C24" s="1835"/>
      <c r="D24" s="1837" t="s">
        <v>510</v>
      </c>
      <c r="E24" s="1837"/>
      <c r="F24" s="1837"/>
      <c r="G24" s="1837"/>
      <c r="H24" s="1837"/>
      <c r="I24" s="1837"/>
      <c r="J24" s="1837"/>
      <c r="K24" s="1837"/>
      <c r="L24" s="1837"/>
      <c r="M24" s="1837"/>
      <c r="N24" s="1837"/>
      <c r="O24" s="1837"/>
      <c r="P24" s="1837"/>
      <c r="Q24" s="1837"/>
      <c r="R24" s="1837"/>
      <c r="S24" s="1837"/>
      <c r="T24" s="1837"/>
      <c r="U24" s="1837"/>
      <c r="V24" s="1837"/>
      <c r="W24" s="1837"/>
      <c r="X24" s="1135">
        <v>21324102</v>
      </c>
      <c r="Y24" s="1135">
        <v>38708459</v>
      </c>
      <c r="Z24" s="1147">
        <v>28274428</v>
      </c>
      <c r="AA24" s="1135">
        <v>44444859</v>
      </c>
      <c r="AB24" s="1135">
        <v>4616658</v>
      </c>
      <c r="AC24" s="1147">
        <v>3492641</v>
      </c>
      <c r="AD24" s="1823">
        <f t="shared" si="0"/>
        <v>140861147</v>
      </c>
      <c r="AE24" s="1823"/>
      <c r="AF24" s="1823"/>
      <c r="AG24" s="1823"/>
      <c r="AH24" s="1823"/>
    </row>
    <row r="25" spans="1:34" s="808" customFormat="1" ht="15.75" customHeight="1">
      <c r="A25" s="1838" t="s">
        <v>511</v>
      </c>
      <c r="B25" s="1838"/>
      <c r="C25" s="1838"/>
      <c r="D25" s="1839" t="s">
        <v>968</v>
      </c>
      <c r="E25" s="1839"/>
      <c r="F25" s="1839"/>
      <c r="G25" s="1839"/>
      <c r="H25" s="1839"/>
      <c r="I25" s="1839"/>
      <c r="J25" s="1839"/>
      <c r="K25" s="1839"/>
      <c r="L25" s="1839"/>
      <c r="M25" s="1839"/>
      <c r="N25" s="1839"/>
      <c r="O25" s="1839"/>
      <c r="P25" s="1839"/>
      <c r="Q25" s="1839"/>
      <c r="R25" s="1839"/>
      <c r="S25" s="1839"/>
      <c r="T25" s="1839"/>
      <c r="U25" s="1839"/>
      <c r="V25" s="1839"/>
      <c r="W25" s="1839"/>
      <c r="X25" s="1136">
        <f aca="true" t="shared" si="5" ref="X25:AC25">SUM(X22:X24)</f>
        <v>127444030</v>
      </c>
      <c r="Y25" s="1136">
        <f t="shared" si="5"/>
        <v>174082982</v>
      </c>
      <c r="Z25" s="1148">
        <f t="shared" si="5"/>
        <v>129795816</v>
      </c>
      <c r="AA25" s="1136">
        <f t="shared" si="5"/>
        <v>201510812</v>
      </c>
      <c r="AB25" s="1136">
        <f t="shared" si="5"/>
        <v>21345762</v>
      </c>
      <c r="AC25" s="1148">
        <f t="shared" si="5"/>
        <v>16397816</v>
      </c>
      <c r="AD25" s="1823">
        <f t="shared" si="0"/>
        <v>670577218</v>
      </c>
      <c r="AE25" s="1823"/>
      <c r="AF25" s="1823"/>
      <c r="AG25" s="1823"/>
      <c r="AH25" s="1823"/>
    </row>
    <row r="26" spans="1:34" s="808" customFormat="1" ht="15.75" customHeight="1">
      <c r="A26" s="1838" t="s">
        <v>512</v>
      </c>
      <c r="B26" s="1838"/>
      <c r="C26" s="1838"/>
      <c r="D26" s="1839" t="s">
        <v>513</v>
      </c>
      <c r="E26" s="1839"/>
      <c r="F26" s="1839"/>
      <c r="G26" s="1839"/>
      <c r="H26" s="1839"/>
      <c r="I26" s="1839"/>
      <c r="J26" s="1839"/>
      <c r="K26" s="1839"/>
      <c r="L26" s="1839"/>
      <c r="M26" s="1839"/>
      <c r="N26" s="1839"/>
      <c r="O26" s="1839"/>
      <c r="P26" s="1839"/>
      <c r="Q26" s="1839"/>
      <c r="R26" s="1839"/>
      <c r="S26" s="1839"/>
      <c r="T26" s="1839"/>
      <c r="U26" s="1839"/>
      <c r="V26" s="1839"/>
      <c r="W26" s="1839"/>
      <c r="X26" s="1136">
        <v>364244518</v>
      </c>
      <c r="Y26" s="1136">
        <v>0</v>
      </c>
      <c r="Z26" s="1148"/>
      <c r="AA26" s="1136"/>
      <c r="AB26" s="1136"/>
      <c r="AC26" s="1148">
        <v>68046</v>
      </c>
      <c r="AD26" s="1823">
        <f t="shared" si="0"/>
        <v>364312564</v>
      </c>
      <c r="AE26" s="1823"/>
      <c r="AF26" s="1823"/>
      <c r="AG26" s="1823"/>
      <c r="AH26" s="1823"/>
    </row>
    <row r="27" spans="1:34" s="810" customFormat="1" ht="15.75" customHeight="1">
      <c r="A27" s="1838" t="s">
        <v>514</v>
      </c>
      <c r="B27" s="1838"/>
      <c r="C27" s="1838"/>
      <c r="D27" s="1839" t="s">
        <v>515</v>
      </c>
      <c r="E27" s="1839"/>
      <c r="F27" s="1839"/>
      <c r="G27" s="1839"/>
      <c r="H27" s="1839"/>
      <c r="I27" s="1839"/>
      <c r="J27" s="1839"/>
      <c r="K27" s="1839"/>
      <c r="L27" s="1839"/>
      <c r="M27" s="1839"/>
      <c r="N27" s="1839"/>
      <c r="O27" s="1839"/>
      <c r="P27" s="1839"/>
      <c r="Q27" s="1839"/>
      <c r="R27" s="1839"/>
      <c r="S27" s="1839"/>
      <c r="T27" s="1839"/>
      <c r="U27" s="1839"/>
      <c r="V27" s="1839"/>
      <c r="W27" s="1839"/>
      <c r="X27" s="1136">
        <v>1898739072</v>
      </c>
      <c r="Y27" s="1136">
        <v>37244883</v>
      </c>
      <c r="Z27" s="1148">
        <v>20945902</v>
      </c>
      <c r="AA27" s="1136">
        <v>3790988</v>
      </c>
      <c r="AB27" s="1136">
        <v>1989925</v>
      </c>
      <c r="AC27" s="1148">
        <v>3509536</v>
      </c>
      <c r="AD27" s="1823">
        <f t="shared" si="0"/>
        <v>1966220306</v>
      </c>
      <c r="AE27" s="1823"/>
      <c r="AF27" s="1823"/>
      <c r="AG27" s="1823"/>
      <c r="AH27" s="1823"/>
    </row>
    <row r="28" spans="1:34" s="1014" customFormat="1" ht="15.75" customHeight="1">
      <c r="A28" s="1849" t="s">
        <v>516</v>
      </c>
      <c r="B28" s="1849"/>
      <c r="C28" s="1849"/>
      <c r="D28" s="1850" t="s">
        <v>517</v>
      </c>
      <c r="E28" s="1850"/>
      <c r="F28" s="1850"/>
      <c r="G28" s="1850"/>
      <c r="H28" s="1850"/>
      <c r="I28" s="1850"/>
      <c r="J28" s="1850"/>
      <c r="K28" s="1850"/>
      <c r="L28" s="1850"/>
      <c r="M28" s="1850"/>
      <c r="N28" s="1850"/>
      <c r="O28" s="1850"/>
      <c r="P28" s="1850"/>
      <c r="Q28" s="1850"/>
      <c r="R28" s="1850"/>
      <c r="S28" s="1850"/>
      <c r="T28" s="1850"/>
      <c r="U28" s="1850"/>
      <c r="V28" s="1850"/>
      <c r="W28" s="1850"/>
      <c r="X28" s="1140">
        <f aca="true" t="shared" si="6" ref="X28:AC28">X9+X12+X16-X21-X25-X26-X27</f>
        <v>1271003600</v>
      </c>
      <c r="Y28" s="1140">
        <f t="shared" si="6"/>
        <v>7519837</v>
      </c>
      <c r="Z28" s="1152">
        <f t="shared" si="6"/>
        <v>4624302</v>
      </c>
      <c r="AA28" s="1140">
        <f t="shared" si="6"/>
        <v>5771757</v>
      </c>
      <c r="AB28" s="1140">
        <f t="shared" si="6"/>
        <v>1111854</v>
      </c>
      <c r="AC28" s="1152">
        <f t="shared" si="6"/>
        <v>-1529002</v>
      </c>
      <c r="AD28" s="1851">
        <f t="shared" si="0"/>
        <v>1288502348</v>
      </c>
      <c r="AE28" s="1851"/>
      <c r="AF28" s="1851"/>
      <c r="AG28" s="1851"/>
      <c r="AH28" s="1851"/>
    </row>
    <row r="29" spans="1:34" s="809" customFormat="1" ht="15.75" customHeight="1">
      <c r="A29" s="1835" t="s">
        <v>518</v>
      </c>
      <c r="B29" s="1835"/>
      <c r="C29" s="1835"/>
      <c r="D29" s="1848" t="s">
        <v>519</v>
      </c>
      <c r="E29" s="1848"/>
      <c r="F29" s="1848"/>
      <c r="G29" s="1848"/>
      <c r="H29" s="1848"/>
      <c r="I29" s="1848"/>
      <c r="J29" s="1848"/>
      <c r="K29" s="1848"/>
      <c r="L29" s="1848"/>
      <c r="M29" s="1848"/>
      <c r="N29" s="1848"/>
      <c r="O29" s="1848"/>
      <c r="P29" s="1848"/>
      <c r="Q29" s="1848"/>
      <c r="R29" s="1848"/>
      <c r="S29" s="1848"/>
      <c r="T29" s="1848"/>
      <c r="U29" s="1848"/>
      <c r="V29" s="1848"/>
      <c r="W29" s="1848"/>
      <c r="X29" s="1139">
        <v>50041039</v>
      </c>
      <c r="Y29" s="1139"/>
      <c r="Z29" s="1151"/>
      <c r="AA29" s="1139"/>
      <c r="AB29" s="1139"/>
      <c r="AC29" s="1151"/>
      <c r="AD29" s="1823">
        <f t="shared" si="0"/>
        <v>50041039</v>
      </c>
      <c r="AE29" s="1823"/>
      <c r="AF29" s="1823"/>
      <c r="AG29" s="1823"/>
      <c r="AH29" s="1823"/>
    </row>
    <row r="30" spans="1:34" s="809" customFormat="1" ht="15.75" customHeight="1">
      <c r="A30" s="1835" t="s">
        <v>520</v>
      </c>
      <c r="B30" s="1835"/>
      <c r="C30" s="1835"/>
      <c r="D30" s="1848" t="s">
        <v>969</v>
      </c>
      <c r="E30" s="1848"/>
      <c r="F30" s="1848"/>
      <c r="G30" s="1848"/>
      <c r="H30" s="1848"/>
      <c r="I30" s="1848"/>
      <c r="J30" s="1848"/>
      <c r="K30" s="1848"/>
      <c r="L30" s="1848"/>
      <c r="M30" s="1848"/>
      <c r="N30" s="1848"/>
      <c r="O30" s="1848"/>
      <c r="P30" s="1848"/>
      <c r="Q30" s="1848"/>
      <c r="R30" s="1848"/>
      <c r="S30" s="1848"/>
      <c r="T30" s="1848"/>
      <c r="U30" s="1848"/>
      <c r="V30" s="1848"/>
      <c r="W30" s="1848"/>
      <c r="X30" s="1139">
        <v>10732429</v>
      </c>
      <c r="Y30" s="1139">
        <v>5435</v>
      </c>
      <c r="Z30" s="1151">
        <v>7916</v>
      </c>
      <c r="AA30" s="1139">
        <v>1761</v>
      </c>
      <c r="AB30" s="1139">
        <v>749</v>
      </c>
      <c r="AC30" s="1151">
        <v>1089</v>
      </c>
      <c r="AD30" s="1823">
        <f t="shared" si="0"/>
        <v>10749379</v>
      </c>
      <c r="AE30" s="1823"/>
      <c r="AF30" s="1823"/>
      <c r="AG30" s="1823"/>
      <c r="AH30" s="1823"/>
    </row>
    <row r="31" spans="1:34" s="809" customFormat="1" ht="15.75" customHeight="1">
      <c r="A31" s="1824" t="s">
        <v>521</v>
      </c>
      <c r="B31" s="1824"/>
      <c r="C31" s="1824"/>
      <c r="D31" s="1825" t="s">
        <v>970</v>
      </c>
      <c r="E31" s="1825"/>
      <c r="F31" s="1825"/>
      <c r="G31" s="1825"/>
      <c r="H31" s="1825"/>
      <c r="I31" s="1825"/>
      <c r="J31" s="1825"/>
      <c r="K31" s="1825"/>
      <c r="L31" s="1825"/>
      <c r="M31" s="1825"/>
      <c r="N31" s="1825"/>
      <c r="O31" s="1825"/>
      <c r="P31" s="1825"/>
      <c r="Q31" s="1825"/>
      <c r="R31" s="1825"/>
      <c r="S31" s="1825"/>
      <c r="T31" s="1825"/>
      <c r="U31" s="1825"/>
      <c r="V31" s="1825"/>
      <c r="W31" s="1825"/>
      <c r="X31" s="1141">
        <v>352452</v>
      </c>
      <c r="Y31" s="1141"/>
      <c r="Z31" s="1153"/>
      <c r="AA31" s="1141"/>
      <c r="AB31" s="1141"/>
      <c r="AC31" s="1153"/>
      <c r="AD31" s="1823">
        <f t="shared" si="0"/>
        <v>352452</v>
      </c>
      <c r="AE31" s="1823"/>
      <c r="AF31" s="1823"/>
      <c r="AG31" s="1823"/>
      <c r="AH31" s="1823"/>
    </row>
    <row r="32" spans="1:34" s="809" customFormat="1" ht="15.75" customHeight="1">
      <c r="A32" s="1824" t="s">
        <v>971</v>
      </c>
      <c r="B32" s="1824"/>
      <c r="C32" s="1824"/>
      <c r="D32" s="1858" t="s">
        <v>972</v>
      </c>
      <c r="E32" s="1825"/>
      <c r="F32" s="1825"/>
      <c r="G32" s="1825"/>
      <c r="H32" s="1825"/>
      <c r="I32" s="1825"/>
      <c r="J32" s="1825"/>
      <c r="K32" s="1825"/>
      <c r="L32" s="1825"/>
      <c r="M32" s="1825"/>
      <c r="N32" s="1825"/>
      <c r="O32" s="1825"/>
      <c r="P32" s="1825"/>
      <c r="Q32" s="1825"/>
      <c r="R32" s="1825"/>
      <c r="S32" s="1825"/>
      <c r="T32" s="1825"/>
      <c r="U32" s="1825"/>
      <c r="V32" s="1825"/>
      <c r="W32" s="1825"/>
      <c r="X32" s="1141">
        <v>352452</v>
      </c>
      <c r="Y32" s="1141"/>
      <c r="Z32" s="1153"/>
      <c r="AA32" s="1141"/>
      <c r="AB32" s="1141"/>
      <c r="AC32" s="1153"/>
      <c r="AD32" s="1823">
        <f t="shared" si="0"/>
        <v>352452</v>
      </c>
      <c r="AE32" s="1823"/>
      <c r="AF32" s="1823"/>
      <c r="AG32" s="1823"/>
      <c r="AH32" s="1823"/>
    </row>
    <row r="33" spans="1:34" s="809" customFormat="1" ht="15.75" customHeight="1">
      <c r="A33" s="1866" t="s">
        <v>522</v>
      </c>
      <c r="B33" s="1866"/>
      <c r="C33" s="1866"/>
      <c r="D33" s="1867" t="s">
        <v>973</v>
      </c>
      <c r="E33" s="1867"/>
      <c r="F33" s="1867"/>
      <c r="G33" s="1867"/>
      <c r="H33" s="1867"/>
      <c r="I33" s="1867"/>
      <c r="J33" s="1867"/>
      <c r="K33" s="1867"/>
      <c r="L33" s="1867"/>
      <c r="M33" s="1867"/>
      <c r="N33" s="1867"/>
      <c r="O33" s="1867"/>
      <c r="P33" s="1867"/>
      <c r="Q33" s="1867"/>
      <c r="R33" s="1867"/>
      <c r="S33" s="1867"/>
      <c r="T33" s="1867"/>
      <c r="U33" s="1867"/>
      <c r="V33" s="1867"/>
      <c r="W33" s="1867"/>
      <c r="X33" s="1142">
        <f aca="true" t="shared" si="7" ref="X33:AC33">SUM(X29:X31)</f>
        <v>61125920</v>
      </c>
      <c r="Y33" s="1142">
        <f t="shared" si="7"/>
        <v>5435</v>
      </c>
      <c r="Z33" s="1341">
        <f t="shared" si="7"/>
        <v>7916</v>
      </c>
      <c r="AA33" s="1142">
        <f t="shared" si="7"/>
        <v>1761</v>
      </c>
      <c r="AB33" s="1142">
        <f t="shared" si="7"/>
        <v>749</v>
      </c>
      <c r="AC33" s="1341">
        <f t="shared" si="7"/>
        <v>1089</v>
      </c>
      <c r="AD33" s="1823">
        <f t="shared" si="0"/>
        <v>61142870</v>
      </c>
      <c r="AE33" s="1823"/>
      <c r="AF33" s="1823"/>
      <c r="AG33" s="1823"/>
      <c r="AH33" s="1823"/>
    </row>
    <row r="34" spans="1:34" s="809" customFormat="1" ht="15.75" customHeight="1">
      <c r="A34" s="1824" t="s">
        <v>523</v>
      </c>
      <c r="B34" s="1824"/>
      <c r="C34" s="1824"/>
      <c r="D34" s="1825" t="s">
        <v>974</v>
      </c>
      <c r="E34" s="1825"/>
      <c r="F34" s="1825"/>
      <c r="G34" s="1825"/>
      <c r="H34" s="1825"/>
      <c r="I34" s="1825"/>
      <c r="J34" s="1825"/>
      <c r="K34" s="1825"/>
      <c r="L34" s="1825"/>
      <c r="M34" s="1825"/>
      <c r="N34" s="1825"/>
      <c r="O34" s="1825"/>
      <c r="P34" s="1825"/>
      <c r="Q34" s="1825"/>
      <c r="R34" s="1825"/>
      <c r="S34" s="1825"/>
      <c r="T34" s="1825"/>
      <c r="U34" s="1825"/>
      <c r="V34" s="1825"/>
      <c r="W34" s="1825"/>
      <c r="X34" s="1141">
        <v>4637</v>
      </c>
      <c r="Y34" s="1141"/>
      <c r="Z34" s="1153"/>
      <c r="AA34" s="1141"/>
      <c r="AB34" s="1141">
        <v>3099</v>
      </c>
      <c r="AC34" s="1153"/>
      <c r="AD34" s="1823">
        <f t="shared" si="0"/>
        <v>7736</v>
      </c>
      <c r="AE34" s="1823"/>
      <c r="AF34" s="1823"/>
      <c r="AG34" s="1823"/>
      <c r="AH34" s="1823"/>
    </row>
    <row r="35" spans="1:34" s="808" customFormat="1" ht="15.75" customHeight="1">
      <c r="A35" s="1824" t="s">
        <v>524</v>
      </c>
      <c r="B35" s="1824"/>
      <c r="C35" s="1824"/>
      <c r="D35" s="1825" t="s">
        <v>525</v>
      </c>
      <c r="E35" s="1825"/>
      <c r="F35" s="1825"/>
      <c r="G35" s="1825"/>
      <c r="H35" s="1825"/>
      <c r="I35" s="1825"/>
      <c r="J35" s="1825"/>
      <c r="K35" s="1825"/>
      <c r="L35" s="1825"/>
      <c r="M35" s="1825"/>
      <c r="N35" s="1825"/>
      <c r="O35" s="1825"/>
      <c r="P35" s="1825"/>
      <c r="Q35" s="1825"/>
      <c r="R35" s="1825"/>
      <c r="S35" s="1825"/>
      <c r="T35" s="1825"/>
      <c r="U35" s="1825"/>
      <c r="V35" s="1825"/>
      <c r="W35" s="1825"/>
      <c r="X35" s="1141">
        <v>0</v>
      </c>
      <c r="Y35" s="1141"/>
      <c r="Z35" s="1153"/>
      <c r="AA35" s="1141"/>
      <c r="AB35" s="1141"/>
      <c r="AC35" s="1153"/>
      <c r="AD35" s="1823">
        <f t="shared" si="0"/>
        <v>0</v>
      </c>
      <c r="AE35" s="1823"/>
      <c r="AF35" s="1823"/>
      <c r="AG35" s="1823"/>
      <c r="AH35" s="1823"/>
    </row>
    <row r="36" spans="1:34" s="808" customFormat="1" ht="15.75" customHeight="1">
      <c r="A36" s="1824" t="s">
        <v>526</v>
      </c>
      <c r="B36" s="1824"/>
      <c r="C36" s="1824"/>
      <c r="D36" s="1825" t="s">
        <v>975</v>
      </c>
      <c r="E36" s="1825"/>
      <c r="F36" s="1825"/>
      <c r="G36" s="1825"/>
      <c r="H36" s="1825"/>
      <c r="I36" s="1825"/>
      <c r="J36" s="1825"/>
      <c r="K36" s="1825"/>
      <c r="L36" s="1825"/>
      <c r="M36" s="1825"/>
      <c r="N36" s="1825"/>
      <c r="O36" s="1825"/>
      <c r="P36" s="1825"/>
      <c r="Q36" s="1825"/>
      <c r="R36" s="1825"/>
      <c r="S36" s="1825"/>
      <c r="T36" s="1825"/>
      <c r="U36" s="1825"/>
      <c r="V36" s="1825"/>
      <c r="W36" s="1825"/>
      <c r="X36" s="1141">
        <v>0</v>
      </c>
      <c r="Y36" s="1141">
        <v>2365</v>
      </c>
      <c r="Z36" s="1153"/>
      <c r="AA36" s="1141">
        <v>21</v>
      </c>
      <c r="AB36" s="1141"/>
      <c r="AC36" s="1153"/>
      <c r="AD36" s="1823">
        <f t="shared" si="0"/>
        <v>2386</v>
      </c>
      <c r="AE36" s="1823"/>
      <c r="AF36" s="1823"/>
      <c r="AG36" s="1823"/>
      <c r="AH36" s="1823"/>
    </row>
    <row r="37" spans="1:34" s="808" customFormat="1" ht="15.75" customHeight="1">
      <c r="A37" s="1824" t="s">
        <v>976</v>
      </c>
      <c r="B37" s="1824"/>
      <c r="C37" s="1824"/>
      <c r="D37" s="1858" t="s">
        <v>977</v>
      </c>
      <c r="E37" s="1825"/>
      <c r="F37" s="1825"/>
      <c r="G37" s="1825"/>
      <c r="H37" s="1825"/>
      <c r="I37" s="1825"/>
      <c r="J37" s="1825"/>
      <c r="K37" s="1825"/>
      <c r="L37" s="1825"/>
      <c r="M37" s="1825"/>
      <c r="N37" s="1825"/>
      <c r="O37" s="1825"/>
      <c r="P37" s="1825"/>
      <c r="Q37" s="1825"/>
      <c r="R37" s="1825"/>
      <c r="S37" s="1825"/>
      <c r="T37" s="1825"/>
      <c r="U37" s="1825"/>
      <c r="V37" s="1825"/>
      <c r="W37" s="1825"/>
      <c r="X37" s="1141">
        <v>0</v>
      </c>
      <c r="Y37" s="1141"/>
      <c r="Z37" s="1153"/>
      <c r="AA37" s="1141"/>
      <c r="AB37" s="1141"/>
      <c r="AC37" s="1153"/>
      <c r="AD37" s="1823">
        <f t="shared" si="0"/>
        <v>0</v>
      </c>
      <c r="AE37" s="1823"/>
      <c r="AF37" s="1823"/>
      <c r="AG37" s="1823"/>
      <c r="AH37" s="1823"/>
    </row>
    <row r="38" spans="1:34" s="808" customFormat="1" ht="15.75" customHeight="1">
      <c r="A38" s="1838" t="s">
        <v>527</v>
      </c>
      <c r="B38" s="1838"/>
      <c r="C38" s="1838"/>
      <c r="D38" s="1859" t="s">
        <v>978</v>
      </c>
      <c r="E38" s="1859"/>
      <c r="F38" s="1859"/>
      <c r="G38" s="1859"/>
      <c r="H38" s="1859"/>
      <c r="I38" s="1859"/>
      <c r="J38" s="1859"/>
      <c r="K38" s="1859"/>
      <c r="L38" s="1859"/>
      <c r="M38" s="1859"/>
      <c r="N38" s="1859"/>
      <c r="O38" s="1859"/>
      <c r="P38" s="1859"/>
      <c r="Q38" s="1859"/>
      <c r="R38" s="1859"/>
      <c r="S38" s="1859"/>
      <c r="T38" s="1859"/>
      <c r="U38" s="1859"/>
      <c r="V38" s="1859"/>
      <c r="W38" s="1859"/>
      <c r="X38" s="1143">
        <f aca="true" t="shared" si="8" ref="X38:AC38">SUM(X34:X36)</f>
        <v>4637</v>
      </c>
      <c r="Y38" s="1143">
        <f t="shared" si="8"/>
        <v>2365</v>
      </c>
      <c r="Z38" s="1342">
        <f t="shared" si="8"/>
        <v>0</v>
      </c>
      <c r="AA38" s="1143">
        <f t="shared" si="8"/>
        <v>21</v>
      </c>
      <c r="AB38" s="1143">
        <f t="shared" si="8"/>
        <v>3099</v>
      </c>
      <c r="AC38" s="1342">
        <f t="shared" si="8"/>
        <v>0</v>
      </c>
      <c r="AD38" s="1823">
        <f t="shared" si="0"/>
        <v>10122</v>
      </c>
      <c r="AE38" s="1823"/>
      <c r="AF38" s="1823"/>
      <c r="AG38" s="1823"/>
      <c r="AH38" s="1823"/>
    </row>
    <row r="39" spans="1:34" s="1013" customFormat="1" ht="15.75" customHeight="1">
      <c r="A39" s="1849" t="s">
        <v>528</v>
      </c>
      <c r="B39" s="1849"/>
      <c r="C39" s="1849"/>
      <c r="D39" s="1850" t="s">
        <v>529</v>
      </c>
      <c r="E39" s="1850"/>
      <c r="F39" s="1850"/>
      <c r="G39" s="1850"/>
      <c r="H39" s="1850"/>
      <c r="I39" s="1850"/>
      <c r="J39" s="1850"/>
      <c r="K39" s="1850"/>
      <c r="L39" s="1850"/>
      <c r="M39" s="1850"/>
      <c r="N39" s="1850"/>
      <c r="O39" s="1850"/>
      <c r="P39" s="1850"/>
      <c r="Q39" s="1850"/>
      <c r="R39" s="1850"/>
      <c r="S39" s="1850"/>
      <c r="T39" s="1850"/>
      <c r="U39" s="1850"/>
      <c r="V39" s="1850"/>
      <c r="W39" s="1850"/>
      <c r="X39" s="1140">
        <f aca="true" t="shared" si="9" ref="X39:AC39">X33-X38</f>
        <v>61121283</v>
      </c>
      <c r="Y39" s="1140">
        <f t="shared" si="9"/>
        <v>3070</v>
      </c>
      <c r="Z39" s="1152">
        <f t="shared" si="9"/>
        <v>7916</v>
      </c>
      <c r="AA39" s="1140">
        <f t="shared" si="9"/>
        <v>1740</v>
      </c>
      <c r="AB39" s="1140">
        <f t="shared" si="9"/>
        <v>-2350</v>
      </c>
      <c r="AC39" s="1152">
        <f t="shared" si="9"/>
        <v>1089</v>
      </c>
      <c r="AD39" s="1851">
        <f t="shared" si="0"/>
        <v>61132748</v>
      </c>
      <c r="AE39" s="1851"/>
      <c r="AF39" s="1851"/>
      <c r="AG39" s="1851"/>
      <c r="AH39" s="1851"/>
    </row>
    <row r="40" spans="1:34" s="1013" customFormat="1" ht="15.75" customHeight="1">
      <c r="A40" s="1849" t="s">
        <v>530</v>
      </c>
      <c r="B40" s="1849"/>
      <c r="C40" s="1849"/>
      <c r="D40" s="1850" t="s">
        <v>979</v>
      </c>
      <c r="E40" s="1850"/>
      <c r="F40" s="1850"/>
      <c r="G40" s="1850"/>
      <c r="H40" s="1850"/>
      <c r="I40" s="1850"/>
      <c r="J40" s="1850"/>
      <c r="K40" s="1850"/>
      <c r="L40" s="1850"/>
      <c r="M40" s="1850"/>
      <c r="N40" s="1850"/>
      <c r="O40" s="1850"/>
      <c r="P40" s="1850"/>
      <c r="Q40" s="1850"/>
      <c r="R40" s="1850"/>
      <c r="S40" s="1850"/>
      <c r="T40" s="1850"/>
      <c r="U40" s="1850"/>
      <c r="V40" s="1850"/>
      <c r="W40" s="1850"/>
      <c r="X40" s="1140">
        <f aca="true" t="shared" si="10" ref="X40:AC40">X28+X39</f>
        <v>1332124883</v>
      </c>
      <c r="Y40" s="1140">
        <f t="shared" si="10"/>
        <v>7522907</v>
      </c>
      <c r="Z40" s="1152">
        <f t="shared" si="10"/>
        <v>4632218</v>
      </c>
      <c r="AA40" s="1140">
        <f t="shared" si="10"/>
        <v>5773497</v>
      </c>
      <c r="AB40" s="1140">
        <f t="shared" si="10"/>
        <v>1109504</v>
      </c>
      <c r="AC40" s="1152">
        <f t="shared" si="10"/>
        <v>-1527913</v>
      </c>
      <c r="AD40" s="1851">
        <f t="shared" si="0"/>
        <v>1349635096</v>
      </c>
      <c r="AE40" s="1851"/>
      <c r="AF40" s="1851"/>
      <c r="AG40" s="1851"/>
      <c r="AH40" s="1851"/>
    </row>
    <row r="41" spans="1:34" s="808" customFormat="1" ht="15.75" customHeight="1">
      <c r="A41" s="1835" t="s">
        <v>531</v>
      </c>
      <c r="B41" s="1835"/>
      <c r="C41" s="1835"/>
      <c r="D41" s="1848" t="s">
        <v>980</v>
      </c>
      <c r="E41" s="1848"/>
      <c r="F41" s="1848"/>
      <c r="G41" s="1848"/>
      <c r="H41" s="1848"/>
      <c r="I41" s="1848"/>
      <c r="J41" s="1848"/>
      <c r="K41" s="1848"/>
      <c r="L41" s="1848"/>
      <c r="M41" s="1848"/>
      <c r="N41" s="1848"/>
      <c r="O41" s="1848"/>
      <c r="P41" s="1848"/>
      <c r="Q41" s="1848"/>
      <c r="R41" s="1848"/>
      <c r="S41" s="1848"/>
      <c r="T41" s="1848"/>
      <c r="U41" s="1848"/>
      <c r="V41" s="1848"/>
      <c r="W41" s="1848"/>
      <c r="X41" s="1139">
        <v>0</v>
      </c>
      <c r="Y41" s="1139"/>
      <c r="Z41" s="1151"/>
      <c r="AA41" s="1139"/>
      <c r="AB41" s="1139">
        <v>0</v>
      </c>
      <c r="AC41" s="1151">
        <v>0</v>
      </c>
      <c r="AD41" s="1823">
        <f t="shared" si="0"/>
        <v>0</v>
      </c>
      <c r="AE41" s="1823"/>
      <c r="AF41" s="1823"/>
      <c r="AG41" s="1823"/>
      <c r="AH41" s="1823"/>
    </row>
    <row r="42" spans="1:34" s="808" customFormat="1" ht="15.75" customHeight="1">
      <c r="A42" s="1835" t="s">
        <v>532</v>
      </c>
      <c r="B42" s="1835"/>
      <c r="C42" s="1835"/>
      <c r="D42" s="1848" t="s">
        <v>981</v>
      </c>
      <c r="E42" s="1848"/>
      <c r="F42" s="1848"/>
      <c r="G42" s="1848"/>
      <c r="H42" s="1848"/>
      <c r="I42" s="1848"/>
      <c r="J42" s="1848"/>
      <c r="K42" s="1848"/>
      <c r="L42" s="1848"/>
      <c r="M42" s="1848"/>
      <c r="N42" s="1848"/>
      <c r="O42" s="1848"/>
      <c r="P42" s="1848"/>
      <c r="Q42" s="1848"/>
      <c r="R42" s="1848"/>
      <c r="S42" s="1848"/>
      <c r="T42" s="1848"/>
      <c r="U42" s="1848"/>
      <c r="V42" s="1848"/>
      <c r="W42" s="1848"/>
      <c r="X42" s="1139">
        <v>0</v>
      </c>
      <c r="Y42" s="1139"/>
      <c r="Z42" s="1151"/>
      <c r="AA42" s="1139"/>
      <c r="AB42" s="1139"/>
      <c r="AC42" s="1151">
        <v>0</v>
      </c>
      <c r="AD42" s="1823">
        <f t="shared" si="0"/>
        <v>0</v>
      </c>
      <c r="AE42" s="1823"/>
      <c r="AF42" s="1823"/>
      <c r="AG42" s="1823"/>
      <c r="AH42" s="1823"/>
    </row>
    <row r="43" spans="1:34" s="808" customFormat="1" ht="15.75" customHeight="1">
      <c r="A43" s="1838" t="s">
        <v>982</v>
      </c>
      <c r="B43" s="1838"/>
      <c r="C43" s="1838"/>
      <c r="D43" s="1859" t="s">
        <v>983</v>
      </c>
      <c r="E43" s="1859"/>
      <c r="F43" s="1859"/>
      <c r="G43" s="1859"/>
      <c r="H43" s="1859"/>
      <c r="I43" s="1859"/>
      <c r="J43" s="1859"/>
      <c r="K43" s="1859"/>
      <c r="L43" s="1859"/>
      <c r="M43" s="1859"/>
      <c r="N43" s="1859"/>
      <c r="O43" s="1859"/>
      <c r="P43" s="1859"/>
      <c r="Q43" s="1859"/>
      <c r="R43" s="1859"/>
      <c r="S43" s="1859"/>
      <c r="T43" s="1859"/>
      <c r="U43" s="1859"/>
      <c r="V43" s="1859"/>
      <c r="W43" s="1859"/>
      <c r="X43" s="1143">
        <f aca="true" t="shared" si="11" ref="X43:AC43">SUM(X41:X42)</f>
        <v>0</v>
      </c>
      <c r="Y43" s="1143">
        <f t="shared" si="11"/>
        <v>0</v>
      </c>
      <c r="Z43" s="1342">
        <f t="shared" si="11"/>
        <v>0</v>
      </c>
      <c r="AA43" s="1143">
        <f t="shared" si="11"/>
        <v>0</v>
      </c>
      <c r="AB43" s="1143">
        <f t="shared" si="11"/>
        <v>0</v>
      </c>
      <c r="AC43" s="1342">
        <f t="shared" si="11"/>
        <v>0</v>
      </c>
      <c r="AD43" s="1823">
        <f t="shared" si="0"/>
        <v>0</v>
      </c>
      <c r="AE43" s="1823"/>
      <c r="AF43" s="1823"/>
      <c r="AG43" s="1823"/>
      <c r="AH43" s="1823"/>
    </row>
    <row r="44" spans="1:34" s="808" customFormat="1" ht="15.75" customHeight="1">
      <c r="A44" s="1838" t="s">
        <v>984</v>
      </c>
      <c r="B44" s="1838"/>
      <c r="C44" s="1838"/>
      <c r="D44" s="1859" t="s">
        <v>985</v>
      </c>
      <c r="E44" s="1859"/>
      <c r="F44" s="1859"/>
      <c r="G44" s="1859"/>
      <c r="H44" s="1859"/>
      <c r="I44" s="1859"/>
      <c r="J44" s="1859"/>
      <c r="K44" s="1859"/>
      <c r="L44" s="1859"/>
      <c r="M44" s="1859"/>
      <c r="N44" s="1859"/>
      <c r="O44" s="1859"/>
      <c r="P44" s="1859"/>
      <c r="Q44" s="1859"/>
      <c r="R44" s="1859"/>
      <c r="S44" s="1859"/>
      <c r="T44" s="1859"/>
      <c r="U44" s="1859"/>
      <c r="V44" s="1859"/>
      <c r="W44" s="1859"/>
      <c r="X44" s="1143">
        <v>0</v>
      </c>
      <c r="Y44" s="1143"/>
      <c r="Z44" s="1342">
        <v>0</v>
      </c>
      <c r="AA44" s="1143">
        <v>0</v>
      </c>
      <c r="AB44" s="1143">
        <v>0</v>
      </c>
      <c r="AC44" s="1342">
        <v>0</v>
      </c>
      <c r="AD44" s="1823">
        <f t="shared" si="0"/>
        <v>0</v>
      </c>
      <c r="AE44" s="1823"/>
      <c r="AF44" s="1823"/>
      <c r="AG44" s="1823"/>
      <c r="AH44" s="1823"/>
    </row>
    <row r="45" spans="1:34" s="1013" customFormat="1" ht="15.75" customHeight="1">
      <c r="A45" s="1849" t="s">
        <v>986</v>
      </c>
      <c r="B45" s="1849"/>
      <c r="C45" s="1849"/>
      <c r="D45" s="1850" t="s">
        <v>987</v>
      </c>
      <c r="E45" s="1850"/>
      <c r="F45" s="1850"/>
      <c r="G45" s="1850"/>
      <c r="H45" s="1850"/>
      <c r="I45" s="1850"/>
      <c r="J45" s="1850"/>
      <c r="K45" s="1850"/>
      <c r="L45" s="1850"/>
      <c r="M45" s="1850"/>
      <c r="N45" s="1850"/>
      <c r="O45" s="1850"/>
      <c r="P45" s="1850"/>
      <c r="Q45" s="1850"/>
      <c r="R45" s="1850"/>
      <c r="S45" s="1850"/>
      <c r="T45" s="1850"/>
      <c r="U45" s="1850"/>
      <c r="V45" s="1850"/>
      <c r="W45" s="1850"/>
      <c r="X45" s="1140">
        <f aca="true" t="shared" si="12" ref="X45:AC45">X43-X44</f>
        <v>0</v>
      </c>
      <c r="Y45" s="1140">
        <f t="shared" si="12"/>
        <v>0</v>
      </c>
      <c r="Z45" s="1152">
        <f t="shared" si="12"/>
        <v>0</v>
      </c>
      <c r="AA45" s="1140">
        <f t="shared" si="12"/>
        <v>0</v>
      </c>
      <c r="AB45" s="1140">
        <f t="shared" si="12"/>
        <v>0</v>
      </c>
      <c r="AC45" s="1152">
        <f t="shared" si="12"/>
        <v>0</v>
      </c>
      <c r="AD45" s="1851">
        <f t="shared" si="0"/>
        <v>0</v>
      </c>
      <c r="AE45" s="1851"/>
      <c r="AF45" s="1851"/>
      <c r="AG45" s="1851"/>
      <c r="AH45" s="1851"/>
    </row>
    <row r="46" spans="1:34" s="1013" customFormat="1" ht="15.75" customHeight="1">
      <c r="A46" s="1849" t="s">
        <v>988</v>
      </c>
      <c r="B46" s="1849"/>
      <c r="C46" s="1849"/>
      <c r="D46" s="1850" t="s">
        <v>989</v>
      </c>
      <c r="E46" s="1850"/>
      <c r="F46" s="1850"/>
      <c r="G46" s="1850"/>
      <c r="H46" s="1850"/>
      <c r="I46" s="1850"/>
      <c r="J46" s="1850"/>
      <c r="K46" s="1850"/>
      <c r="L46" s="1850"/>
      <c r="M46" s="1850"/>
      <c r="N46" s="1850"/>
      <c r="O46" s="1850"/>
      <c r="P46" s="1850"/>
      <c r="Q46" s="1850"/>
      <c r="R46" s="1850"/>
      <c r="S46" s="1850"/>
      <c r="T46" s="1850"/>
      <c r="U46" s="1850"/>
      <c r="V46" s="1850"/>
      <c r="W46" s="1850"/>
      <c r="X46" s="1140">
        <f aca="true" t="shared" si="13" ref="X46:AC46">X40+X45</f>
        <v>1332124883</v>
      </c>
      <c r="Y46" s="1140">
        <f t="shared" si="13"/>
        <v>7522907</v>
      </c>
      <c r="Z46" s="1152">
        <f t="shared" si="13"/>
        <v>4632218</v>
      </c>
      <c r="AA46" s="1140">
        <f t="shared" si="13"/>
        <v>5773497</v>
      </c>
      <c r="AB46" s="1140">
        <f t="shared" si="13"/>
        <v>1109504</v>
      </c>
      <c r="AC46" s="1152">
        <f t="shared" si="13"/>
        <v>-1527913</v>
      </c>
      <c r="AD46" s="1851">
        <f t="shared" si="0"/>
        <v>1349635096</v>
      </c>
      <c r="AE46" s="1851"/>
      <c r="AF46" s="1851"/>
      <c r="AG46" s="1851"/>
      <c r="AH46" s="1851"/>
    </row>
    <row r="47" spans="4:29" ht="12.75">
      <c r="D47" s="805"/>
      <c r="E47" s="805"/>
      <c r="F47" s="805"/>
      <c r="G47" s="805"/>
      <c r="H47" s="805"/>
      <c r="I47" s="805"/>
      <c r="J47" s="805"/>
      <c r="K47" s="805"/>
      <c r="L47" s="805"/>
      <c r="M47" s="805"/>
      <c r="N47" s="805"/>
      <c r="O47" s="805"/>
      <c r="P47" s="805"/>
      <c r="Q47" s="805"/>
      <c r="R47" s="805"/>
      <c r="S47" s="805"/>
      <c r="T47" s="805"/>
      <c r="U47" s="805"/>
      <c r="V47" s="805"/>
      <c r="W47" s="805"/>
      <c r="X47" s="1144"/>
      <c r="Y47" s="1144"/>
      <c r="Z47" s="1154"/>
      <c r="AA47" s="1144"/>
      <c r="AB47" s="1144"/>
      <c r="AC47" s="1154"/>
    </row>
    <row r="48" spans="4:29" ht="12.75">
      <c r="D48" s="805"/>
      <c r="E48" s="805"/>
      <c r="F48" s="805"/>
      <c r="G48" s="805"/>
      <c r="H48" s="805"/>
      <c r="I48" s="805"/>
      <c r="J48" s="805"/>
      <c r="K48" s="805"/>
      <c r="L48" s="805"/>
      <c r="M48" s="805"/>
      <c r="N48" s="805"/>
      <c r="O48" s="805"/>
      <c r="P48" s="805"/>
      <c r="Q48" s="805"/>
      <c r="R48" s="805"/>
      <c r="S48" s="805"/>
      <c r="T48" s="805"/>
      <c r="U48" s="805"/>
      <c r="V48" s="805"/>
      <c r="W48" s="805"/>
      <c r="X48" s="1144"/>
      <c r="Y48" s="1144"/>
      <c r="Z48" s="1154"/>
      <c r="AA48" s="1144"/>
      <c r="AB48" s="1144"/>
      <c r="AC48" s="1154"/>
    </row>
  </sheetData>
  <sheetProtection/>
  <mergeCells count="135">
    <mergeCell ref="Z1:AH1"/>
    <mergeCell ref="A2:AH2"/>
    <mergeCell ref="A3:AH3"/>
    <mergeCell ref="A4:C5"/>
    <mergeCell ref="D4:W5"/>
    <mergeCell ref="X4:X5"/>
    <mergeCell ref="Y4:Y5"/>
    <mergeCell ref="Z4:Z5"/>
    <mergeCell ref="AA4:AA5"/>
    <mergeCell ref="AB4:AB5"/>
    <mergeCell ref="AC4:AC5"/>
    <mergeCell ref="AD4:AH5"/>
    <mergeCell ref="A6:C6"/>
    <mergeCell ref="D6:W6"/>
    <mergeCell ref="AD6:AH6"/>
    <mergeCell ref="A7:C7"/>
    <mergeCell ref="D7:W7"/>
    <mergeCell ref="AD7:AH7"/>
    <mergeCell ref="A8:C8"/>
    <mergeCell ref="D8:W8"/>
    <mergeCell ref="AD8:AH8"/>
    <mergeCell ref="A9:C9"/>
    <mergeCell ref="D9:W9"/>
    <mergeCell ref="AD9:AH9"/>
    <mergeCell ref="A10:C10"/>
    <mergeCell ref="D10:W10"/>
    <mergeCell ref="AD10:AH10"/>
    <mergeCell ref="A11:C11"/>
    <mergeCell ref="D11:W11"/>
    <mergeCell ref="AD11:AH11"/>
    <mergeCell ref="A12:C12"/>
    <mergeCell ref="D12:W12"/>
    <mergeCell ref="AD12:AH12"/>
    <mergeCell ref="A13:C13"/>
    <mergeCell ref="D13:W13"/>
    <mergeCell ref="AD13:AH13"/>
    <mergeCell ref="A14:C14"/>
    <mergeCell ref="D14:W14"/>
    <mergeCell ref="AD14:AH14"/>
    <mergeCell ref="A15:C15"/>
    <mergeCell ref="D15:W15"/>
    <mergeCell ref="AD15:AH15"/>
    <mergeCell ref="A16:C16"/>
    <mergeCell ref="D16:W16"/>
    <mergeCell ref="AD16:AH16"/>
    <mergeCell ref="A17:C17"/>
    <mergeCell ref="D17:W17"/>
    <mergeCell ref="AD17:AH17"/>
    <mergeCell ref="A18:C18"/>
    <mergeCell ref="D18:W18"/>
    <mergeCell ref="AD18:AH18"/>
    <mergeCell ref="A19:C19"/>
    <mergeCell ref="D19:W19"/>
    <mergeCell ref="AD19:AH19"/>
    <mergeCell ref="A20:C20"/>
    <mergeCell ref="D20:W20"/>
    <mergeCell ref="AD20:AH20"/>
    <mergeCell ref="A21:C21"/>
    <mergeCell ref="D21:W21"/>
    <mergeCell ref="AD21:AH21"/>
    <mergeCell ref="A22:C22"/>
    <mergeCell ref="D22:W22"/>
    <mergeCell ref="AD22:AH22"/>
    <mergeCell ref="A23:C23"/>
    <mergeCell ref="D23:W23"/>
    <mergeCell ref="AD23:AH23"/>
    <mergeCell ref="A24:C24"/>
    <mergeCell ref="D24:W24"/>
    <mergeCell ref="AD24:AH24"/>
    <mergeCell ref="A25:C25"/>
    <mergeCell ref="D25:W25"/>
    <mergeCell ref="AD25:AH25"/>
    <mergeCell ref="A26:C26"/>
    <mergeCell ref="D26:W26"/>
    <mergeCell ref="AD26:AH26"/>
    <mergeCell ref="A27:C27"/>
    <mergeCell ref="D27:W27"/>
    <mergeCell ref="AD27:AH27"/>
    <mergeCell ref="A28:C28"/>
    <mergeCell ref="D28:W28"/>
    <mergeCell ref="AD28:AH28"/>
    <mergeCell ref="A29:C29"/>
    <mergeCell ref="D29:W29"/>
    <mergeCell ref="AD29:AH29"/>
    <mergeCell ref="A30:C30"/>
    <mergeCell ref="D30:W30"/>
    <mergeCell ref="AD30:AH30"/>
    <mergeCell ref="A31:C31"/>
    <mergeCell ref="D31:W31"/>
    <mergeCell ref="AD31:AH31"/>
    <mergeCell ref="A32:C32"/>
    <mergeCell ref="D32:W32"/>
    <mergeCell ref="AD32:AH32"/>
    <mergeCell ref="A33:C33"/>
    <mergeCell ref="D33:W33"/>
    <mergeCell ref="AD33:AH33"/>
    <mergeCell ref="A34:C34"/>
    <mergeCell ref="D34:W34"/>
    <mergeCell ref="AD34:AH34"/>
    <mergeCell ref="A35:C35"/>
    <mergeCell ref="D35:W35"/>
    <mergeCell ref="AD35:AH35"/>
    <mergeCell ref="A36:C36"/>
    <mergeCell ref="D36:W36"/>
    <mergeCell ref="AD36:AH36"/>
    <mergeCell ref="A37:C37"/>
    <mergeCell ref="D37:W37"/>
    <mergeCell ref="AD37:AH37"/>
    <mergeCell ref="A38:C38"/>
    <mergeCell ref="D38:W38"/>
    <mergeCell ref="AD38:AH38"/>
    <mergeCell ref="A39:C39"/>
    <mergeCell ref="D39:W39"/>
    <mergeCell ref="AD39:AH39"/>
    <mergeCell ref="A40:C40"/>
    <mergeCell ref="D40:W40"/>
    <mergeCell ref="AD40:AH40"/>
    <mergeCell ref="A41:C41"/>
    <mergeCell ref="D41:W41"/>
    <mergeCell ref="AD41:AH41"/>
    <mergeCell ref="A42:C42"/>
    <mergeCell ref="D42:W42"/>
    <mergeCell ref="AD42:AH42"/>
    <mergeCell ref="A43:C43"/>
    <mergeCell ref="D43:W43"/>
    <mergeCell ref="AD43:AH43"/>
    <mergeCell ref="A46:C46"/>
    <mergeCell ref="D46:W46"/>
    <mergeCell ref="AD46:AH46"/>
    <mergeCell ref="A44:C44"/>
    <mergeCell ref="D44:W44"/>
    <mergeCell ref="AD44:AH44"/>
    <mergeCell ref="A45:C45"/>
    <mergeCell ref="D45:W45"/>
    <mergeCell ref="AD45:AH45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J16"/>
  <sheetViews>
    <sheetView view="pageBreakPreview" zoomScaleSheetLayoutView="100" workbookViewId="0" topLeftCell="A1">
      <pane ySplit="5" topLeftCell="A6" activePane="bottomLeft" state="frozen"/>
      <selection pane="topLeft" activeCell="A1" sqref="A1"/>
      <selection pane="bottomLeft" activeCell="AM1" sqref="AM1:BI1"/>
    </sheetView>
  </sheetViews>
  <sheetFormatPr defaultColWidth="9.00390625" defaultRowHeight="12.75"/>
  <cols>
    <col min="1" max="83" width="2.75390625" style="811" customWidth="1"/>
    <col min="84" max="16384" width="9.125" style="811" customWidth="1"/>
  </cols>
  <sheetData>
    <row r="1" spans="39:61" ht="12.75">
      <c r="AM1" s="1947" t="s">
        <v>1090</v>
      </c>
      <c r="AN1" s="1947"/>
      <c r="AO1" s="1947"/>
      <c r="AP1" s="1947"/>
      <c r="AQ1" s="1947"/>
      <c r="AR1" s="1947"/>
      <c r="AS1" s="1947"/>
      <c r="AT1" s="1947"/>
      <c r="AU1" s="1947"/>
      <c r="AV1" s="1947"/>
      <c r="AW1" s="1947"/>
      <c r="AX1" s="1947"/>
      <c r="AY1" s="1947"/>
      <c r="AZ1" s="1947"/>
      <c r="BA1" s="1947"/>
      <c r="BB1" s="1947"/>
      <c r="BC1" s="1947"/>
      <c r="BD1" s="1947"/>
      <c r="BE1" s="1947"/>
      <c r="BF1" s="1947"/>
      <c r="BG1" s="1947"/>
      <c r="BH1" s="1947"/>
      <c r="BI1" s="1947"/>
    </row>
    <row r="2" spans="1:62" s="805" customFormat="1" ht="39" customHeight="1">
      <c r="A2" s="1869"/>
      <c r="B2" s="1870"/>
      <c r="C2" s="1870"/>
      <c r="D2" s="1870"/>
      <c r="E2" s="1870"/>
      <c r="F2" s="1870"/>
      <c r="G2" s="1870"/>
      <c r="H2" s="1870"/>
      <c r="I2" s="1870"/>
      <c r="J2" s="1870"/>
      <c r="K2" s="1870"/>
      <c r="L2" s="1870"/>
      <c r="M2" s="1870"/>
      <c r="N2" s="1870"/>
      <c r="O2" s="1870"/>
      <c r="P2" s="1870"/>
      <c r="Q2" s="1870"/>
      <c r="R2" s="1870"/>
      <c r="S2" s="1870"/>
      <c r="T2" s="1870"/>
      <c r="U2" s="1870"/>
      <c r="V2" s="1870"/>
      <c r="W2" s="1870"/>
      <c r="X2" s="1870"/>
      <c r="Y2" s="1870"/>
      <c r="Z2" s="1870"/>
      <c r="AA2" s="1870"/>
      <c r="AB2" s="1870"/>
      <c r="AC2" s="1870"/>
      <c r="AD2" s="1870"/>
      <c r="AE2" s="1870"/>
      <c r="AF2" s="1870"/>
      <c r="AG2" s="1870"/>
      <c r="AH2" s="1870"/>
      <c r="AI2" s="1870"/>
      <c r="AJ2" s="1870"/>
      <c r="AK2" s="1870"/>
      <c r="AL2" s="1870"/>
      <c r="AM2" s="1870"/>
      <c r="AN2" s="1870"/>
      <c r="AO2" s="1870"/>
      <c r="AP2" s="1870"/>
      <c r="AQ2" s="1870"/>
      <c r="AR2" s="1870"/>
      <c r="AS2" s="1870"/>
      <c r="AT2" s="1870"/>
      <c r="AU2" s="1870"/>
      <c r="AV2" s="1870"/>
      <c r="AW2" s="1870"/>
      <c r="AX2" s="1870"/>
      <c r="AY2" s="1870"/>
      <c r="AZ2" s="1870"/>
      <c r="BA2" s="1870"/>
      <c r="BB2" s="1870"/>
      <c r="BC2" s="1870"/>
      <c r="BD2" s="1870"/>
      <c r="BE2" s="1870"/>
      <c r="BF2" s="1870"/>
      <c r="BG2" s="1870"/>
      <c r="BH2" s="1870"/>
      <c r="BI2" s="1871"/>
      <c r="BJ2" s="1338"/>
    </row>
    <row r="3" spans="1:61" ht="12.75" customHeight="1">
      <c r="A3" s="1872" t="s">
        <v>540</v>
      </c>
      <c r="B3" s="1873"/>
      <c r="C3" s="1873"/>
      <c r="D3" s="1873"/>
      <c r="E3" s="1873"/>
      <c r="F3" s="1873"/>
      <c r="G3" s="1873"/>
      <c r="H3" s="1873"/>
      <c r="I3" s="1873"/>
      <c r="J3" s="1873"/>
      <c r="K3" s="1873"/>
      <c r="L3" s="1873"/>
      <c r="M3" s="1873"/>
      <c r="N3" s="1873"/>
      <c r="O3" s="1873"/>
      <c r="P3" s="1873"/>
      <c r="Q3" s="1873"/>
      <c r="R3" s="1873"/>
      <c r="S3" s="1873"/>
      <c r="T3" s="1873"/>
      <c r="U3" s="1873"/>
      <c r="V3" s="1873"/>
      <c r="W3" s="1873"/>
      <c r="X3" s="1873"/>
      <c r="Y3" s="1873"/>
      <c r="Z3" s="1873"/>
      <c r="AA3" s="1873"/>
      <c r="AB3" s="1873"/>
      <c r="AC3" s="1873"/>
      <c r="AD3" s="1873"/>
      <c r="AE3" s="1873"/>
      <c r="AF3" s="1873"/>
      <c r="AG3" s="1873"/>
      <c r="AH3" s="1873"/>
      <c r="AI3" s="1873"/>
      <c r="AJ3" s="1873"/>
      <c r="AK3" s="1873"/>
      <c r="AL3" s="1873"/>
      <c r="AM3" s="1873"/>
      <c r="AN3" s="1873"/>
      <c r="AO3" s="1873"/>
      <c r="AP3" s="1873"/>
      <c r="AQ3" s="1873"/>
      <c r="AR3" s="1873"/>
      <c r="AS3" s="1873"/>
      <c r="AT3" s="1873"/>
      <c r="AU3" s="1873"/>
      <c r="AV3" s="1873"/>
      <c r="AW3" s="1873"/>
      <c r="AX3" s="1873"/>
      <c r="AY3" s="1873"/>
      <c r="AZ3" s="1873"/>
      <c r="BA3" s="1873"/>
      <c r="BB3" s="1873"/>
      <c r="BC3" s="1873"/>
      <c r="BD3" s="1873"/>
      <c r="BE3" s="1873"/>
      <c r="BF3" s="1873"/>
      <c r="BG3" s="1873"/>
      <c r="BH3" s="1873"/>
      <c r="BI3" s="1873"/>
    </row>
    <row r="4" spans="1:61" s="1339" customFormat="1" ht="12.75" customHeight="1">
      <c r="A4" s="1868" t="s">
        <v>56</v>
      </c>
      <c r="B4" s="1868"/>
      <c r="C4" s="1868" t="s">
        <v>486</v>
      </c>
      <c r="D4" s="1868"/>
      <c r="E4" s="1868"/>
      <c r="F4" s="1868"/>
      <c r="G4" s="1868"/>
      <c r="H4" s="1868"/>
      <c r="I4" s="1868"/>
      <c r="J4" s="1868"/>
      <c r="K4" s="1868"/>
      <c r="L4" s="1868"/>
      <c r="M4" s="1868"/>
      <c r="N4" s="1868"/>
      <c r="O4" s="1868"/>
      <c r="P4" s="1868"/>
      <c r="Q4" s="1868"/>
      <c r="R4" s="1868"/>
      <c r="S4" s="1868"/>
      <c r="T4" s="1868"/>
      <c r="U4" s="1868"/>
      <c r="V4" s="1868"/>
      <c r="W4" s="1868"/>
      <c r="X4" s="1868"/>
      <c r="Y4" s="1868"/>
      <c r="Z4" s="1868"/>
      <c r="AA4" s="1868"/>
      <c r="AB4" s="1868"/>
      <c r="AC4" s="1868"/>
      <c r="AD4" s="1868"/>
      <c r="AE4" s="1868"/>
      <c r="AF4" s="1868" t="s">
        <v>945</v>
      </c>
      <c r="AG4" s="1868"/>
      <c r="AH4" s="1868"/>
      <c r="AI4" s="1868"/>
      <c r="AJ4" s="1868"/>
      <c r="AK4" s="1868"/>
      <c r="AL4" s="1868"/>
      <c r="AM4" s="1868"/>
      <c r="AN4" s="1868"/>
      <c r="AO4" s="1868"/>
      <c r="AP4" s="1874" t="s">
        <v>946</v>
      </c>
      <c r="AQ4" s="1874"/>
      <c r="AR4" s="1875"/>
      <c r="AS4" s="1875"/>
      <c r="AT4" s="1875"/>
      <c r="AU4" s="1874" t="s">
        <v>947</v>
      </c>
      <c r="AV4" s="1874"/>
      <c r="AW4" s="1874"/>
      <c r="AX4" s="1874"/>
      <c r="AY4" s="1874"/>
      <c r="AZ4" s="1868" t="s">
        <v>948</v>
      </c>
      <c r="BA4" s="1868"/>
      <c r="BB4" s="1868"/>
      <c r="BC4" s="1868"/>
      <c r="BD4" s="1868"/>
      <c r="BE4" s="1868"/>
      <c r="BF4" s="1868"/>
      <c r="BG4" s="1868"/>
      <c r="BH4" s="1868"/>
      <c r="BI4" s="1868"/>
    </row>
    <row r="5" spans="1:61" s="1339" customFormat="1" ht="25.5" customHeight="1">
      <c r="A5" s="1868"/>
      <c r="B5" s="1868"/>
      <c r="C5" s="1868"/>
      <c r="D5" s="1868"/>
      <c r="E5" s="1868"/>
      <c r="F5" s="1868"/>
      <c r="G5" s="1868"/>
      <c r="H5" s="1868"/>
      <c r="I5" s="1868"/>
      <c r="J5" s="1868"/>
      <c r="K5" s="1868"/>
      <c r="L5" s="1868"/>
      <c r="M5" s="1868"/>
      <c r="N5" s="1868"/>
      <c r="O5" s="1868"/>
      <c r="P5" s="1868"/>
      <c r="Q5" s="1868"/>
      <c r="R5" s="1868"/>
      <c r="S5" s="1868"/>
      <c r="T5" s="1868"/>
      <c r="U5" s="1868"/>
      <c r="V5" s="1868"/>
      <c r="W5" s="1868"/>
      <c r="X5" s="1868"/>
      <c r="Y5" s="1868"/>
      <c r="Z5" s="1868"/>
      <c r="AA5" s="1868"/>
      <c r="AB5" s="1868"/>
      <c r="AC5" s="1868"/>
      <c r="AD5" s="1868"/>
      <c r="AE5" s="1868"/>
      <c r="AF5" s="1868" t="s">
        <v>949</v>
      </c>
      <c r="AG5" s="1868"/>
      <c r="AH5" s="1868"/>
      <c r="AI5" s="1868"/>
      <c r="AJ5" s="1868"/>
      <c r="AK5" s="1868" t="s">
        <v>950</v>
      </c>
      <c r="AL5" s="1868"/>
      <c r="AM5" s="1868"/>
      <c r="AN5" s="1868"/>
      <c r="AO5" s="1868"/>
      <c r="AP5" s="1875"/>
      <c r="AQ5" s="1875"/>
      <c r="AR5" s="1875"/>
      <c r="AS5" s="1875"/>
      <c r="AT5" s="1875"/>
      <c r="AU5" s="1874"/>
      <c r="AV5" s="1874"/>
      <c r="AW5" s="1874"/>
      <c r="AX5" s="1874"/>
      <c r="AY5" s="1874"/>
      <c r="AZ5" s="1868" t="s">
        <v>949</v>
      </c>
      <c r="BA5" s="1868"/>
      <c r="BB5" s="1868"/>
      <c r="BC5" s="1868"/>
      <c r="BD5" s="1868"/>
      <c r="BE5" s="1868" t="s">
        <v>950</v>
      </c>
      <c r="BF5" s="1868"/>
      <c r="BG5" s="1868"/>
      <c r="BH5" s="1868"/>
      <c r="BI5" s="1868"/>
    </row>
    <row r="6" spans="1:61" ht="12.75" customHeight="1">
      <c r="A6" s="1876" t="s">
        <v>335</v>
      </c>
      <c r="B6" s="1876"/>
      <c r="C6" s="1837" t="s">
        <v>951</v>
      </c>
      <c r="D6" s="1837"/>
      <c r="E6" s="1837"/>
      <c r="F6" s="1837"/>
      <c r="G6" s="1837"/>
      <c r="H6" s="1837"/>
      <c r="I6" s="1837"/>
      <c r="J6" s="1837"/>
      <c r="K6" s="1837"/>
      <c r="L6" s="1837"/>
      <c r="M6" s="1837"/>
      <c r="N6" s="1837"/>
      <c r="O6" s="1837"/>
      <c r="P6" s="1837"/>
      <c r="Q6" s="1837"/>
      <c r="R6" s="1837"/>
      <c r="S6" s="1837"/>
      <c r="T6" s="1837"/>
      <c r="U6" s="1837"/>
      <c r="V6" s="1837"/>
      <c r="W6" s="1837"/>
      <c r="X6" s="1837"/>
      <c r="Y6" s="1837"/>
      <c r="Z6" s="1837"/>
      <c r="AA6" s="1837"/>
      <c r="AB6" s="1837"/>
      <c r="AC6" s="1837"/>
      <c r="AD6" s="1837"/>
      <c r="AE6" s="1837"/>
      <c r="AF6" s="1877">
        <f>233631+2806+2601659</f>
        <v>2838096</v>
      </c>
      <c r="AG6" s="1877"/>
      <c r="AH6" s="1877"/>
      <c r="AI6" s="1877"/>
      <c r="AJ6" s="1877"/>
      <c r="AK6" s="1877"/>
      <c r="AL6" s="1877"/>
      <c r="AM6" s="1877"/>
      <c r="AN6" s="1877"/>
      <c r="AO6" s="1877"/>
      <c r="AP6" s="1877"/>
      <c r="AQ6" s="1877"/>
      <c r="AR6" s="1877"/>
      <c r="AS6" s="1877"/>
      <c r="AT6" s="1877"/>
      <c r="AU6" s="1877"/>
      <c r="AV6" s="1877"/>
      <c r="AW6" s="1877"/>
      <c r="AX6" s="1877"/>
      <c r="AY6" s="1877"/>
      <c r="AZ6" s="1877">
        <f>290001+233631+2431577</f>
        <v>2955209</v>
      </c>
      <c r="BA6" s="1877"/>
      <c r="BB6" s="1877"/>
      <c r="BC6" s="1877"/>
      <c r="BD6" s="1877"/>
      <c r="BE6" s="1877"/>
      <c r="BF6" s="1877"/>
      <c r="BG6" s="1877"/>
      <c r="BH6" s="1877"/>
      <c r="BI6" s="1877"/>
    </row>
    <row r="7" spans="1:61" ht="12.75" customHeight="1">
      <c r="A7" s="1878" t="s">
        <v>337</v>
      </c>
      <c r="B7" s="1879"/>
      <c r="C7" s="1837" t="s">
        <v>952</v>
      </c>
      <c r="D7" s="1837"/>
      <c r="E7" s="1837"/>
      <c r="F7" s="1837"/>
      <c r="G7" s="1837"/>
      <c r="H7" s="1837"/>
      <c r="I7" s="1837"/>
      <c r="J7" s="1837"/>
      <c r="K7" s="1837"/>
      <c r="L7" s="1837"/>
      <c r="M7" s="1837"/>
      <c r="N7" s="1837"/>
      <c r="O7" s="1837"/>
      <c r="P7" s="1837"/>
      <c r="Q7" s="1837"/>
      <c r="R7" s="1837"/>
      <c r="S7" s="1837"/>
      <c r="T7" s="1837"/>
      <c r="U7" s="1837"/>
      <c r="V7" s="1837"/>
      <c r="W7" s="1837"/>
      <c r="X7" s="1837"/>
      <c r="Y7" s="1837"/>
      <c r="Z7" s="1837"/>
      <c r="AA7" s="1837"/>
      <c r="AB7" s="1837"/>
      <c r="AC7" s="1837"/>
      <c r="AD7" s="1837"/>
      <c r="AE7" s="1837"/>
      <c r="AF7" s="1877">
        <v>45012058</v>
      </c>
      <c r="AG7" s="1877"/>
      <c r="AH7" s="1877"/>
      <c r="AI7" s="1877"/>
      <c r="AJ7" s="1877"/>
      <c r="AK7" s="1877"/>
      <c r="AL7" s="1877"/>
      <c r="AM7" s="1877"/>
      <c r="AN7" s="1877"/>
      <c r="AO7" s="1877"/>
      <c r="AP7" s="1877"/>
      <c r="AQ7" s="1877"/>
      <c r="AR7" s="1877"/>
      <c r="AS7" s="1877"/>
      <c r="AT7" s="1877"/>
      <c r="AU7" s="1877"/>
      <c r="AV7" s="1877"/>
      <c r="AW7" s="1877"/>
      <c r="AX7" s="1877"/>
      <c r="AY7" s="1877"/>
      <c r="AZ7" s="1877">
        <v>38136237</v>
      </c>
      <c r="BA7" s="1877"/>
      <c r="BB7" s="1877"/>
      <c r="BC7" s="1877"/>
      <c r="BD7" s="1877"/>
      <c r="BE7" s="1877"/>
      <c r="BF7" s="1877"/>
      <c r="BG7" s="1877"/>
      <c r="BH7" s="1877"/>
      <c r="BI7" s="1877"/>
    </row>
    <row r="8" spans="1:61" ht="12.75" customHeight="1">
      <c r="A8" s="1878" t="s">
        <v>341</v>
      </c>
      <c r="B8" s="1879"/>
      <c r="C8" s="1837" t="s">
        <v>953</v>
      </c>
      <c r="D8" s="1837"/>
      <c r="E8" s="1837"/>
      <c r="F8" s="1837"/>
      <c r="G8" s="1837"/>
      <c r="H8" s="1837"/>
      <c r="I8" s="1837"/>
      <c r="J8" s="1837"/>
      <c r="K8" s="1837"/>
      <c r="L8" s="1837"/>
      <c r="M8" s="1837"/>
      <c r="N8" s="1837"/>
      <c r="O8" s="1837"/>
      <c r="P8" s="1837"/>
      <c r="Q8" s="1837"/>
      <c r="R8" s="1837"/>
      <c r="S8" s="1837"/>
      <c r="T8" s="1837"/>
      <c r="U8" s="1837"/>
      <c r="V8" s="1837"/>
      <c r="W8" s="1837"/>
      <c r="X8" s="1837"/>
      <c r="Y8" s="1837"/>
      <c r="Z8" s="1837"/>
      <c r="AA8" s="1837"/>
      <c r="AB8" s="1837"/>
      <c r="AC8" s="1837"/>
      <c r="AD8" s="1837"/>
      <c r="AE8" s="1837"/>
      <c r="AF8" s="1877"/>
      <c r="AG8" s="1877"/>
      <c r="AH8" s="1877"/>
      <c r="AI8" s="1877"/>
      <c r="AJ8" s="1877"/>
      <c r="AK8" s="1877"/>
      <c r="AL8" s="1877"/>
      <c r="AM8" s="1877"/>
      <c r="AN8" s="1877"/>
      <c r="AO8" s="1877"/>
      <c r="AP8" s="1877"/>
      <c r="AQ8" s="1877"/>
      <c r="AR8" s="1877"/>
      <c r="AS8" s="1877"/>
      <c r="AT8" s="1877"/>
      <c r="AU8" s="1877"/>
      <c r="AV8" s="1877"/>
      <c r="AW8" s="1877"/>
      <c r="AX8" s="1877"/>
      <c r="AY8" s="1877"/>
      <c r="AZ8" s="1877"/>
      <c r="BA8" s="1877"/>
      <c r="BB8" s="1877"/>
      <c r="BC8" s="1877"/>
      <c r="BD8" s="1877"/>
      <c r="BE8" s="1877"/>
      <c r="BF8" s="1877"/>
      <c r="BG8" s="1877"/>
      <c r="BH8" s="1877"/>
      <c r="BI8" s="1877"/>
    </row>
    <row r="9" spans="1:61" ht="12.75" customHeight="1">
      <c r="A9" s="1878" t="s">
        <v>343</v>
      </c>
      <c r="B9" s="1879"/>
      <c r="C9" s="1837" t="s">
        <v>954</v>
      </c>
      <c r="D9" s="1837"/>
      <c r="E9" s="1837"/>
      <c r="F9" s="1837"/>
      <c r="G9" s="1837"/>
      <c r="H9" s="1837"/>
      <c r="I9" s="1837"/>
      <c r="J9" s="1837"/>
      <c r="K9" s="1837"/>
      <c r="L9" s="1837"/>
      <c r="M9" s="1837"/>
      <c r="N9" s="1837"/>
      <c r="O9" s="1837"/>
      <c r="P9" s="1837"/>
      <c r="Q9" s="1837"/>
      <c r="R9" s="1837"/>
      <c r="S9" s="1837"/>
      <c r="T9" s="1837"/>
      <c r="U9" s="1837"/>
      <c r="V9" s="1837"/>
      <c r="W9" s="1837"/>
      <c r="X9" s="1837"/>
      <c r="Y9" s="1837"/>
      <c r="Z9" s="1837"/>
      <c r="AA9" s="1837"/>
      <c r="AB9" s="1837"/>
      <c r="AC9" s="1837"/>
      <c r="AD9" s="1837"/>
      <c r="AE9" s="1837"/>
      <c r="AF9" s="1877">
        <f>357580+90915+12590+593518+2147098</f>
        <v>3201701</v>
      </c>
      <c r="AG9" s="1877"/>
      <c r="AH9" s="1877"/>
      <c r="AI9" s="1877"/>
      <c r="AJ9" s="1877"/>
      <c r="AK9" s="1877"/>
      <c r="AL9" s="1877"/>
      <c r="AM9" s="1877"/>
      <c r="AN9" s="1877"/>
      <c r="AO9" s="1877"/>
      <c r="AP9" s="1877"/>
      <c r="AQ9" s="1877"/>
      <c r="AR9" s="1877"/>
      <c r="AS9" s="1877"/>
      <c r="AT9" s="1877"/>
      <c r="AU9" s="1877"/>
      <c r="AV9" s="1877"/>
      <c r="AW9" s="1877"/>
      <c r="AX9" s="1877"/>
      <c r="AY9" s="1877"/>
      <c r="AZ9" s="1877">
        <f>724994+460692+47000+1971655+648042</f>
        <v>3852383</v>
      </c>
      <c r="BA9" s="1877"/>
      <c r="BB9" s="1877"/>
      <c r="BC9" s="1877"/>
      <c r="BD9" s="1877"/>
      <c r="BE9" s="1877"/>
      <c r="BF9" s="1877"/>
      <c r="BG9" s="1877"/>
      <c r="BH9" s="1877"/>
      <c r="BI9" s="1877"/>
    </row>
    <row r="10" spans="1:61" ht="12.75" customHeight="1">
      <c r="A10" s="1878" t="s">
        <v>348</v>
      </c>
      <c r="B10" s="1879"/>
      <c r="C10" s="1837" t="s">
        <v>955</v>
      </c>
      <c r="D10" s="1837"/>
      <c r="E10" s="1837"/>
      <c r="F10" s="1837"/>
      <c r="G10" s="1837"/>
      <c r="H10" s="1837"/>
      <c r="I10" s="1837"/>
      <c r="J10" s="1837"/>
      <c r="K10" s="1837"/>
      <c r="L10" s="1837"/>
      <c r="M10" s="1837"/>
      <c r="N10" s="1837"/>
      <c r="O10" s="1837"/>
      <c r="P10" s="1837"/>
      <c r="Q10" s="1837"/>
      <c r="R10" s="1837"/>
      <c r="S10" s="1837"/>
      <c r="T10" s="1837"/>
      <c r="U10" s="1837"/>
      <c r="V10" s="1837"/>
      <c r="W10" s="1837"/>
      <c r="X10" s="1837"/>
      <c r="Y10" s="1837"/>
      <c r="Z10" s="1837"/>
      <c r="AA10" s="1837"/>
      <c r="AB10" s="1837"/>
      <c r="AC10" s="1837"/>
      <c r="AD10" s="1837"/>
      <c r="AE10" s="1837"/>
      <c r="AF10" s="1877"/>
      <c r="AG10" s="1877"/>
      <c r="AH10" s="1877"/>
      <c r="AI10" s="1877"/>
      <c r="AJ10" s="1877"/>
      <c r="AK10" s="1877"/>
      <c r="AL10" s="1877"/>
      <c r="AM10" s="1877"/>
      <c r="AN10" s="1877"/>
      <c r="AO10" s="1877"/>
      <c r="AP10" s="1877"/>
      <c r="AQ10" s="1877"/>
      <c r="AR10" s="1877"/>
      <c r="AS10" s="1877"/>
      <c r="AT10" s="1877"/>
      <c r="AU10" s="1877"/>
      <c r="AV10" s="1877"/>
      <c r="AW10" s="1877"/>
      <c r="AX10" s="1877"/>
      <c r="AY10" s="1877"/>
      <c r="AZ10" s="1877"/>
      <c r="BA10" s="1877"/>
      <c r="BB10" s="1877"/>
      <c r="BC10" s="1877"/>
      <c r="BD10" s="1877"/>
      <c r="BE10" s="1877"/>
      <c r="BF10" s="1877"/>
      <c r="BG10" s="1877"/>
      <c r="BH10" s="1877"/>
      <c r="BI10" s="1877"/>
    </row>
    <row r="11" spans="1:61" ht="12.75" customHeight="1">
      <c r="A11" s="1878" t="s">
        <v>350</v>
      </c>
      <c r="B11" s="1879"/>
      <c r="C11" s="1837" t="s">
        <v>956</v>
      </c>
      <c r="D11" s="1837"/>
      <c r="E11" s="1837"/>
      <c r="F11" s="1837"/>
      <c r="G11" s="1837"/>
      <c r="H11" s="1837"/>
      <c r="I11" s="1837"/>
      <c r="J11" s="1837"/>
      <c r="K11" s="1837"/>
      <c r="L11" s="1837"/>
      <c r="M11" s="1837"/>
      <c r="N11" s="1837"/>
      <c r="O11" s="1837"/>
      <c r="P11" s="1837"/>
      <c r="Q11" s="1837"/>
      <c r="R11" s="1837"/>
      <c r="S11" s="1837"/>
      <c r="T11" s="1837"/>
      <c r="U11" s="1837"/>
      <c r="V11" s="1837"/>
      <c r="W11" s="1837"/>
      <c r="X11" s="1837"/>
      <c r="Y11" s="1837"/>
      <c r="Z11" s="1837"/>
      <c r="AA11" s="1837"/>
      <c r="AB11" s="1837"/>
      <c r="AC11" s="1837"/>
      <c r="AD11" s="1837"/>
      <c r="AE11" s="1837"/>
      <c r="AF11" s="1877">
        <f>6445739+2539865+3765108+17869441+20941070+1102681996</f>
        <v>1154243219</v>
      </c>
      <c r="AG11" s="1877"/>
      <c r="AH11" s="1877"/>
      <c r="AI11" s="1877"/>
      <c r="AJ11" s="1877"/>
      <c r="AK11" s="1877"/>
      <c r="AL11" s="1877"/>
      <c r="AM11" s="1877"/>
      <c r="AN11" s="1877"/>
      <c r="AO11" s="1877"/>
      <c r="AP11" s="1877"/>
      <c r="AQ11" s="1877"/>
      <c r="AR11" s="1877"/>
      <c r="AS11" s="1877"/>
      <c r="AT11" s="1877"/>
      <c r="AU11" s="1877"/>
      <c r="AV11" s="1877"/>
      <c r="AW11" s="1877"/>
      <c r="AX11" s="1877"/>
      <c r="AY11" s="1877"/>
      <c r="AZ11" s="1877">
        <f>9107675+1978051+2779840+11269018+18090210+271093400</f>
        <v>314318194</v>
      </c>
      <c r="BA11" s="1877"/>
      <c r="BB11" s="1877"/>
      <c r="BC11" s="1877"/>
      <c r="BD11" s="1877"/>
      <c r="BE11" s="1877"/>
      <c r="BF11" s="1877"/>
      <c r="BG11" s="1877"/>
      <c r="BH11" s="1877"/>
      <c r="BI11" s="1877"/>
    </row>
    <row r="12" spans="1:61" ht="12.75" customHeight="1">
      <c r="A12" s="1878" t="s">
        <v>354</v>
      </c>
      <c r="B12" s="1879"/>
      <c r="C12" s="1837" t="s">
        <v>957</v>
      </c>
      <c r="D12" s="1837"/>
      <c r="E12" s="1837"/>
      <c r="F12" s="1837"/>
      <c r="G12" s="1837"/>
      <c r="H12" s="1837"/>
      <c r="I12" s="1837"/>
      <c r="J12" s="1837"/>
      <c r="K12" s="1837"/>
      <c r="L12" s="1837"/>
      <c r="M12" s="1837"/>
      <c r="N12" s="1837"/>
      <c r="O12" s="1837"/>
      <c r="P12" s="1837"/>
      <c r="Q12" s="1837"/>
      <c r="R12" s="1837"/>
      <c r="S12" s="1837"/>
      <c r="T12" s="1837"/>
      <c r="U12" s="1837"/>
      <c r="V12" s="1837"/>
      <c r="W12" s="1837"/>
      <c r="X12" s="1837"/>
      <c r="Y12" s="1837"/>
      <c r="Z12" s="1837"/>
      <c r="AA12" s="1837"/>
      <c r="AB12" s="1837"/>
      <c r="AC12" s="1837"/>
      <c r="AD12" s="1837"/>
      <c r="AE12" s="1837"/>
      <c r="AF12" s="1877"/>
      <c r="AG12" s="1877"/>
      <c r="AH12" s="1877"/>
      <c r="AI12" s="1877"/>
      <c r="AJ12" s="1877"/>
      <c r="AK12" s="1877"/>
      <c r="AL12" s="1877"/>
      <c r="AM12" s="1877"/>
      <c r="AN12" s="1877"/>
      <c r="AO12" s="1877"/>
      <c r="AP12" s="1877"/>
      <c r="AQ12" s="1877"/>
      <c r="AR12" s="1877"/>
      <c r="AS12" s="1877"/>
      <c r="AT12" s="1877"/>
      <c r="AU12" s="1877"/>
      <c r="AV12" s="1877"/>
      <c r="AW12" s="1877"/>
      <c r="AX12" s="1877"/>
      <c r="AY12" s="1877"/>
      <c r="AZ12" s="1877"/>
      <c r="BA12" s="1877"/>
      <c r="BB12" s="1877"/>
      <c r="BC12" s="1877"/>
      <c r="BD12" s="1877"/>
      <c r="BE12" s="1877"/>
      <c r="BF12" s="1877"/>
      <c r="BG12" s="1877"/>
      <c r="BH12" s="1877"/>
      <c r="BI12" s="1877"/>
    </row>
    <row r="13" spans="1:61" ht="12.75" customHeight="1">
      <c r="A13" s="1878" t="s">
        <v>356</v>
      </c>
      <c r="B13" s="1879"/>
      <c r="C13" s="1837" t="s">
        <v>958</v>
      </c>
      <c r="D13" s="1837"/>
      <c r="E13" s="1837"/>
      <c r="F13" s="1837"/>
      <c r="G13" s="1837"/>
      <c r="H13" s="1837"/>
      <c r="I13" s="1837"/>
      <c r="J13" s="1837"/>
      <c r="K13" s="1837"/>
      <c r="L13" s="1837"/>
      <c r="M13" s="1837"/>
      <c r="N13" s="1837"/>
      <c r="O13" s="1837"/>
      <c r="P13" s="1837"/>
      <c r="Q13" s="1837"/>
      <c r="R13" s="1837"/>
      <c r="S13" s="1837"/>
      <c r="T13" s="1837"/>
      <c r="U13" s="1837"/>
      <c r="V13" s="1837"/>
      <c r="W13" s="1837"/>
      <c r="X13" s="1837"/>
      <c r="Y13" s="1837"/>
      <c r="Z13" s="1837"/>
      <c r="AA13" s="1837"/>
      <c r="AB13" s="1837"/>
      <c r="AC13" s="1837"/>
      <c r="AD13" s="1837"/>
      <c r="AE13" s="1837"/>
      <c r="AF13" s="1877">
        <f>23988+3568146+1369135+258934479</f>
        <v>263895748</v>
      </c>
      <c r="AG13" s="1877"/>
      <c r="AH13" s="1877"/>
      <c r="AI13" s="1877"/>
      <c r="AJ13" s="1877"/>
      <c r="AK13" s="1877"/>
      <c r="AL13" s="1877"/>
      <c r="AM13" s="1877"/>
      <c r="AN13" s="1877"/>
      <c r="AO13" s="1877"/>
      <c r="AP13" s="1877"/>
      <c r="AQ13" s="1877"/>
      <c r="AR13" s="1877"/>
      <c r="AS13" s="1877"/>
      <c r="AT13" s="1877"/>
      <c r="AU13" s="1877"/>
      <c r="AV13" s="1877"/>
      <c r="AW13" s="1877"/>
      <c r="AX13" s="1877"/>
      <c r="AY13" s="1877"/>
      <c r="AZ13" s="1877">
        <f>44588+511640+1366494+109845231</f>
        <v>111767953</v>
      </c>
      <c r="BA13" s="1877"/>
      <c r="BB13" s="1877"/>
      <c r="BC13" s="1877"/>
      <c r="BD13" s="1877"/>
      <c r="BE13" s="1877"/>
      <c r="BF13" s="1877"/>
      <c r="BG13" s="1877"/>
      <c r="BH13" s="1877"/>
      <c r="BI13" s="1877"/>
    </row>
    <row r="14" spans="1:61" ht="12.75" customHeight="1">
      <c r="A14" s="1878" t="s">
        <v>497</v>
      </c>
      <c r="B14" s="1879"/>
      <c r="C14" s="1837" t="s">
        <v>959</v>
      </c>
      <c r="D14" s="1837"/>
      <c r="E14" s="1837"/>
      <c r="F14" s="1837"/>
      <c r="G14" s="1837"/>
      <c r="H14" s="1837"/>
      <c r="I14" s="1837"/>
      <c r="J14" s="1837"/>
      <c r="K14" s="1837"/>
      <c r="L14" s="1837"/>
      <c r="M14" s="1837"/>
      <c r="N14" s="1837"/>
      <c r="O14" s="1837"/>
      <c r="P14" s="1837"/>
      <c r="Q14" s="1837"/>
      <c r="R14" s="1837"/>
      <c r="S14" s="1837"/>
      <c r="T14" s="1837"/>
      <c r="U14" s="1837"/>
      <c r="V14" s="1837"/>
      <c r="W14" s="1837"/>
      <c r="X14" s="1837"/>
      <c r="Y14" s="1837"/>
      <c r="Z14" s="1837"/>
      <c r="AA14" s="1837"/>
      <c r="AB14" s="1837"/>
      <c r="AC14" s="1837"/>
      <c r="AD14" s="1837"/>
      <c r="AE14" s="1837"/>
      <c r="AF14" s="1877"/>
      <c r="AG14" s="1877"/>
      <c r="AH14" s="1877"/>
      <c r="AI14" s="1877"/>
      <c r="AJ14" s="1877"/>
      <c r="AK14" s="1877"/>
      <c r="AL14" s="1877"/>
      <c r="AM14" s="1877"/>
      <c r="AN14" s="1877"/>
      <c r="AO14" s="1877"/>
      <c r="AP14" s="1877"/>
      <c r="AQ14" s="1877"/>
      <c r="AR14" s="1877"/>
      <c r="AS14" s="1877"/>
      <c r="AT14" s="1877"/>
      <c r="AU14" s="1877"/>
      <c r="AV14" s="1877"/>
      <c r="AW14" s="1877"/>
      <c r="AX14" s="1877"/>
      <c r="AY14" s="1877"/>
      <c r="AZ14" s="1877"/>
      <c r="BA14" s="1877"/>
      <c r="BB14" s="1877"/>
      <c r="BC14" s="1877"/>
      <c r="BD14" s="1877"/>
      <c r="BE14" s="1877"/>
      <c r="BF14" s="1877"/>
      <c r="BG14" s="1877"/>
      <c r="BH14" s="1877"/>
      <c r="BI14" s="1877"/>
    </row>
    <row r="15" spans="1:61" ht="12.75" customHeight="1">
      <c r="A15" s="1878" t="s">
        <v>499</v>
      </c>
      <c r="B15" s="1879"/>
      <c r="C15" s="1837" t="s">
        <v>960</v>
      </c>
      <c r="D15" s="1837"/>
      <c r="E15" s="1837"/>
      <c r="F15" s="1837"/>
      <c r="G15" s="1837"/>
      <c r="H15" s="1837"/>
      <c r="I15" s="1837"/>
      <c r="J15" s="1837"/>
      <c r="K15" s="1837"/>
      <c r="L15" s="1837"/>
      <c r="M15" s="1837"/>
      <c r="N15" s="1837"/>
      <c r="O15" s="1837"/>
      <c r="P15" s="1837"/>
      <c r="Q15" s="1837"/>
      <c r="R15" s="1837"/>
      <c r="S15" s="1837"/>
      <c r="T15" s="1837"/>
      <c r="U15" s="1837"/>
      <c r="V15" s="1837"/>
      <c r="W15" s="1837"/>
      <c r="X15" s="1837"/>
      <c r="Y15" s="1837"/>
      <c r="Z15" s="1837"/>
      <c r="AA15" s="1837"/>
      <c r="AB15" s="1837"/>
      <c r="AC15" s="1837"/>
      <c r="AD15" s="1837"/>
      <c r="AE15" s="1837"/>
      <c r="AF15" s="1877"/>
      <c r="AG15" s="1877"/>
      <c r="AH15" s="1877"/>
      <c r="AI15" s="1877"/>
      <c r="AJ15" s="1877"/>
      <c r="AK15" s="1877"/>
      <c r="AL15" s="1877"/>
      <c r="AM15" s="1877"/>
      <c r="AN15" s="1877"/>
      <c r="AO15" s="1877"/>
      <c r="AP15" s="1877"/>
      <c r="AQ15" s="1877"/>
      <c r="AR15" s="1877"/>
      <c r="AS15" s="1877"/>
      <c r="AT15" s="1877"/>
      <c r="AU15" s="1877"/>
      <c r="AV15" s="1877"/>
      <c r="AW15" s="1877"/>
      <c r="AX15" s="1877"/>
      <c r="AY15" s="1877"/>
      <c r="AZ15" s="1877">
        <v>1224700000</v>
      </c>
      <c r="BA15" s="1877"/>
      <c r="BB15" s="1877"/>
      <c r="BC15" s="1877"/>
      <c r="BD15" s="1877"/>
      <c r="BE15" s="1877"/>
      <c r="BF15" s="1877"/>
      <c r="BG15" s="1877"/>
      <c r="BH15" s="1877"/>
      <c r="BI15" s="1877"/>
    </row>
    <row r="16" spans="1:61" s="1382" customFormat="1" ht="12.75" customHeight="1">
      <c r="A16" s="1883" t="s">
        <v>501</v>
      </c>
      <c r="B16" s="1884"/>
      <c r="C16" s="1859" t="s">
        <v>961</v>
      </c>
      <c r="D16" s="1859"/>
      <c r="E16" s="1859"/>
      <c r="F16" s="1859"/>
      <c r="G16" s="1859"/>
      <c r="H16" s="1859"/>
      <c r="I16" s="1859"/>
      <c r="J16" s="1859"/>
      <c r="K16" s="1859"/>
      <c r="L16" s="1859"/>
      <c r="M16" s="1859"/>
      <c r="N16" s="1859"/>
      <c r="O16" s="1859"/>
      <c r="P16" s="1859"/>
      <c r="Q16" s="1859"/>
      <c r="R16" s="1859"/>
      <c r="S16" s="1859"/>
      <c r="T16" s="1859"/>
      <c r="U16" s="1859"/>
      <c r="V16" s="1859"/>
      <c r="W16" s="1859"/>
      <c r="X16" s="1859"/>
      <c r="Y16" s="1859"/>
      <c r="Z16" s="1859"/>
      <c r="AA16" s="1859"/>
      <c r="AB16" s="1859"/>
      <c r="AC16" s="1859"/>
      <c r="AD16" s="1859"/>
      <c r="AE16" s="1859"/>
      <c r="AF16" s="1880">
        <f>SUM(AF6:AJ15)</f>
        <v>1469190822</v>
      </c>
      <c r="AG16" s="1881"/>
      <c r="AH16" s="1881"/>
      <c r="AI16" s="1881"/>
      <c r="AJ16" s="1882"/>
      <c r="AK16" s="1880">
        <f>SUM(AK6:AO15)</f>
        <v>0</v>
      </c>
      <c r="AL16" s="1881"/>
      <c r="AM16" s="1881"/>
      <c r="AN16" s="1881"/>
      <c r="AO16" s="1882"/>
      <c r="AP16" s="1880">
        <f>SUM(AP6:AT15)</f>
        <v>0</v>
      </c>
      <c r="AQ16" s="1881"/>
      <c r="AR16" s="1881"/>
      <c r="AS16" s="1881"/>
      <c r="AT16" s="1882"/>
      <c r="AU16" s="1880">
        <f>SUM(AU6:AY15)</f>
        <v>0</v>
      </c>
      <c r="AV16" s="1881"/>
      <c r="AW16" s="1881"/>
      <c r="AX16" s="1881"/>
      <c r="AY16" s="1882"/>
      <c r="AZ16" s="1880">
        <f>SUM(AZ6:BD15)</f>
        <v>1695729976</v>
      </c>
      <c r="BA16" s="1881"/>
      <c r="BB16" s="1881"/>
      <c r="BC16" s="1881"/>
      <c r="BD16" s="1882"/>
      <c r="BE16" s="1880">
        <f>SUM(BE6:BI15)</f>
        <v>0</v>
      </c>
      <c r="BF16" s="1881"/>
      <c r="BG16" s="1881"/>
      <c r="BH16" s="1881"/>
      <c r="BI16" s="1882"/>
    </row>
  </sheetData>
  <sheetProtection/>
  <mergeCells count="101">
    <mergeCell ref="AM1:BI1"/>
    <mergeCell ref="AZ15:BD15"/>
    <mergeCell ref="BE15:BI15"/>
    <mergeCell ref="AZ16:BD16"/>
    <mergeCell ref="BE16:BI16"/>
    <mergeCell ref="A16:B16"/>
    <mergeCell ref="C16:AE16"/>
    <mergeCell ref="AF16:AJ16"/>
    <mergeCell ref="AK16:AO16"/>
    <mergeCell ref="AP16:AT16"/>
    <mergeCell ref="AU16:AY16"/>
    <mergeCell ref="A15:B15"/>
    <mergeCell ref="C15:AE15"/>
    <mergeCell ref="AF15:AJ15"/>
    <mergeCell ref="AK15:AO15"/>
    <mergeCell ref="AP15:AT15"/>
    <mergeCell ref="AU15:AY15"/>
    <mergeCell ref="AZ13:BD13"/>
    <mergeCell ref="BE13:BI13"/>
    <mergeCell ref="A14:B14"/>
    <mergeCell ref="C14:AE14"/>
    <mergeCell ref="AF14:AJ14"/>
    <mergeCell ref="AK14:AO14"/>
    <mergeCell ref="AP14:AT14"/>
    <mergeCell ref="AU14:AY14"/>
    <mergeCell ref="AZ14:BD14"/>
    <mergeCell ref="BE14:BI14"/>
    <mergeCell ref="A13:B13"/>
    <mergeCell ref="C13:AE13"/>
    <mergeCell ref="AF13:AJ13"/>
    <mergeCell ref="AK13:AO13"/>
    <mergeCell ref="AP13:AT13"/>
    <mergeCell ref="AU13:AY13"/>
    <mergeCell ref="AZ11:BD11"/>
    <mergeCell ref="BE11:BI11"/>
    <mergeCell ref="A12:B12"/>
    <mergeCell ref="C12:AE12"/>
    <mergeCell ref="AF12:AJ12"/>
    <mergeCell ref="AK12:AO12"/>
    <mergeCell ref="AP12:AT12"/>
    <mergeCell ref="AU12:AY12"/>
    <mergeCell ref="AZ12:BD12"/>
    <mergeCell ref="BE12:BI12"/>
    <mergeCell ref="A11:B11"/>
    <mergeCell ref="C11:AE11"/>
    <mergeCell ref="AF11:AJ11"/>
    <mergeCell ref="AK11:AO11"/>
    <mergeCell ref="AP11:AT11"/>
    <mergeCell ref="AU11:AY11"/>
    <mergeCell ref="AZ9:BD9"/>
    <mergeCell ref="BE9:BI9"/>
    <mergeCell ref="A10:B10"/>
    <mergeCell ref="C10:AE10"/>
    <mergeCell ref="AF10:AJ10"/>
    <mergeCell ref="AK10:AO10"/>
    <mergeCell ref="AP10:AT10"/>
    <mergeCell ref="AU10:AY10"/>
    <mergeCell ref="AZ10:BD10"/>
    <mergeCell ref="BE10:BI10"/>
    <mergeCell ref="A9:B9"/>
    <mergeCell ref="C9:AE9"/>
    <mergeCell ref="AF9:AJ9"/>
    <mergeCell ref="AK9:AO9"/>
    <mergeCell ref="AP9:AT9"/>
    <mergeCell ref="AU9:AY9"/>
    <mergeCell ref="AZ7:BD7"/>
    <mergeCell ref="BE7:BI7"/>
    <mergeCell ref="A8:B8"/>
    <mergeCell ref="C8:AE8"/>
    <mergeCell ref="AF8:AJ8"/>
    <mergeCell ref="AK8:AO8"/>
    <mergeCell ref="AP8:AT8"/>
    <mergeCell ref="AU8:AY8"/>
    <mergeCell ref="AZ8:BD8"/>
    <mergeCell ref="BE8:BI8"/>
    <mergeCell ref="A7:B7"/>
    <mergeCell ref="C7:AE7"/>
    <mergeCell ref="AF7:AJ7"/>
    <mergeCell ref="AK7:AO7"/>
    <mergeCell ref="AP7:AT7"/>
    <mergeCell ref="AU7:AY7"/>
    <mergeCell ref="AU4:AY5"/>
    <mergeCell ref="AZ4:BI4"/>
    <mergeCell ref="A6:B6"/>
    <mergeCell ref="C6:AE6"/>
    <mergeCell ref="AF6:AJ6"/>
    <mergeCell ref="AK6:AO6"/>
    <mergeCell ref="AP6:AT6"/>
    <mergeCell ref="AU6:AY6"/>
    <mergeCell ref="AZ6:BD6"/>
    <mergeCell ref="BE6:BI6"/>
    <mergeCell ref="AF5:AJ5"/>
    <mergeCell ref="AK5:AO5"/>
    <mergeCell ref="AZ5:BD5"/>
    <mergeCell ref="BE5:BI5"/>
    <mergeCell ref="A2:BI2"/>
    <mergeCell ref="A3:BI3"/>
    <mergeCell ref="A4:B5"/>
    <mergeCell ref="C4:AE5"/>
    <mergeCell ref="AF4:AO4"/>
    <mergeCell ref="AP4:AT5"/>
  </mergeCells>
  <printOptions horizontalCentered="1"/>
  <pageMargins left="0.1968503937007874" right="0.1968503937007874" top="0.5905511811023622" bottom="0.5905511811023622" header="0.5118110236220472" footer="0.5118110236220472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4.125" style="633" customWidth="1"/>
    <col min="2" max="2" width="56.25390625" style="41" customWidth="1"/>
    <col min="3" max="3" width="11.375" style="648" customWidth="1"/>
    <col min="4" max="4" width="11.625" style="648" customWidth="1"/>
    <col min="5" max="5" width="10.75390625" style="649" customWidth="1"/>
    <col min="6" max="16384" width="9.125" style="1" customWidth="1"/>
  </cols>
  <sheetData>
    <row r="1" spans="2:5" ht="12.75">
      <c r="B1" s="1927" t="s">
        <v>1073</v>
      </c>
      <c r="C1" s="1927"/>
      <c r="D1" s="1927"/>
      <c r="E1" s="1927"/>
    </row>
    <row r="4" spans="3:5" ht="13.5" thickBot="1">
      <c r="C4" s="634"/>
      <c r="D4" s="634"/>
      <c r="E4" s="748" t="s">
        <v>2</v>
      </c>
    </row>
    <row r="5" spans="1:5" ht="4.5" customHeight="1">
      <c r="A5" s="42"/>
      <c r="B5" s="43"/>
      <c r="C5" s="44"/>
      <c r="D5" s="44"/>
      <c r="E5" s="45"/>
    </row>
    <row r="6" spans="1:5" s="2" customFormat="1" ht="12.75">
      <c r="A6" s="1449" t="s">
        <v>15</v>
      </c>
      <c r="B6" s="1450"/>
      <c r="C6" s="47" t="s">
        <v>16</v>
      </c>
      <c r="D6" s="47" t="s">
        <v>17</v>
      </c>
      <c r="E6" s="1451" t="s">
        <v>18</v>
      </c>
    </row>
    <row r="7" spans="1:5" s="2" customFormat="1" ht="12.75">
      <c r="A7" s="1449"/>
      <c r="B7" s="1450"/>
      <c r="C7" s="47" t="s">
        <v>19</v>
      </c>
      <c r="D7" s="47" t="s">
        <v>19</v>
      </c>
      <c r="E7" s="1451"/>
    </row>
    <row r="8" spans="1:5" ht="4.5" customHeight="1" thickBot="1">
      <c r="A8" s="48"/>
      <c r="B8" s="49"/>
      <c r="C8" s="50"/>
      <c r="D8" s="50"/>
      <c r="E8" s="51"/>
    </row>
    <row r="9" spans="1:5" ht="13.5" customHeight="1" thickBot="1">
      <c r="A9" s="1452" t="s">
        <v>20</v>
      </c>
      <c r="B9" s="1453"/>
      <c r="C9" s="1453"/>
      <c r="D9" s="1453"/>
      <c r="E9" s="1454"/>
    </row>
    <row r="10" spans="1:5" s="3" customFormat="1" ht="15" customHeight="1">
      <c r="A10" s="46" t="s">
        <v>21</v>
      </c>
      <c r="B10" s="52" t="s">
        <v>128</v>
      </c>
      <c r="C10" s="635"/>
      <c r="D10" s="635"/>
      <c r="E10" s="636"/>
    </row>
    <row r="11" spans="1:5" s="3" customFormat="1" ht="15" customHeight="1">
      <c r="A11" s="46"/>
      <c r="B11" s="53" t="s">
        <v>149</v>
      </c>
      <c r="C11" s="54">
        <f>'3.bev '!F11+'3.bev '!F23</f>
        <v>101714</v>
      </c>
      <c r="D11" s="54">
        <f>'3.bev '!G11+'3.bev '!G23</f>
        <v>0</v>
      </c>
      <c r="E11" s="55">
        <f>C11+D11</f>
        <v>101714</v>
      </c>
    </row>
    <row r="12" spans="1:5" s="3" customFormat="1" ht="15" customHeight="1">
      <c r="A12" s="46"/>
      <c r="B12" s="53" t="s">
        <v>150</v>
      </c>
      <c r="C12" s="54">
        <f>'3.bev '!F12+'3.bev '!F24</f>
        <v>115000</v>
      </c>
      <c r="D12" s="54">
        <f>'3.bev '!G32</f>
        <v>1800</v>
      </c>
      <c r="E12" s="55">
        <f aca="true" t="shared" si="0" ref="E12:E46">C12+D12</f>
        <v>116800</v>
      </c>
    </row>
    <row r="13" spans="1:5" s="3" customFormat="1" ht="15" customHeight="1">
      <c r="A13" s="46"/>
      <c r="B13" s="210" t="s">
        <v>151</v>
      </c>
      <c r="C13" s="54">
        <f>'3.bev '!F13+'3.bev '!F25</f>
        <v>110493</v>
      </c>
      <c r="D13" s="54">
        <f>'3.bev '!G13+'3.bev '!G25</f>
        <v>1800</v>
      </c>
      <c r="E13" s="55">
        <f t="shared" si="0"/>
        <v>112293</v>
      </c>
    </row>
    <row r="14" spans="1:5" s="3" customFormat="1" ht="12.75" customHeight="1">
      <c r="A14" s="46"/>
      <c r="B14" s="56" t="s">
        <v>109</v>
      </c>
      <c r="C14" s="57"/>
      <c r="D14" s="57"/>
      <c r="E14" s="55"/>
    </row>
    <row r="15" spans="1:5" s="3" customFormat="1" ht="12.75" customHeight="1">
      <c r="A15" s="46"/>
      <c r="B15" s="53" t="s">
        <v>149</v>
      </c>
      <c r="C15" s="57">
        <f>'4.int.bev '!G11</f>
        <v>31905</v>
      </c>
      <c r="D15" s="57"/>
      <c r="E15" s="55">
        <f t="shared" si="0"/>
        <v>31905</v>
      </c>
    </row>
    <row r="16" spans="1:5" s="3" customFormat="1" ht="12.75" customHeight="1">
      <c r="A16" s="46"/>
      <c r="B16" s="53" t="s">
        <v>150</v>
      </c>
      <c r="C16" s="57">
        <f>'4.int.bev '!G12</f>
        <v>37140</v>
      </c>
      <c r="D16" s="57"/>
      <c r="E16" s="55">
        <f t="shared" si="0"/>
        <v>37140</v>
      </c>
    </row>
    <row r="17" spans="1:5" s="3" customFormat="1" ht="12.75" customHeight="1">
      <c r="A17" s="46"/>
      <c r="B17" s="210" t="s">
        <v>151</v>
      </c>
      <c r="C17" s="57">
        <f>'4.int.bev '!G13</f>
        <v>37231</v>
      </c>
      <c r="D17" s="57"/>
      <c r="E17" s="55">
        <f t="shared" si="0"/>
        <v>37231</v>
      </c>
    </row>
    <row r="18" spans="1:5" s="3" customFormat="1" ht="16.5" customHeight="1">
      <c r="A18" s="46" t="s">
        <v>22</v>
      </c>
      <c r="B18" s="59" t="s">
        <v>127</v>
      </c>
      <c r="C18" s="464"/>
      <c r="D18" s="464"/>
      <c r="E18" s="55"/>
    </row>
    <row r="19" spans="1:5" s="4" customFormat="1" ht="12" customHeight="1">
      <c r="A19" s="60" t="s">
        <v>4</v>
      </c>
      <c r="B19" s="61" t="s">
        <v>306</v>
      </c>
      <c r="C19" s="62"/>
      <c r="D19" s="637"/>
      <c r="E19" s="55"/>
    </row>
    <row r="20" spans="1:5" s="4" customFormat="1" ht="12" customHeight="1">
      <c r="A20" s="60"/>
      <c r="B20" s="53" t="s">
        <v>149</v>
      </c>
      <c r="C20" s="62">
        <f>'3.bev '!F50</f>
        <v>785678</v>
      </c>
      <c r="D20" s="637"/>
      <c r="E20" s="55">
        <f t="shared" si="0"/>
        <v>785678</v>
      </c>
    </row>
    <row r="21" spans="1:5" s="4" customFormat="1" ht="12" customHeight="1">
      <c r="A21" s="60"/>
      <c r="B21" s="53" t="s">
        <v>150</v>
      </c>
      <c r="C21" s="62">
        <f>'3.bev '!F51</f>
        <v>878804</v>
      </c>
      <c r="D21" s="637"/>
      <c r="E21" s="55">
        <f t="shared" si="0"/>
        <v>878804</v>
      </c>
    </row>
    <row r="22" spans="1:5" s="4" customFormat="1" ht="12" customHeight="1">
      <c r="A22" s="60"/>
      <c r="B22" s="210" t="s">
        <v>151</v>
      </c>
      <c r="C22" s="62">
        <f>'3.bev '!F52+'3.bev '!F78</f>
        <v>905529</v>
      </c>
      <c r="D22" s="637"/>
      <c r="E22" s="55">
        <f t="shared" si="0"/>
        <v>905529</v>
      </c>
    </row>
    <row r="23" spans="1:6" s="4" customFormat="1" ht="12" customHeight="1">
      <c r="A23" s="60" t="s">
        <v>5</v>
      </c>
      <c r="B23" s="733" t="s">
        <v>307</v>
      </c>
      <c r="C23" s="637"/>
      <c r="D23" s="62"/>
      <c r="E23" s="55"/>
      <c r="F23" s="499"/>
    </row>
    <row r="24" spans="1:6" s="4" customFormat="1" ht="12" customHeight="1">
      <c r="A24" s="60"/>
      <c r="B24" s="53" t="s">
        <v>149</v>
      </c>
      <c r="C24" s="637"/>
      <c r="D24" s="62">
        <f>'3.bev '!G165</f>
        <v>35526</v>
      </c>
      <c r="E24" s="55">
        <f t="shared" si="0"/>
        <v>35526</v>
      </c>
      <c r="F24" s="499"/>
    </row>
    <row r="25" spans="1:6" s="4" customFormat="1" ht="12" customHeight="1">
      <c r="A25" s="60"/>
      <c r="B25" s="53" t="s">
        <v>150</v>
      </c>
      <c r="C25" s="637"/>
      <c r="D25" s="62">
        <f>'3.bev '!G166</f>
        <v>150738</v>
      </c>
      <c r="E25" s="55">
        <f t="shared" si="0"/>
        <v>150738</v>
      </c>
      <c r="F25" s="499"/>
    </row>
    <row r="26" spans="1:6" s="4" customFormat="1" ht="12" customHeight="1">
      <c r="A26" s="60"/>
      <c r="B26" s="210" t="s">
        <v>151</v>
      </c>
      <c r="C26" s="637"/>
      <c r="D26" s="62">
        <f>'3.bev '!G167</f>
        <v>145711</v>
      </c>
      <c r="E26" s="55">
        <f t="shared" si="0"/>
        <v>145711</v>
      </c>
      <c r="F26" s="499"/>
    </row>
    <row r="27" spans="1:5" s="4" customFormat="1" ht="12" customHeight="1">
      <c r="A27" s="60" t="s">
        <v>6</v>
      </c>
      <c r="B27" s="63" t="s">
        <v>106</v>
      </c>
      <c r="C27" s="62"/>
      <c r="D27" s="62"/>
      <c r="E27" s="55"/>
    </row>
    <row r="28" spans="1:5" s="4" customFormat="1" ht="12" customHeight="1">
      <c r="A28" s="60"/>
      <c r="B28" s="53" t="s">
        <v>149</v>
      </c>
      <c r="C28" s="62">
        <f>'3.bev '!F225</f>
        <v>591500</v>
      </c>
      <c r="D28" s="62"/>
      <c r="E28" s="55">
        <f t="shared" si="0"/>
        <v>591500</v>
      </c>
    </row>
    <row r="29" spans="1:5" s="4" customFormat="1" ht="12" customHeight="1">
      <c r="A29" s="60"/>
      <c r="B29" s="53" t="s">
        <v>150</v>
      </c>
      <c r="C29" s="62">
        <f>'3.bev '!F226</f>
        <v>591500</v>
      </c>
      <c r="D29" s="62"/>
      <c r="E29" s="55">
        <f t="shared" si="0"/>
        <v>591500</v>
      </c>
    </row>
    <row r="30" spans="1:5" s="4" customFormat="1" ht="12" customHeight="1">
      <c r="A30" s="60"/>
      <c r="B30" s="210" t="s">
        <v>151</v>
      </c>
      <c r="C30" s="62">
        <f>'3.bev '!F227</f>
        <v>898125</v>
      </c>
      <c r="D30" s="62"/>
      <c r="E30" s="55">
        <f t="shared" si="0"/>
        <v>898125</v>
      </c>
    </row>
    <row r="31" spans="1:5" s="4" customFormat="1" ht="12" customHeight="1">
      <c r="A31" s="60" t="s">
        <v>7</v>
      </c>
      <c r="B31" s="63" t="s">
        <v>308</v>
      </c>
      <c r="C31" s="64"/>
      <c r="D31" s="638"/>
      <c r="E31" s="55"/>
    </row>
    <row r="32" spans="1:5" s="4" customFormat="1" ht="12" customHeight="1">
      <c r="A32" s="60"/>
      <c r="B32" s="53" t="s">
        <v>149</v>
      </c>
      <c r="C32" s="64">
        <f>'3.bev '!F290</f>
        <v>93362</v>
      </c>
      <c r="D32" s="638"/>
      <c r="E32" s="55">
        <f t="shared" si="0"/>
        <v>93362</v>
      </c>
    </row>
    <row r="33" spans="1:5" s="4" customFormat="1" ht="12" customHeight="1">
      <c r="A33" s="60"/>
      <c r="B33" s="53" t="s">
        <v>150</v>
      </c>
      <c r="C33" s="64">
        <f>'3.bev '!F291</f>
        <v>94945</v>
      </c>
      <c r="D33" s="638"/>
      <c r="E33" s="55">
        <f t="shared" si="0"/>
        <v>94945</v>
      </c>
    </row>
    <row r="34" spans="1:5" s="4" customFormat="1" ht="12" customHeight="1">
      <c r="A34" s="60"/>
      <c r="B34" s="210" t="s">
        <v>151</v>
      </c>
      <c r="C34" s="64">
        <f>'3.bev '!F292</f>
        <v>112691</v>
      </c>
      <c r="D34" s="638"/>
      <c r="E34" s="55">
        <f t="shared" si="0"/>
        <v>112691</v>
      </c>
    </row>
    <row r="35" spans="1:5" s="4" customFormat="1" ht="12" customHeight="1">
      <c r="A35" s="60" t="s">
        <v>8</v>
      </c>
      <c r="B35" s="63" t="s">
        <v>309</v>
      </c>
      <c r="C35" s="638"/>
      <c r="D35" s="64"/>
      <c r="E35" s="55"/>
    </row>
    <row r="36" spans="1:5" s="4" customFormat="1" ht="12" customHeight="1">
      <c r="A36" s="60"/>
      <c r="B36" s="53" t="s">
        <v>149</v>
      </c>
      <c r="C36" s="638"/>
      <c r="D36" s="64">
        <v>0</v>
      </c>
      <c r="E36" s="55">
        <f t="shared" si="0"/>
        <v>0</v>
      </c>
    </row>
    <row r="37" spans="1:5" s="4" customFormat="1" ht="12" customHeight="1">
      <c r="A37" s="60"/>
      <c r="B37" s="53" t="s">
        <v>150</v>
      </c>
      <c r="C37" s="638"/>
      <c r="D37" s="64">
        <f>'3.bev '!H394+'3.bev '!G391</f>
        <v>81726</v>
      </c>
      <c r="E37" s="55">
        <f t="shared" si="0"/>
        <v>81726</v>
      </c>
    </row>
    <row r="38" spans="1:5" s="4" customFormat="1" ht="12" customHeight="1">
      <c r="A38" s="60"/>
      <c r="B38" s="210" t="s">
        <v>151</v>
      </c>
      <c r="C38" s="638"/>
      <c r="D38" s="64">
        <f>'3.bev '!H395+'3.bev '!G392</f>
        <v>96583</v>
      </c>
      <c r="E38" s="55">
        <f t="shared" si="0"/>
        <v>96583</v>
      </c>
    </row>
    <row r="39" spans="1:5" s="4" customFormat="1" ht="12" customHeight="1">
      <c r="A39" s="60" t="s">
        <v>9</v>
      </c>
      <c r="B39" s="63" t="s">
        <v>310</v>
      </c>
      <c r="C39" s="64"/>
      <c r="D39" s="638"/>
      <c r="E39" s="55"/>
    </row>
    <row r="40" spans="1:5" s="4" customFormat="1" ht="12" customHeight="1">
      <c r="A40" s="60"/>
      <c r="B40" s="53" t="s">
        <v>149</v>
      </c>
      <c r="C40" s="64">
        <f>'3.bev '!F398</f>
        <v>0</v>
      </c>
      <c r="D40" s="638"/>
      <c r="E40" s="55">
        <f t="shared" si="0"/>
        <v>0</v>
      </c>
    </row>
    <row r="41" spans="1:5" s="4" customFormat="1" ht="12" customHeight="1">
      <c r="A41" s="60"/>
      <c r="B41" s="53" t="s">
        <v>150</v>
      </c>
      <c r="C41" s="64">
        <f>'3.bev '!F399</f>
        <v>8324</v>
      </c>
      <c r="D41" s="638"/>
      <c r="E41" s="55">
        <f t="shared" si="0"/>
        <v>8324</v>
      </c>
    </row>
    <row r="42" spans="1:5" s="4" customFormat="1" ht="12" customHeight="1">
      <c r="A42" s="60"/>
      <c r="B42" s="210" t="s">
        <v>151</v>
      </c>
      <c r="C42" s="64">
        <f>'3.bev '!F400</f>
        <v>8324</v>
      </c>
      <c r="D42" s="638"/>
      <c r="E42" s="55">
        <f t="shared" si="0"/>
        <v>8324</v>
      </c>
    </row>
    <row r="43" spans="1:5" s="4" customFormat="1" ht="12" customHeight="1">
      <c r="A43" s="60" t="s">
        <v>10</v>
      </c>
      <c r="B43" s="63" t="s">
        <v>216</v>
      </c>
      <c r="C43" s="638"/>
      <c r="D43" s="64"/>
      <c r="E43" s="55"/>
    </row>
    <row r="44" spans="1:5" s="4" customFormat="1" ht="12" customHeight="1">
      <c r="A44" s="60"/>
      <c r="B44" s="53" t="s">
        <v>149</v>
      </c>
      <c r="C44" s="658"/>
      <c r="D44" s="66">
        <f>'3.bev '!G403+'3.bev '!G406+'3.bev '!G414</f>
        <v>2500</v>
      </c>
      <c r="E44" s="55">
        <f t="shared" si="0"/>
        <v>2500</v>
      </c>
    </row>
    <row r="45" spans="1:5" s="4" customFormat="1" ht="12" customHeight="1">
      <c r="A45" s="60"/>
      <c r="B45" s="53" t="s">
        <v>150</v>
      </c>
      <c r="C45" s="638"/>
      <c r="D45" s="64">
        <f>'3.bev '!G404+'3.bev '!G407+'3.bev '!G411+'3.bev '!G415</f>
        <v>4000</v>
      </c>
      <c r="E45" s="55">
        <f t="shared" si="0"/>
        <v>4000</v>
      </c>
    </row>
    <row r="46" spans="1:5" s="4" customFormat="1" ht="12" customHeight="1" thickBot="1">
      <c r="A46" s="60"/>
      <c r="B46" s="210" t="s">
        <v>151</v>
      </c>
      <c r="C46" s="658"/>
      <c r="D46" s="66">
        <f>'3.bev '!G405+'3.bev '!H416+'3.bev '!G408+'3.bev '!G412</f>
        <v>4255</v>
      </c>
      <c r="E46" s="55">
        <f t="shared" si="0"/>
        <v>4255</v>
      </c>
    </row>
    <row r="47" spans="1:5" s="5" customFormat="1" ht="14.25" customHeight="1" thickBot="1" thickTop="1">
      <c r="A47" s="1441" t="s">
        <v>124</v>
      </c>
      <c r="B47" s="1442"/>
      <c r="C47" s="491"/>
      <c r="D47" s="491"/>
      <c r="E47" s="492"/>
    </row>
    <row r="48" spans="1:5" s="5" customFormat="1" ht="14.25" customHeight="1" thickTop="1">
      <c r="A48" s="67"/>
      <c r="B48" s="53" t="s">
        <v>149</v>
      </c>
      <c r="C48" s="451">
        <f aca="true" t="shared" si="1" ref="C48:D50">C20+C24+C28+C32+C36+C40+C44</f>
        <v>1470540</v>
      </c>
      <c r="D48" s="451">
        <f t="shared" si="1"/>
        <v>38026</v>
      </c>
      <c r="E48" s="493">
        <f>C48+D48</f>
        <v>1508566</v>
      </c>
    </row>
    <row r="49" spans="1:5" s="5" customFormat="1" ht="14.25" customHeight="1">
      <c r="A49" s="80"/>
      <c r="B49" s="53" t="s">
        <v>150</v>
      </c>
      <c r="C49" s="69">
        <f t="shared" si="1"/>
        <v>1573573</v>
      </c>
      <c r="D49" s="69">
        <f t="shared" si="1"/>
        <v>236464</v>
      </c>
      <c r="E49" s="70">
        <f>C49+D49</f>
        <v>1810037</v>
      </c>
    </row>
    <row r="50" spans="1:5" s="5" customFormat="1" ht="14.25" customHeight="1" thickBot="1">
      <c r="A50" s="71"/>
      <c r="B50" s="210" t="s">
        <v>151</v>
      </c>
      <c r="C50" s="450">
        <f t="shared" si="1"/>
        <v>1924669</v>
      </c>
      <c r="D50" s="450">
        <f>D22+D26+D30+D34+D38+D42+D46</f>
        <v>246549</v>
      </c>
      <c r="E50" s="494">
        <f>C50+D50</f>
        <v>2171218</v>
      </c>
    </row>
    <row r="51" spans="1:5" s="6" customFormat="1" ht="15" customHeight="1" thickBot="1" thickTop="1">
      <c r="A51" s="1445" t="s">
        <v>311</v>
      </c>
      <c r="B51" s="1446"/>
      <c r="C51" s="503"/>
      <c r="D51" s="503"/>
      <c r="E51" s="505"/>
    </row>
    <row r="52" spans="1:5" s="6" customFormat="1" ht="15" customHeight="1" thickTop="1">
      <c r="A52" s="640"/>
      <c r="B52" s="53" t="s">
        <v>149</v>
      </c>
      <c r="C52" s="402">
        <f aca="true" t="shared" si="2" ref="C52:D54">C48+C11</f>
        <v>1572254</v>
      </c>
      <c r="D52" s="402">
        <f t="shared" si="2"/>
        <v>38026</v>
      </c>
      <c r="E52" s="490">
        <f>D52+C52</f>
        <v>1610280</v>
      </c>
    </row>
    <row r="53" spans="1:5" s="6" customFormat="1" ht="15" customHeight="1">
      <c r="A53" s="72"/>
      <c r="B53" s="53" t="s">
        <v>150</v>
      </c>
      <c r="C53" s="31">
        <f t="shared" si="2"/>
        <v>1688573</v>
      </c>
      <c r="D53" s="31">
        <f t="shared" si="2"/>
        <v>238264</v>
      </c>
      <c r="E53" s="65">
        <f>D53+C53</f>
        <v>1926837</v>
      </c>
    </row>
    <row r="54" spans="1:5" s="6" customFormat="1" ht="15" customHeight="1" thickBot="1">
      <c r="A54" s="74"/>
      <c r="B54" s="137" t="s">
        <v>151</v>
      </c>
      <c r="C54" s="502">
        <f t="shared" si="2"/>
        <v>2035162</v>
      </c>
      <c r="D54" s="502">
        <f t="shared" si="2"/>
        <v>248349</v>
      </c>
      <c r="E54" s="659">
        <f>D54+C54</f>
        <v>2283511</v>
      </c>
    </row>
    <row r="55" spans="1:7" s="6" customFormat="1" ht="18.75" customHeight="1" thickBot="1" thickTop="1">
      <c r="A55" s="1445" t="s">
        <v>196</v>
      </c>
      <c r="B55" s="1446"/>
      <c r="C55" s="503"/>
      <c r="D55" s="503"/>
      <c r="E55" s="639"/>
      <c r="G55" s="26"/>
    </row>
    <row r="56" spans="1:7" s="6" customFormat="1" ht="13.5" customHeight="1" thickTop="1">
      <c r="A56" s="640"/>
      <c r="B56" s="53" t="s">
        <v>149</v>
      </c>
      <c r="C56" s="402">
        <f aca="true" t="shared" si="3" ref="C56:D58">C52-C106-C123</f>
        <v>-537541</v>
      </c>
      <c r="D56" s="402">
        <f t="shared" si="3"/>
        <v>-690584</v>
      </c>
      <c r="E56" s="490">
        <f>D56+C56</f>
        <v>-1228125</v>
      </c>
      <c r="G56" s="26"/>
    </row>
    <row r="57" spans="1:7" s="6" customFormat="1" ht="13.5" customHeight="1">
      <c r="A57" s="72"/>
      <c r="B57" s="53" t="s">
        <v>150</v>
      </c>
      <c r="C57" s="31">
        <f t="shared" si="3"/>
        <v>-537604</v>
      </c>
      <c r="D57" s="31">
        <f t="shared" si="3"/>
        <v>-940584</v>
      </c>
      <c r="E57" s="65">
        <f>D57+C57</f>
        <v>-1478188</v>
      </c>
      <c r="G57" s="26"/>
    </row>
    <row r="58" spans="1:7" s="6" customFormat="1" ht="13.5" customHeight="1" thickBot="1">
      <c r="A58" s="1101"/>
      <c r="B58" s="313" t="s">
        <v>151</v>
      </c>
      <c r="C58" s="661">
        <f t="shared" si="3"/>
        <v>414388</v>
      </c>
      <c r="D58" s="661">
        <f t="shared" si="3"/>
        <v>-196663</v>
      </c>
      <c r="E58" s="1102">
        <f>D58+C58</f>
        <v>217725</v>
      </c>
      <c r="G58" s="26"/>
    </row>
    <row r="59" spans="1:7" s="6" customFormat="1" ht="15" customHeight="1">
      <c r="A59" s="1103" t="s">
        <v>26</v>
      </c>
      <c r="B59" s="1104" t="s">
        <v>312</v>
      </c>
      <c r="C59" s="1105"/>
      <c r="D59" s="1105"/>
      <c r="E59" s="1106"/>
      <c r="G59" s="26"/>
    </row>
    <row r="60" spans="1:7" s="6" customFormat="1" ht="15.75" customHeight="1">
      <c r="A60" s="641" t="s">
        <v>4</v>
      </c>
      <c r="B60" s="1455" t="s">
        <v>817</v>
      </c>
      <c r="C60" s="1456"/>
      <c r="D60" s="1456"/>
      <c r="E60" s="1457"/>
      <c r="G60" s="26"/>
    </row>
    <row r="61" spans="1:7" s="6" customFormat="1" ht="15.75" customHeight="1">
      <c r="A61" s="660"/>
      <c r="B61" s="53" t="s">
        <v>149</v>
      </c>
      <c r="C61" s="1107">
        <f>'3.bev '!F419+'3.bev '!F422+'3.bev '!F425+'3.bev '!F35</f>
        <v>555848</v>
      </c>
      <c r="D61" s="1107">
        <f>'3.bev '!G419+'3.bev '!G422+'3.bev '!G425+'3.bev '!G35</f>
        <v>690584</v>
      </c>
      <c r="E61" s="1109">
        <f>C61+D61</f>
        <v>1246432</v>
      </c>
      <c r="G61" s="26"/>
    </row>
    <row r="62" spans="1:7" s="6" customFormat="1" ht="15.75" customHeight="1">
      <c r="A62" s="660"/>
      <c r="B62" s="53" t="s">
        <v>150</v>
      </c>
      <c r="C62" s="1107">
        <f>'3.bev '!F420+'3.bev '!F423+'3.bev '!F426+'3.bev '!F36</f>
        <v>555910</v>
      </c>
      <c r="D62" s="1107">
        <f>'3.bev '!G420+'3.bev '!G423+'3.bev '!G426+'3.bev '!G36</f>
        <v>690584</v>
      </c>
      <c r="E62" s="1109">
        <f>C62+D62</f>
        <v>1246494</v>
      </c>
      <c r="G62" s="26"/>
    </row>
    <row r="63" spans="1:7" s="6" customFormat="1" ht="15.75" customHeight="1">
      <c r="A63" s="660"/>
      <c r="B63" s="53" t="s">
        <v>151</v>
      </c>
      <c r="C63" s="1107">
        <f>'3.bev '!F421+'3.bev '!F424+'3.bev '!F427+'3.bev '!F37</f>
        <v>555909</v>
      </c>
      <c r="D63" s="1107">
        <f>'3.bev '!G421+'3.bev '!G424+'3.bev '!G427+'3.bev '!G37</f>
        <v>690585</v>
      </c>
      <c r="E63" s="1109">
        <f>C63+D63</f>
        <v>1246494</v>
      </c>
      <c r="F63" s="26"/>
      <c r="G63" s="26"/>
    </row>
    <row r="64" spans="1:7" s="6" customFormat="1" ht="15.75" customHeight="1">
      <c r="A64" s="660" t="s">
        <v>5</v>
      </c>
      <c r="B64" s="1094" t="s">
        <v>322</v>
      </c>
      <c r="C64" s="1107"/>
      <c r="D64" s="1107"/>
      <c r="E64" s="1109"/>
      <c r="G64" s="26"/>
    </row>
    <row r="65" spans="1:7" s="6" customFormat="1" ht="15.75" customHeight="1">
      <c r="A65" s="660"/>
      <c r="B65" s="53" t="s">
        <v>149</v>
      </c>
      <c r="C65" s="1107">
        <f>'3.bev '!F429+'3.bev '!F432</f>
        <v>5000000</v>
      </c>
      <c r="D65" s="1107">
        <f>'3.bev '!G429+'3.bev '!G432</f>
        <v>0</v>
      </c>
      <c r="E65" s="1109">
        <f>C65+D65</f>
        <v>5000000</v>
      </c>
      <c r="G65" s="26"/>
    </row>
    <row r="66" spans="1:7" s="6" customFormat="1" ht="15.75" customHeight="1">
      <c r="A66" s="660"/>
      <c r="B66" s="53" t="s">
        <v>150</v>
      </c>
      <c r="C66" s="1107">
        <f>'3.bev '!F430+'3.bev '!F433</f>
        <v>5359101</v>
      </c>
      <c r="D66" s="1107">
        <f>'3.bev '!G430+'3.bev '!G433</f>
        <v>0</v>
      </c>
      <c r="E66" s="1109">
        <f>C66+D66</f>
        <v>5359101</v>
      </c>
      <c r="G66" s="26"/>
    </row>
    <row r="67" spans="1:7" s="6" customFormat="1" ht="15.75" customHeight="1">
      <c r="A67" s="660"/>
      <c r="B67" s="53" t="s">
        <v>151</v>
      </c>
      <c r="C67" s="1107">
        <f>'3.bev '!F431+'3.bev '!F434</f>
        <v>4134011</v>
      </c>
      <c r="D67" s="1107">
        <f>'3.bev '!G431+'3.bev '!G434</f>
        <v>0</v>
      </c>
      <c r="E67" s="1109">
        <f>C67+D67</f>
        <v>4134011</v>
      </c>
      <c r="G67" s="26"/>
    </row>
    <row r="68" spans="1:7" s="6" customFormat="1" ht="15.75" customHeight="1">
      <c r="A68" s="660" t="s">
        <v>6</v>
      </c>
      <c r="B68" s="730" t="s">
        <v>818</v>
      </c>
      <c r="C68" s="1107"/>
      <c r="D68" s="1107"/>
      <c r="E68" s="1109"/>
      <c r="G68" s="26"/>
    </row>
    <row r="69" spans="1:7" s="6" customFormat="1" ht="12.75" customHeight="1">
      <c r="A69" s="660"/>
      <c r="B69" s="53" t="s">
        <v>149</v>
      </c>
      <c r="C69" s="1107">
        <f>'3.bev '!F436</f>
        <v>0</v>
      </c>
      <c r="D69" s="1107">
        <f>'3.bev '!G436</f>
        <v>0</v>
      </c>
      <c r="E69" s="1109">
        <f>SUM(C69:D69)</f>
        <v>0</v>
      </c>
      <c r="G69" s="26"/>
    </row>
    <row r="70" spans="1:7" s="6" customFormat="1" ht="12.75" customHeight="1">
      <c r="A70" s="660"/>
      <c r="B70" s="53" t="s">
        <v>150</v>
      </c>
      <c r="C70" s="1107">
        <f>'3.bev '!F437</f>
        <v>0</v>
      </c>
      <c r="D70" s="1107">
        <f>'3.bev '!G437</f>
        <v>250000</v>
      </c>
      <c r="E70" s="1109">
        <f>SUM(C70:D70)</f>
        <v>250000</v>
      </c>
      <c r="G70" s="26"/>
    </row>
    <row r="71" spans="1:7" s="6" customFormat="1" ht="12" customHeight="1">
      <c r="A71" s="660"/>
      <c r="B71" s="53" t="s">
        <v>151</v>
      </c>
      <c r="C71" s="1107">
        <f>'3.bev '!F438</f>
        <v>0</v>
      </c>
      <c r="D71" s="1107">
        <f>'3.bev '!G438</f>
        <v>196223</v>
      </c>
      <c r="E71" s="1109">
        <f>SUM(C71:D71)</f>
        <v>196223</v>
      </c>
      <c r="G71" s="26"/>
    </row>
    <row r="72" spans="1:7" s="6" customFormat="1" ht="13.5" customHeight="1">
      <c r="A72" s="660" t="s">
        <v>7</v>
      </c>
      <c r="B72" s="1094" t="s">
        <v>816</v>
      </c>
      <c r="C72" s="1107"/>
      <c r="D72" s="1107"/>
      <c r="E72" s="1108"/>
      <c r="G72" s="26"/>
    </row>
    <row r="73" spans="1:7" s="6" customFormat="1" ht="13.5" customHeight="1">
      <c r="A73" s="660"/>
      <c r="B73" s="53" t="s">
        <v>149</v>
      </c>
      <c r="C73" s="726">
        <f>'3.bev '!F440</f>
        <v>0</v>
      </c>
      <c r="D73" s="726">
        <f>'3.bev '!G440</f>
        <v>0</v>
      </c>
      <c r="E73" s="65">
        <f>C73+D73</f>
        <v>0</v>
      </c>
      <c r="G73" s="26"/>
    </row>
    <row r="74" spans="1:7" s="6" customFormat="1" ht="12.75" customHeight="1">
      <c r="A74" s="660"/>
      <c r="B74" s="53" t="s">
        <v>150</v>
      </c>
      <c r="C74" s="726">
        <f>'3.bev '!F441</f>
        <v>17107</v>
      </c>
      <c r="D74" s="726">
        <f>'3.bev '!G441</f>
        <v>0</v>
      </c>
      <c r="E74" s="65">
        <f>C74+D74</f>
        <v>17107</v>
      </c>
      <c r="G74" s="26"/>
    </row>
    <row r="75" spans="1:7" s="6" customFormat="1" ht="13.5" customHeight="1" thickBot="1">
      <c r="A75" s="745"/>
      <c r="B75" s="137" t="s">
        <v>151</v>
      </c>
      <c r="C75" s="726">
        <f>'3.bev '!F442</f>
        <v>17107</v>
      </c>
      <c r="D75" s="726">
        <f>'3.bev '!G442</f>
        <v>0</v>
      </c>
      <c r="E75" s="747">
        <f>C75+D75</f>
        <v>17107</v>
      </c>
      <c r="G75" s="26"/>
    </row>
    <row r="76" spans="1:5" s="642" customFormat="1" ht="18" customHeight="1" thickBot="1" thickTop="1">
      <c r="A76" s="1447" t="s">
        <v>313</v>
      </c>
      <c r="B76" s="1448"/>
      <c r="C76" s="503"/>
      <c r="D76" s="503"/>
      <c r="E76" s="505"/>
    </row>
    <row r="77" spans="1:5" s="642" customFormat="1" ht="15" customHeight="1" thickTop="1">
      <c r="A77" s="75"/>
      <c r="B77" s="53" t="s">
        <v>149</v>
      </c>
      <c r="C77" s="402">
        <f>C52+C73+C65+C61</f>
        <v>7128102</v>
      </c>
      <c r="D77" s="402">
        <f>D52+D73+D65+D61</f>
        <v>728610</v>
      </c>
      <c r="E77" s="682">
        <f>D77+C77</f>
        <v>7856712</v>
      </c>
    </row>
    <row r="78" spans="1:5" s="642" customFormat="1" ht="12" customHeight="1">
      <c r="A78" s="46"/>
      <c r="B78" s="53" t="s">
        <v>150</v>
      </c>
      <c r="C78" s="31">
        <f>C74+C53+C66+C62</f>
        <v>7620691</v>
      </c>
      <c r="D78" s="31">
        <f>D74+D53+D66+D62+D70</f>
        <v>1178848</v>
      </c>
      <c r="E78" s="73">
        <f>C78+D78</f>
        <v>8799539</v>
      </c>
    </row>
    <row r="79" spans="1:7" s="642" customFormat="1" ht="10.5" customHeight="1" thickBot="1">
      <c r="A79" s="93"/>
      <c r="B79" s="92" t="s">
        <v>151</v>
      </c>
      <c r="C79" s="661">
        <f>C75+C54+C67+C63+C71</f>
        <v>6742189</v>
      </c>
      <c r="D79" s="504">
        <f>D75+D54+D67+D63+D71</f>
        <v>1135157</v>
      </c>
      <c r="E79" s="683">
        <f>C79+D79</f>
        <v>7877346</v>
      </c>
      <c r="G79" s="1070"/>
    </row>
    <row r="80" spans="1:5" s="2" customFormat="1" ht="12.75">
      <c r="A80" s="1449" t="s">
        <v>15</v>
      </c>
      <c r="B80" s="1450"/>
      <c r="C80" s="47" t="s">
        <v>16</v>
      </c>
      <c r="D80" s="47" t="s">
        <v>17</v>
      </c>
      <c r="E80" s="1451" t="s">
        <v>18</v>
      </c>
    </row>
    <row r="81" spans="1:5" s="2" customFormat="1" ht="12.75">
      <c r="A81" s="1449"/>
      <c r="B81" s="1450"/>
      <c r="C81" s="47" t="s">
        <v>19</v>
      </c>
      <c r="D81" s="47" t="s">
        <v>19</v>
      </c>
      <c r="E81" s="1451"/>
    </row>
    <row r="82" spans="1:5" ht="4.5" customHeight="1" thickBot="1">
      <c r="A82" s="48"/>
      <c r="B82" s="77"/>
      <c r="C82" s="50"/>
      <c r="D82" s="50"/>
      <c r="E82" s="51"/>
    </row>
    <row r="83" spans="1:5" ht="13.5" customHeight="1" thickBot="1">
      <c r="A83" s="1452" t="s">
        <v>23</v>
      </c>
      <c r="B83" s="1453"/>
      <c r="C83" s="1453"/>
      <c r="D83" s="1453"/>
      <c r="E83" s="1454"/>
    </row>
    <row r="84" spans="1:5" s="3" customFormat="1" ht="11.25" customHeight="1">
      <c r="A84" s="46" t="s">
        <v>21</v>
      </c>
      <c r="B84" s="78" t="s">
        <v>113</v>
      </c>
      <c r="C84" s="643"/>
      <c r="D84" s="644"/>
      <c r="E84" s="645"/>
    </row>
    <row r="85" spans="1:5" s="4" customFormat="1" ht="13.5" customHeight="1">
      <c r="A85" s="60" t="s">
        <v>4</v>
      </c>
      <c r="B85" s="61" t="s">
        <v>13</v>
      </c>
      <c r="C85" s="62"/>
      <c r="D85" s="637"/>
      <c r="E85" s="79"/>
    </row>
    <row r="86" spans="1:5" s="4" customFormat="1" ht="13.5" customHeight="1">
      <c r="A86" s="60"/>
      <c r="B86" s="53" t="s">
        <v>149</v>
      </c>
      <c r="C86" s="62">
        <f>'3.bev '!F498</f>
        <v>585068</v>
      </c>
      <c r="D86" s="637"/>
      <c r="E86" s="79">
        <f>C86</f>
        <v>585068</v>
      </c>
    </row>
    <row r="87" spans="1:5" s="4" customFormat="1" ht="13.5" customHeight="1">
      <c r="A87" s="60"/>
      <c r="B87" s="53" t="s">
        <v>150</v>
      </c>
      <c r="C87" s="62">
        <f>'3.bev '!F499</f>
        <v>610392</v>
      </c>
      <c r="D87" s="637"/>
      <c r="E87" s="79">
        <f aca="true" t="shared" si="4" ref="E87:E104">C87</f>
        <v>610392</v>
      </c>
    </row>
    <row r="88" spans="1:5" s="4" customFormat="1" ht="13.5" customHeight="1">
      <c r="A88" s="60"/>
      <c r="B88" s="210" t="s">
        <v>151</v>
      </c>
      <c r="C88" s="62">
        <f>'3.bev '!F500</f>
        <v>585054</v>
      </c>
      <c r="D88" s="637"/>
      <c r="E88" s="79">
        <f t="shared" si="4"/>
        <v>585054</v>
      </c>
    </row>
    <row r="89" spans="1:5" s="4" customFormat="1" ht="13.5" customHeight="1">
      <c r="A89" s="60" t="s">
        <v>5</v>
      </c>
      <c r="B89" s="63" t="s">
        <v>112</v>
      </c>
      <c r="C89" s="62"/>
      <c r="D89" s="638"/>
      <c r="E89" s="79"/>
    </row>
    <row r="90" spans="1:5" s="4" customFormat="1" ht="13.5" customHeight="1">
      <c r="A90" s="60"/>
      <c r="B90" s="53" t="s">
        <v>149</v>
      </c>
      <c r="C90" s="62">
        <f>'3.bev '!F502</f>
        <v>155518</v>
      </c>
      <c r="D90" s="638"/>
      <c r="E90" s="79">
        <f t="shared" si="4"/>
        <v>155518</v>
      </c>
    </row>
    <row r="91" spans="1:5" s="4" customFormat="1" ht="13.5" customHeight="1">
      <c r="A91" s="60"/>
      <c r="B91" s="53" t="s">
        <v>150</v>
      </c>
      <c r="C91" s="62">
        <f>'3.bev '!F503</f>
        <v>167120</v>
      </c>
      <c r="D91" s="638"/>
      <c r="E91" s="79">
        <f t="shared" si="4"/>
        <v>167120</v>
      </c>
    </row>
    <row r="92" spans="1:8" s="4" customFormat="1" ht="13.5" customHeight="1">
      <c r="A92" s="60"/>
      <c r="B92" s="210" t="s">
        <v>151</v>
      </c>
      <c r="C92" s="62">
        <f>'3.bev '!F504</f>
        <v>156888</v>
      </c>
      <c r="D92" s="638"/>
      <c r="E92" s="79">
        <f t="shared" si="4"/>
        <v>156888</v>
      </c>
      <c r="H92" s="499"/>
    </row>
    <row r="93" spans="1:8" s="4" customFormat="1" ht="13.5" customHeight="1">
      <c r="A93" s="60" t="s">
        <v>6</v>
      </c>
      <c r="B93" s="63" t="s">
        <v>14</v>
      </c>
      <c r="C93" s="62"/>
      <c r="D93" s="638"/>
      <c r="E93" s="79"/>
      <c r="H93" s="499"/>
    </row>
    <row r="94" spans="1:10" s="4" customFormat="1" ht="13.5" customHeight="1">
      <c r="A94" s="60"/>
      <c r="B94" s="53" t="s">
        <v>149</v>
      </c>
      <c r="C94" s="62">
        <f>'3.bev '!F506</f>
        <v>785713</v>
      </c>
      <c r="D94" s="638"/>
      <c r="E94" s="79">
        <f t="shared" si="4"/>
        <v>785713</v>
      </c>
      <c r="J94" s="499"/>
    </row>
    <row r="95" spans="1:5" s="4" customFormat="1" ht="13.5" customHeight="1">
      <c r="A95" s="60"/>
      <c r="B95" s="53" t="s">
        <v>150</v>
      </c>
      <c r="C95" s="62">
        <f>'3.bev '!F507</f>
        <v>845653</v>
      </c>
      <c r="D95" s="638"/>
      <c r="E95" s="79">
        <f t="shared" si="4"/>
        <v>845653</v>
      </c>
    </row>
    <row r="96" spans="1:5" s="4" customFormat="1" ht="13.5" customHeight="1">
      <c r="A96" s="60"/>
      <c r="B96" s="210" t="s">
        <v>151</v>
      </c>
      <c r="C96" s="62">
        <f>'3.bev '!F508</f>
        <v>612094</v>
      </c>
      <c r="D96" s="638"/>
      <c r="E96" s="79">
        <f t="shared" si="4"/>
        <v>612094</v>
      </c>
    </row>
    <row r="97" spans="1:7" s="4" customFormat="1" ht="13.5" customHeight="1">
      <c r="A97" s="60" t="s">
        <v>7</v>
      </c>
      <c r="B97" s="110" t="s">
        <v>93</v>
      </c>
      <c r="C97" s="62"/>
      <c r="D97" s="638"/>
      <c r="E97" s="79"/>
      <c r="G97" s="499"/>
    </row>
    <row r="98" spans="1:7" s="4" customFormat="1" ht="13.5" customHeight="1">
      <c r="A98" s="60"/>
      <c r="B98" s="53" t="s">
        <v>149</v>
      </c>
      <c r="C98" s="62">
        <f>'3.bev '!F510</f>
        <v>8450</v>
      </c>
      <c r="D98" s="638"/>
      <c r="E98" s="79">
        <f t="shared" si="4"/>
        <v>8450</v>
      </c>
      <c r="G98" s="499"/>
    </row>
    <row r="99" spans="1:7" s="4" customFormat="1" ht="13.5" customHeight="1">
      <c r="A99" s="60"/>
      <c r="B99" s="53" t="s">
        <v>150</v>
      </c>
      <c r="C99" s="62">
        <f>'3.bev '!F511</f>
        <v>12500</v>
      </c>
      <c r="D99" s="638"/>
      <c r="E99" s="79">
        <f t="shared" si="4"/>
        <v>12500</v>
      </c>
      <c r="G99" s="499"/>
    </row>
    <row r="100" spans="1:7" s="4" customFormat="1" ht="13.5" customHeight="1">
      <c r="A100" s="60"/>
      <c r="B100" s="210" t="s">
        <v>151</v>
      </c>
      <c r="C100" s="62">
        <f>'3.bev '!F512</f>
        <v>7819</v>
      </c>
      <c r="D100" s="638"/>
      <c r="E100" s="79">
        <f t="shared" si="4"/>
        <v>7819</v>
      </c>
      <c r="G100" s="499"/>
    </row>
    <row r="101" spans="1:5" s="4" customFormat="1" ht="13.5" customHeight="1">
      <c r="A101" s="60" t="s">
        <v>9</v>
      </c>
      <c r="B101" s="29" t="s">
        <v>90</v>
      </c>
      <c r="C101" s="64"/>
      <c r="D101" s="638"/>
      <c r="E101" s="79"/>
    </row>
    <row r="102" spans="1:5" s="4" customFormat="1" ht="13.5" customHeight="1">
      <c r="A102" s="60"/>
      <c r="B102" s="53" t="s">
        <v>149</v>
      </c>
      <c r="C102" s="64">
        <f>'3.bev '!F514</f>
        <v>575046</v>
      </c>
      <c r="D102" s="638"/>
      <c r="E102" s="79">
        <f t="shared" si="4"/>
        <v>575046</v>
      </c>
    </row>
    <row r="103" spans="1:5" s="4" customFormat="1" ht="13.5" customHeight="1">
      <c r="A103" s="60"/>
      <c r="B103" s="53" t="s">
        <v>150</v>
      </c>
      <c r="C103" s="64">
        <f>'3.bev '!F515</f>
        <v>590512</v>
      </c>
      <c r="D103" s="638"/>
      <c r="E103" s="79">
        <f t="shared" si="4"/>
        <v>590512</v>
      </c>
    </row>
    <row r="104" spans="1:5" s="4" customFormat="1" ht="13.5" customHeight="1" thickBot="1">
      <c r="A104" s="60"/>
      <c r="B104" s="210" t="s">
        <v>151</v>
      </c>
      <c r="C104" s="64">
        <f>'3.bev '!F516</f>
        <v>258919</v>
      </c>
      <c r="D104" s="687"/>
      <c r="E104" s="79">
        <f t="shared" si="4"/>
        <v>258919</v>
      </c>
    </row>
    <row r="105" spans="1:5" s="5" customFormat="1" ht="14.25" customHeight="1" thickBot="1" thickTop="1">
      <c r="A105" s="1441" t="s">
        <v>114</v>
      </c>
      <c r="B105" s="1442"/>
      <c r="C105" s="491"/>
      <c r="D105" s="646"/>
      <c r="E105" s="647"/>
    </row>
    <row r="106" spans="1:5" s="5" customFormat="1" ht="14.25" customHeight="1" thickTop="1">
      <c r="A106" s="80"/>
      <c r="B106" s="53" t="s">
        <v>149</v>
      </c>
      <c r="C106" s="450">
        <f>C86+C90+C94+C98+C102</f>
        <v>2109795</v>
      </c>
      <c r="D106" s="684"/>
      <c r="E106" s="82">
        <f>C106</f>
        <v>2109795</v>
      </c>
    </row>
    <row r="107" spans="1:5" s="5" customFormat="1" ht="14.25" customHeight="1">
      <c r="A107" s="712"/>
      <c r="B107" s="53" t="s">
        <v>150</v>
      </c>
      <c r="C107" s="69">
        <f>C87+C91+C95+C99+C103</f>
        <v>2226177</v>
      </c>
      <c r="D107" s="713"/>
      <c r="E107" s="81">
        <f>C107</f>
        <v>2226177</v>
      </c>
    </row>
    <row r="108" spans="1:5" s="5" customFormat="1" ht="14.25" customHeight="1" thickBot="1">
      <c r="A108" s="1095"/>
      <c r="B108" s="92" t="s">
        <v>151</v>
      </c>
      <c r="C108" s="719">
        <f>C88+C92+C96+C100+C104</f>
        <v>1620774</v>
      </c>
      <c r="D108" s="1096"/>
      <c r="E108" s="1097">
        <f>C108</f>
        <v>1620774</v>
      </c>
    </row>
    <row r="109" spans="1:5" s="3" customFormat="1" ht="15" customHeight="1">
      <c r="A109" s="1098" t="s">
        <v>22</v>
      </c>
      <c r="B109" s="1099" t="s">
        <v>115</v>
      </c>
      <c r="C109" s="1100"/>
      <c r="D109" s="635"/>
      <c r="E109" s="636"/>
    </row>
    <row r="110" spans="1:5" s="4" customFormat="1" ht="13.5" customHeight="1">
      <c r="A110" s="60" t="s">
        <v>4</v>
      </c>
      <c r="B110" s="61" t="s">
        <v>24</v>
      </c>
      <c r="C110" s="637"/>
      <c r="D110" s="62"/>
      <c r="E110" s="79"/>
    </row>
    <row r="111" spans="1:5" s="4" customFormat="1" ht="13.5" customHeight="1">
      <c r="A111" s="60"/>
      <c r="B111" s="53" t="s">
        <v>149</v>
      </c>
      <c r="C111" s="637"/>
      <c r="D111" s="62">
        <f>'3.bev '!G523</f>
        <v>592184</v>
      </c>
      <c r="E111" s="79">
        <f>D111</f>
        <v>592184</v>
      </c>
    </row>
    <row r="112" spans="1:5" s="4" customFormat="1" ht="13.5" customHeight="1">
      <c r="A112" s="60"/>
      <c r="B112" s="53" t="s">
        <v>150</v>
      </c>
      <c r="C112" s="637"/>
      <c r="D112" s="62">
        <f>'3.bev '!G524</f>
        <v>935157</v>
      </c>
      <c r="E112" s="79">
        <f>D112</f>
        <v>935157</v>
      </c>
    </row>
    <row r="113" spans="1:5" s="4" customFormat="1" ht="13.5" customHeight="1">
      <c r="A113" s="60"/>
      <c r="B113" s="210" t="s">
        <v>151</v>
      </c>
      <c r="C113" s="637"/>
      <c r="D113" s="62">
        <f>'3.bev '!G525</f>
        <v>380816</v>
      </c>
      <c r="E113" s="79">
        <f>D113</f>
        <v>380816</v>
      </c>
    </row>
    <row r="114" spans="1:5" s="4" customFormat="1" ht="12" customHeight="1">
      <c r="A114" s="60" t="s">
        <v>5</v>
      </c>
      <c r="B114" s="63" t="s">
        <v>25</v>
      </c>
      <c r="C114" s="638"/>
      <c r="D114" s="62"/>
      <c r="E114" s="79"/>
    </row>
    <row r="115" spans="1:5" s="4" customFormat="1" ht="12" customHeight="1">
      <c r="A115" s="60"/>
      <c r="B115" s="53" t="s">
        <v>149</v>
      </c>
      <c r="C115" s="638"/>
      <c r="D115" s="62">
        <f>'3.bev '!G527</f>
        <v>117159</v>
      </c>
      <c r="E115" s="79">
        <f>D115</f>
        <v>117159</v>
      </c>
    </row>
    <row r="116" spans="1:5" s="4" customFormat="1" ht="12" customHeight="1">
      <c r="A116" s="60"/>
      <c r="B116" s="53" t="s">
        <v>150</v>
      </c>
      <c r="C116" s="638"/>
      <c r="D116" s="62">
        <f>'3.bev '!G528</f>
        <v>192750</v>
      </c>
      <c r="E116" s="79">
        <f>D116</f>
        <v>192750</v>
      </c>
    </row>
    <row r="117" spans="1:5" s="4" customFormat="1" ht="12" customHeight="1">
      <c r="A117" s="60"/>
      <c r="B117" s="210" t="s">
        <v>151</v>
      </c>
      <c r="C117" s="638"/>
      <c r="D117" s="62">
        <f>'3.bev '!G529</f>
        <v>46896</v>
      </c>
      <c r="E117" s="79">
        <f>D117</f>
        <v>46896</v>
      </c>
    </row>
    <row r="118" spans="1:5" s="4" customFormat="1" ht="12" customHeight="1">
      <c r="A118" s="60" t="s">
        <v>6</v>
      </c>
      <c r="B118" s="63" t="s">
        <v>32</v>
      </c>
      <c r="C118" s="638"/>
      <c r="D118" s="62"/>
      <c r="E118" s="79"/>
    </row>
    <row r="119" spans="1:5" s="4" customFormat="1" ht="12" customHeight="1">
      <c r="A119" s="60"/>
      <c r="B119" s="53" t="s">
        <v>149</v>
      </c>
      <c r="C119" s="638"/>
      <c r="D119" s="64">
        <f>'3.bev '!G531</f>
        <v>19267</v>
      </c>
      <c r="E119" s="81">
        <f>D119</f>
        <v>19267</v>
      </c>
    </row>
    <row r="120" spans="1:5" s="4" customFormat="1" ht="12" customHeight="1">
      <c r="A120" s="60"/>
      <c r="B120" s="53" t="s">
        <v>150</v>
      </c>
      <c r="C120" s="638"/>
      <c r="D120" s="64">
        <f>'3.bev '!G532</f>
        <v>50941</v>
      </c>
      <c r="E120" s="81">
        <f>D120</f>
        <v>50941</v>
      </c>
    </row>
    <row r="121" spans="1:5" s="4" customFormat="1" ht="12" customHeight="1" thickBot="1">
      <c r="A121" s="721"/>
      <c r="B121" s="137" t="s">
        <v>151</v>
      </c>
      <c r="C121" s="687"/>
      <c r="D121" s="686">
        <f>'3.bev '!G533</f>
        <v>17300</v>
      </c>
      <c r="E121" s="688">
        <f>D121</f>
        <v>17300</v>
      </c>
    </row>
    <row r="122" spans="1:5" s="5" customFormat="1" ht="12.75" customHeight="1" thickBot="1" thickTop="1">
      <c r="A122" s="1441" t="s">
        <v>116</v>
      </c>
      <c r="B122" s="1442"/>
      <c r="C122" s="646"/>
      <c r="D122" s="491"/>
      <c r="E122" s="647"/>
    </row>
    <row r="123" spans="1:5" s="5" customFormat="1" ht="12.75" customHeight="1" thickTop="1">
      <c r="A123" s="67"/>
      <c r="B123" s="53" t="s">
        <v>149</v>
      </c>
      <c r="C123" s="685"/>
      <c r="D123" s="451">
        <f>D111+D115+D119</f>
        <v>728610</v>
      </c>
      <c r="E123" s="489">
        <f>D123</f>
        <v>728610</v>
      </c>
    </row>
    <row r="124" spans="1:5" s="5" customFormat="1" ht="12.75" customHeight="1">
      <c r="A124" s="68"/>
      <c r="B124" s="53" t="s">
        <v>150</v>
      </c>
      <c r="C124" s="713"/>
      <c r="D124" s="69">
        <f>D112+D116+D120</f>
        <v>1178848</v>
      </c>
      <c r="E124" s="81">
        <f>D124</f>
        <v>1178848</v>
      </c>
    </row>
    <row r="125" spans="1:8" s="5" customFormat="1" ht="12.75" customHeight="1" thickBot="1">
      <c r="A125" s="80"/>
      <c r="B125" s="210" t="s">
        <v>151</v>
      </c>
      <c r="C125" s="684"/>
      <c r="D125" s="450">
        <f>D113+D117+D121</f>
        <v>445012</v>
      </c>
      <c r="E125" s="82">
        <f>D125</f>
        <v>445012</v>
      </c>
      <c r="H125" s="744"/>
    </row>
    <row r="126" spans="1:5" s="5" customFormat="1" ht="12.75" customHeight="1">
      <c r="A126" s="1332" t="s">
        <v>26</v>
      </c>
      <c r="B126" s="1333" t="s">
        <v>64</v>
      </c>
      <c r="C126" s="1334"/>
      <c r="D126" s="1334"/>
      <c r="E126" s="1335"/>
    </row>
    <row r="127" spans="1:5" s="5" customFormat="1" ht="12.75" customHeight="1">
      <c r="A127" s="88"/>
      <c r="B127" s="53" t="s">
        <v>149</v>
      </c>
      <c r="C127" s="69">
        <f>'3.bev '!F539</f>
        <v>5018307</v>
      </c>
      <c r="D127" s="69">
        <f>'3.bev '!G539</f>
        <v>0</v>
      </c>
      <c r="E127" s="81">
        <f>C127</f>
        <v>5018307</v>
      </c>
    </row>
    <row r="128" spans="1:5" s="5" customFormat="1" ht="12.75" customHeight="1">
      <c r="A128" s="88"/>
      <c r="B128" s="53" t="s">
        <v>150</v>
      </c>
      <c r="C128" s="69">
        <f>'3.bev '!F540</f>
        <v>5394514</v>
      </c>
      <c r="D128" s="69">
        <f>'3.bev '!G540</f>
        <v>0</v>
      </c>
      <c r="E128" s="81">
        <f>C128+D128</f>
        <v>5394514</v>
      </c>
    </row>
    <row r="129" spans="1:5" s="5" customFormat="1" ht="14.25" customHeight="1" thickBot="1">
      <c r="A129" s="87"/>
      <c r="B129" s="210" t="s">
        <v>151</v>
      </c>
      <c r="C129" s="495">
        <f>'3.bev '!F541</f>
        <v>5377018</v>
      </c>
      <c r="D129" s="69">
        <f>'3.bev '!G541</f>
        <v>0</v>
      </c>
      <c r="E129" s="81">
        <f>C129+D129</f>
        <v>5377018</v>
      </c>
    </row>
    <row r="130" spans="1:5" s="6" customFormat="1" ht="15" customHeight="1" thickBot="1" thickTop="1">
      <c r="A130" s="1443" t="s">
        <v>314</v>
      </c>
      <c r="B130" s="1444"/>
      <c r="C130" s="496">
        <f>SUM(C105,C122)+C126</f>
        <v>0</v>
      </c>
      <c r="D130" s="496">
        <f>SUM(D105,D122)+D126</f>
        <v>0</v>
      </c>
      <c r="E130" s="497">
        <f>SUM(C130:D130)</f>
        <v>0</v>
      </c>
    </row>
    <row r="131" spans="1:5" ht="12.75">
      <c r="A131" s="714"/>
      <c r="B131" s="53" t="s">
        <v>149</v>
      </c>
      <c r="C131" s="716">
        <f aca="true" t="shared" si="5" ref="C131:D133">C106+C123+C127</f>
        <v>7128102</v>
      </c>
      <c r="D131" s="449">
        <f t="shared" si="5"/>
        <v>728610</v>
      </c>
      <c r="E131" s="717">
        <f>C131+D131</f>
        <v>7856712</v>
      </c>
    </row>
    <row r="132" spans="1:5" ht="12.75">
      <c r="A132" s="714"/>
      <c r="B132" s="53" t="s">
        <v>150</v>
      </c>
      <c r="C132" s="91">
        <f t="shared" si="5"/>
        <v>7620691</v>
      </c>
      <c r="D132" s="69">
        <f t="shared" si="5"/>
        <v>1178848</v>
      </c>
      <c r="E132" s="70">
        <f>C132+D132</f>
        <v>8799539</v>
      </c>
    </row>
    <row r="133" spans="1:8" ht="13.5" thickBot="1">
      <c r="A133" s="715"/>
      <c r="B133" s="313" t="s">
        <v>151</v>
      </c>
      <c r="C133" s="718">
        <f t="shared" si="5"/>
        <v>6997792</v>
      </c>
      <c r="D133" s="719">
        <f t="shared" si="5"/>
        <v>445012</v>
      </c>
      <c r="E133" s="720">
        <f>C133+D133</f>
        <v>7442804</v>
      </c>
      <c r="H133" s="1066"/>
    </row>
    <row r="134" ht="12.75">
      <c r="H134" s="1066"/>
    </row>
    <row r="138" ht="12.75">
      <c r="E138" s="743"/>
    </row>
  </sheetData>
  <sheetProtection/>
  <mergeCells count="15">
    <mergeCell ref="B1:E1"/>
    <mergeCell ref="A6:B7"/>
    <mergeCell ref="E6:E7"/>
    <mergeCell ref="A9:E9"/>
    <mergeCell ref="A47:B47"/>
    <mergeCell ref="A51:B51"/>
    <mergeCell ref="B60:E60"/>
    <mergeCell ref="A122:B122"/>
    <mergeCell ref="A130:B130"/>
    <mergeCell ref="A55:B55"/>
    <mergeCell ref="A76:B76"/>
    <mergeCell ref="A80:B81"/>
    <mergeCell ref="E80:E81"/>
    <mergeCell ref="A83:E83"/>
    <mergeCell ref="A105:B10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0" r:id="rId2"/>
  <headerFooter alignWithMargins="0">
    <oddFooter>&amp;C&amp;P. oldal</oddFooter>
  </headerFooter>
  <rowBreaks count="1" manualBreakCount="1">
    <brk id="67" max="4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H9" sqref="H9"/>
    </sheetView>
  </sheetViews>
  <sheetFormatPr defaultColWidth="9.00390625" defaultRowHeight="12.75"/>
  <cols>
    <col min="1" max="1" width="3.25390625" style="1076" customWidth="1"/>
    <col min="2" max="2" width="78.625" style="1077" customWidth="1"/>
    <col min="3" max="3" width="10.00390625" style="1075" customWidth="1"/>
    <col min="4" max="4" width="10.125" style="1075" customWidth="1"/>
    <col min="5" max="16384" width="9.125" style="967" customWidth="1"/>
  </cols>
  <sheetData>
    <row r="1" spans="1:4" ht="13.5" customHeight="1">
      <c r="A1" s="1889" t="s">
        <v>15</v>
      </c>
      <c r="B1" s="1890"/>
      <c r="C1" s="1893" t="s">
        <v>911</v>
      </c>
      <c r="D1" s="1894"/>
    </row>
    <row r="2" spans="1:4" ht="21.75" customHeight="1">
      <c r="A2" s="1891"/>
      <c r="B2" s="1892"/>
      <c r="C2" s="1205" t="s">
        <v>601</v>
      </c>
      <c r="D2" s="1206" t="s">
        <v>602</v>
      </c>
    </row>
    <row r="3" spans="1:4" ht="16.5" customHeight="1">
      <c r="A3" s="968" t="s">
        <v>222</v>
      </c>
      <c r="B3" s="1239" t="s">
        <v>778</v>
      </c>
      <c r="C3" s="1207">
        <f>SUM(C4:C8)</f>
        <v>507.5</v>
      </c>
      <c r="D3" s="1208">
        <f>SUM(D4:D8)</f>
        <v>34881296.125</v>
      </c>
    </row>
    <row r="4" spans="1:4" ht="12.75">
      <c r="A4" s="969">
        <v>1</v>
      </c>
      <c r="B4" s="970" t="s">
        <v>603</v>
      </c>
      <c r="C4" s="1209">
        <v>25</v>
      </c>
      <c r="D4" s="1210">
        <f>C4*300*1.27*235</f>
        <v>2238375</v>
      </c>
    </row>
    <row r="5" spans="1:4" ht="12.75">
      <c r="A5" s="971">
        <v>2</v>
      </c>
      <c r="B5" s="972" t="s">
        <v>604</v>
      </c>
      <c r="C5" s="1211">
        <v>274</v>
      </c>
      <c r="D5" s="1212">
        <f>C5*220*285*1.27</f>
        <v>21818346</v>
      </c>
    </row>
    <row r="6" spans="1:4" ht="12.75">
      <c r="A6" s="971">
        <v>3</v>
      </c>
      <c r="B6" s="970" t="s">
        <v>605</v>
      </c>
      <c r="C6" s="1209">
        <f>97+45+(57+38)/2</f>
        <v>189.5</v>
      </c>
      <c r="D6" s="1210">
        <f>C6*185*205*1.27</f>
        <v>9127220.125</v>
      </c>
    </row>
    <row r="7" spans="1:4" ht="12.75">
      <c r="A7" s="971">
        <v>4</v>
      </c>
      <c r="B7" s="970" t="s">
        <v>606</v>
      </c>
      <c r="C7" s="1209">
        <f>1+1+(4+17)/2</f>
        <v>12.5</v>
      </c>
      <c r="D7" s="1210">
        <f>C7*185*280*1.27</f>
        <v>822325</v>
      </c>
    </row>
    <row r="8" spans="1:4" ht="12.75">
      <c r="A8" s="971">
        <v>5</v>
      </c>
      <c r="B8" s="970" t="s">
        <v>607</v>
      </c>
      <c r="C8" s="1209">
        <f>13/2</f>
        <v>6.5</v>
      </c>
      <c r="D8" s="1210">
        <f>C8*200*530*1.27</f>
        <v>875030</v>
      </c>
    </row>
    <row r="9" spans="1:4" ht="14.25" customHeight="1">
      <c r="A9" s="968" t="s">
        <v>225</v>
      </c>
      <c r="B9" s="1239" t="s">
        <v>608</v>
      </c>
      <c r="C9" s="1203">
        <v>0</v>
      </c>
      <c r="D9" s="1204">
        <v>0</v>
      </c>
    </row>
    <row r="10" spans="1:4" ht="25.5" customHeight="1">
      <c r="A10" s="968" t="s">
        <v>361</v>
      </c>
      <c r="B10" s="1240" t="s">
        <v>609</v>
      </c>
      <c r="C10" s="1191">
        <f>C13+C18+C19</f>
        <v>6274</v>
      </c>
      <c r="D10" s="1192">
        <f>D13+D18+D19</f>
        <v>35237420</v>
      </c>
    </row>
    <row r="11" spans="1:4" ht="12.75" customHeight="1">
      <c r="A11" s="973" t="s">
        <v>4</v>
      </c>
      <c r="B11" s="974" t="s">
        <v>610</v>
      </c>
      <c r="C11" s="1193"/>
      <c r="D11" s="1194"/>
    </row>
    <row r="12" spans="1:4" ht="12.75">
      <c r="A12" s="975"/>
      <c r="B12" s="976" t="s">
        <v>255</v>
      </c>
      <c r="C12" s="1195">
        <v>57</v>
      </c>
      <c r="D12" s="1196">
        <v>684838</v>
      </c>
    </row>
    <row r="13" spans="1:4" ht="15" customHeight="1">
      <c r="A13" s="977"/>
      <c r="B13" s="1241" t="s">
        <v>611</v>
      </c>
      <c r="C13" s="1197">
        <f>SUM(C12:C12)</f>
        <v>57</v>
      </c>
      <c r="D13" s="1198">
        <f>SUM(D12:D12)</f>
        <v>684838</v>
      </c>
    </row>
    <row r="14" spans="1:4" ht="12.75">
      <c r="A14" s="969" t="s">
        <v>5</v>
      </c>
      <c r="B14" s="974" t="s">
        <v>645</v>
      </c>
      <c r="C14" s="1193"/>
      <c r="D14" s="1194"/>
    </row>
    <row r="15" spans="1:4" ht="13.5">
      <c r="A15" s="969"/>
      <c r="B15" s="1073" t="s">
        <v>720</v>
      </c>
      <c r="C15" s="1189">
        <v>2057</v>
      </c>
      <c r="D15" s="1190">
        <v>10587644</v>
      </c>
    </row>
    <row r="16" spans="1:4" ht="13.5">
      <c r="A16" s="969"/>
      <c r="B16" s="1073" t="s">
        <v>721</v>
      </c>
      <c r="C16" s="1189">
        <v>379</v>
      </c>
      <c r="D16" s="1190">
        <v>6813699</v>
      </c>
    </row>
    <row r="17" spans="1:4" ht="13.5">
      <c r="A17" s="969"/>
      <c r="B17" s="1074" t="s">
        <v>722</v>
      </c>
      <c r="C17" s="1199">
        <f>100+44+3637</f>
        <v>3781</v>
      </c>
      <c r="D17" s="1200">
        <f>977510+858586+15315143</f>
        <v>17151239</v>
      </c>
    </row>
    <row r="18" spans="1:4" ht="12.75">
      <c r="A18" s="969"/>
      <c r="B18" s="1241" t="s">
        <v>612</v>
      </c>
      <c r="C18" s="1197">
        <f>SUM(C15:C17)</f>
        <v>6217</v>
      </c>
      <c r="D18" s="1198">
        <f>SUM(D15:D17)</f>
        <v>34552582</v>
      </c>
    </row>
    <row r="19" spans="1:4" ht="13.5">
      <c r="A19" s="971" t="s">
        <v>6</v>
      </c>
      <c r="B19" s="978" t="s">
        <v>644</v>
      </c>
      <c r="C19" s="1201">
        <v>0</v>
      </c>
      <c r="D19" s="1202">
        <v>0</v>
      </c>
    </row>
    <row r="20" spans="1:4" ht="12" customHeight="1">
      <c r="A20" s="979" t="s">
        <v>363</v>
      </c>
      <c r="B20" s="1242" t="s">
        <v>613</v>
      </c>
      <c r="C20" s="1408" t="s">
        <v>614</v>
      </c>
      <c r="D20" s="1409" t="s">
        <v>602</v>
      </c>
    </row>
    <row r="21" spans="1:4" ht="12.75" customHeight="1">
      <c r="A21" s="969" t="s">
        <v>4</v>
      </c>
      <c r="B21" s="980" t="s">
        <v>642</v>
      </c>
      <c r="C21" s="1410" t="s">
        <v>55</v>
      </c>
      <c r="D21" s="1411" t="s">
        <v>55</v>
      </c>
    </row>
    <row r="22" spans="1:4" ht="12.75">
      <c r="A22" s="969"/>
      <c r="B22" s="981" t="s">
        <v>615</v>
      </c>
      <c r="C22" s="1410">
        <v>705</v>
      </c>
      <c r="D22" s="1411">
        <v>5640000</v>
      </c>
    </row>
    <row r="23" spans="1:4" ht="12.75">
      <c r="A23" s="969"/>
      <c r="B23" s="981" t="s">
        <v>616</v>
      </c>
      <c r="C23" s="1410">
        <v>21</v>
      </c>
      <c r="D23" s="1411">
        <v>84000</v>
      </c>
    </row>
    <row r="24" spans="1:8" ht="12.75">
      <c r="A24" s="969"/>
      <c r="B24" s="981" t="s">
        <v>617</v>
      </c>
      <c r="C24" s="1410">
        <v>404</v>
      </c>
      <c r="D24" s="1411">
        <v>2424000</v>
      </c>
      <c r="H24" s="1012"/>
    </row>
    <row r="25" spans="1:4" ht="13.5">
      <c r="A25" s="969" t="s">
        <v>5</v>
      </c>
      <c r="B25" s="980" t="s">
        <v>643</v>
      </c>
      <c r="C25" s="1189">
        <v>480</v>
      </c>
      <c r="D25" s="1190">
        <v>1920000</v>
      </c>
    </row>
    <row r="26" spans="1:4" ht="13.5">
      <c r="A26" s="982" t="s">
        <v>6</v>
      </c>
      <c r="B26" s="983" t="s">
        <v>641</v>
      </c>
      <c r="C26" s="1199">
        <v>680</v>
      </c>
      <c r="D26" s="1200">
        <v>2159000</v>
      </c>
    </row>
    <row r="27" spans="1:4" ht="12.75">
      <c r="A27" s="982"/>
      <c r="B27" s="983"/>
      <c r="C27" s="1199" t="s">
        <v>719</v>
      </c>
      <c r="D27" s="1200" t="s">
        <v>602</v>
      </c>
    </row>
    <row r="28" spans="1:4" ht="12.75">
      <c r="A28" s="982" t="s">
        <v>7</v>
      </c>
      <c r="B28" s="983" t="s">
        <v>1064</v>
      </c>
      <c r="C28" s="1199">
        <v>365</v>
      </c>
      <c r="D28" s="1200">
        <v>127000</v>
      </c>
    </row>
    <row r="29" spans="1:6" ht="12.75">
      <c r="A29" s="982" t="s">
        <v>8</v>
      </c>
      <c r="B29" s="983" t="s">
        <v>1065</v>
      </c>
      <c r="C29" s="1199">
        <v>365</v>
      </c>
      <c r="D29" s="1200">
        <v>254000</v>
      </c>
      <c r="F29" s="1012"/>
    </row>
    <row r="30" spans="1:4" ht="12.75">
      <c r="A30" s="982" t="s">
        <v>9</v>
      </c>
      <c r="B30" s="1072" t="s">
        <v>1066</v>
      </c>
      <c r="C30" s="1199">
        <v>365</v>
      </c>
      <c r="D30" s="1200">
        <v>156000</v>
      </c>
    </row>
    <row r="31" spans="1:4" ht="12.75">
      <c r="A31" s="982" t="s">
        <v>10</v>
      </c>
      <c r="B31" s="1072" t="s">
        <v>1059</v>
      </c>
      <c r="C31" s="1199">
        <v>365</v>
      </c>
      <c r="D31" s="1200">
        <f>241000+1837000</f>
        <v>2078000</v>
      </c>
    </row>
    <row r="32" spans="1:4" ht="12.75">
      <c r="A32" s="982" t="s">
        <v>11</v>
      </c>
      <c r="B32" s="1072" t="s">
        <v>1067</v>
      </c>
      <c r="C32" s="1199">
        <v>365</v>
      </c>
      <c r="D32" s="1200">
        <v>142000</v>
      </c>
    </row>
    <row r="33" spans="1:4" ht="12.75">
      <c r="A33" s="982" t="s">
        <v>12</v>
      </c>
      <c r="B33" s="1072" t="s">
        <v>1060</v>
      </c>
      <c r="C33" s="1199">
        <v>365</v>
      </c>
      <c r="D33" s="1200">
        <v>1935000</v>
      </c>
    </row>
    <row r="34" spans="1:4" ht="12.75">
      <c r="A34" s="982" t="s">
        <v>731</v>
      </c>
      <c r="B34" s="1072" t="s">
        <v>1061</v>
      </c>
      <c r="C34" s="1199">
        <v>365</v>
      </c>
      <c r="D34" s="1200">
        <v>505000</v>
      </c>
    </row>
    <row r="35" spans="1:4" ht="12.75">
      <c r="A35" s="982" t="s">
        <v>1062</v>
      </c>
      <c r="B35" s="1072" t="s">
        <v>1068</v>
      </c>
      <c r="C35" s="1199">
        <v>273</v>
      </c>
      <c r="D35" s="1200">
        <v>139000</v>
      </c>
    </row>
    <row r="36" spans="1:4" ht="12.75">
      <c r="A36" s="984"/>
      <c r="B36" s="1241" t="s">
        <v>1063</v>
      </c>
      <c r="C36" s="1187">
        <f>SUM(C21:C35)</f>
        <v>5118</v>
      </c>
      <c r="D36" s="1198">
        <f>SUM(D21:D35)</f>
        <v>17563000</v>
      </c>
    </row>
    <row r="37" spans="1:4" ht="15.75" customHeight="1">
      <c r="A37" s="968" t="s">
        <v>365</v>
      </c>
      <c r="B37" s="1240" t="s">
        <v>619</v>
      </c>
      <c r="C37" s="1178" t="s">
        <v>620</v>
      </c>
      <c r="D37" s="1179" t="s">
        <v>602</v>
      </c>
    </row>
    <row r="38" spans="1:4" ht="15.75" customHeight="1">
      <c r="A38" s="985" t="s">
        <v>4</v>
      </c>
      <c r="B38" s="986" t="s">
        <v>640</v>
      </c>
      <c r="C38" s="1180"/>
      <c r="D38" s="1181"/>
    </row>
    <row r="39" spans="1:4" ht="13.5" customHeight="1">
      <c r="A39" s="987" t="s">
        <v>55</v>
      </c>
      <c r="B39" s="988" t="s">
        <v>621</v>
      </c>
      <c r="C39" s="1182">
        <v>6207</v>
      </c>
      <c r="D39" s="1183">
        <v>1552000</v>
      </c>
    </row>
    <row r="40" spans="1:4" ht="14.25" customHeight="1">
      <c r="A40" s="989" t="s">
        <v>55</v>
      </c>
      <c r="B40" s="990" t="s">
        <v>622</v>
      </c>
      <c r="C40" s="1184">
        <v>13653</v>
      </c>
      <c r="D40" s="1185">
        <v>3413000</v>
      </c>
    </row>
    <row r="41" spans="1:4" ht="14.25" customHeight="1">
      <c r="A41" s="982" t="s">
        <v>5</v>
      </c>
      <c r="B41" s="991" t="s">
        <v>623</v>
      </c>
      <c r="C41" s="1247"/>
      <c r="D41" s="1248"/>
    </row>
    <row r="42" spans="1:4" ht="12" customHeight="1">
      <c r="A42" s="989"/>
      <c r="B42" s="990" t="s">
        <v>624</v>
      </c>
      <c r="C42" s="1186">
        <v>574</v>
      </c>
      <c r="D42" s="1185">
        <v>143500</v>
      </c>
    </row>
    <row r="43" spans="1:4" ht="12" customHeight="1">
      <c r="A43" s="989"/>
      <c r="B43" s="990" t="s">
        <v>625</v>
      </c>
      <c r="C43" s="1186">
        <v>412</v>
      </c>
      <c r="D43" s="1185">
        <v>206000</v>
      </c>
    </row>
    <row r="44" spans="1:4" ht="12.75" customHeight="1">
      <c r="A44" s="992"/>
      <c r="B44" s="1243" t="s">
        <v>618</v>
      </c>
      <c r="C44" s="1187">
        <f>C39+C40+C42+C43</f>
        <v>20846</v>
      </c>
      <c r="D44" s="1188">
        <f>D39+D40+D42+D43</f>
        <v>5314500</v>
      </c>
    </row>
    <row r="45" spans="1:4" ht="13.5" thickBot="1">
      <c r="A45" s="1895" t="s">
        <v>626</v>
      </c>
      <c r="B45" s="1896"/>
      <c r="C45" s="1420">
        <f>C3+C9+C10+C36+C44</f>
        <v>32745.5</v>
      </c>
      <c r="D45" s="1421">
        <f>D3+D9+D10+D36+D44</f>
        <v>92996216.125</v>
      </c>
    </row>
    <row r="46" spans="1:4" ht="12.75" customHeight="1">
      <c r="A46" s="1244" t="s">
        <v>627</v>
      </c>
      <c r="B46" s="1245"/>
      <c r="C46" s="1246"/>
      <c r="D46" s="1246"/>
    </row>
    <row r="47" spans="1:4" ht="24" customHeight="1">
      <c r="A47" s="1897" t="s">
        <v>1043</v>
      </c>
      <c r="B47" s="1898"/>
      <c r="C47" s="1898"/>
      <c r="D47" s="1898"/>
    </row>
    <row r="48" spans="1:5" ht="22.5" customHeight="1">
      <c r="A48" s="1886" t="s">
        <v>779</v>
      </c>
      <c r="B48" s="1887"/>
      <c r="C48" s="1887"/>
      <c r="D48" s="1887"/>
      <c r="E48" s="993"/>
    </row>
    <row r="49" spans="1:5" ht="12.75" customHeight="1">
      <c r="A49" s="1886" t="s">
        <v>1044</v>
      </c>
      <c r="B49" s="1887"/>
      <c r="C49" s="1887"/>
      <c r="D49" s="1887"/>
      <c r="E49" s="993"/>
    </row>
    <row r="50" spans="1:5" ht="12.75" customHeight="1">
      <c r="A50" s="1885" t="s">
        <v>780</v>
      </c>
      <c r="B50" s="1885"/>
      <c r="C50" s="1885"/>
      <c r="D50" s="1885"/>
      <c r="E50" s="994"/>
    </row>
    <row r="51" spans="1:5" ht="12.75" customHeight="1">
      <c r="A51" s="1885" t="s">
        <v>781</v>
      </c>
      <c r="B51" s="1885"/>
      <c r="C51" s="1885"/>
      <c r="D51" s="1885"/>
      <c r="E51" s="993"/>
    </row>
    <row r="52" spans="1:5" ht="12" customHeight="1">
      <c r="A52" s="1886" t="s">
        <v>1045</v>
      </c>
      <c r="B52" s="1887"/>
      <c r="C52" s="1887"/>
      <c r="D52" s="1887"/>
      <c r="E52" s="993"/>
    </row>
    <row r="53" spans="1:4" ht="21.75" customHeight="1">
      <c r="A53" s="1886" t="s">
        <v>782</v>
      </c>
      <c r="B53" s="1887"/>
      <c r="C53" s="1887"/>
      <c r="D53" s="1887"/>
    </row>
    <row r="54" spans="1:4" ht="15" customHeight="1">
      <c r="A54" s="1886" t="s">
        <v>783</v>
      </c>
      <c r="B54" s="1888"/>
      <c r="C54" s="1888"/>
      <c r="D54" s="1888"/>
    </row>
    <row r="55" spans="1:4" ht="12.75" customHeight="1">
      <c r="A55" s="1885" t="s">
        <v>784</v>
      </c>
      <c r="B55" s="1885"/>
      <c r="C55" s="1885"/>
      <c r="D55" s="1885"/>
    </row>
    <row r="56" spans="1:4" ht="12.75">
      <c r="A56" s="1398"/>
      <c r="B56" s="1398"/>
      <c r="C56" s="1398"/>
      <c r="D56" s="1398"/>
    </row>
  </sheetData>
  <sheetProtection/>
  <mergeCells count="12">
    <mergeCell ref="A1:B2"/>
    <mergeCell ref="C1:D1"/>
    <mergeCell ref="A45:B45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</mergeCells>
  <printOptions/>
  <pageMargins left="0.1968503937007874" right="0.1968503937007874" top="0.7874015748031497" bottom="0.5905511811023623" header="0.5118110236220472" footer="0.5118110236220472"/>
  <pageSetup horizontalDpi="120" verticalDpi="120" orientation="portrait" paperSize="9" scale="98" r:id="rId1"/>
  <headerFooter alignWithMargins="0">
    <oddHeader>&amp;C1. kimutatás: Az önkormányzat közvetett támogatásai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F19"/>
  <sheetViews>
    <sheetView workbookViewId="0" topLeftCell="A1">
      <selection activeCell="G13" sqref="G13"/>
    </sheetView>
  </sheetViews>
  <sheetFormatPr defaultColWidth="9.00390625" defaultRowHeight="12.75"/>
  <cols>
    <col min="1" max="1" width="38.625" style="995" customWidth="1"/>
    <col min="2" max="2" width="11.625" style="995" customWidth="1"/>
    <col min="3" max="3" width="10.75390625" style="995" customWidth="1"/>
    <col min="4" max="4" width="30.875" style="995" customWidth="1"/>
    <col min="5" max="16384" width="9.125" style="896" customWidth="1"/>
  </cols>
  <sheetData>
    <row r="3" ht="13.5" thickBot="1">
      <c r="D3" s="996" t="s">
        <v>748</v>
      </c>
    </row>
    <row r="4" spans="1:4" ht="33.75" customHeight="1">
      <c r="A4" s="1900" t="s">
        <v>15</v>
      </c>
      <c r="B4" s="1902" t="s">
        <v>628</v>
      </c>
      <c r="C4" s="1904" t="s">
        <v>629</v>
      </c>
      <c r="D4" s="1906" t="s">
        <v>630</v>
      </c>
    </row>
    <row r="5" spans="1:4" ht="13.5" thickBot="1">
      <c r="A5" s="1901"/>
      <c r="B5" s="1903"/>
      <c r="C5" s="1905"/>
      <c r="D5" s="1907"/>
    </row>
    <row r="6" spans="1:4" ht="17.25" customHeight="1">
      <c r="A6" s="1908" t="s">
        <v>631</v>
      </c>
      <c r="B6" s="1909"/>
      <c r="C6" s="1909"/>
      <c r="D6" s="1910"/>
    </row>
    <row r="7" spans="1:4" ht="18" customHeight="1">
      <c r="A7" s="1383" t="s">
        <v>1036</v>
      </c>
      <c r="B7" s="1384">
        <v>2017</v>
      </c>
      <c r="C7" s="1385">
        <v>250000</v>
      </c>
      <c r="D7" s="1386" t="s">
        <v>632</v>
      </c>
    </row>
    <row r="8" spans="1:4" ht="45" customHeight="1">
      <c r="A8" s="1387" t="s">
        <v>1037</v>
      </c>
      <c r="B8" s="1384">
        <v>2022</v>
      </c>
      <c r="C8" s="1385">
        <v>80000</v>
      </c>
      <c r="D8" s="1388" t="s">
        <v>1038</v>
      </c>
    </row>
    <row r="9" spans="1:4" ht="18" customHeight="1">
      <c r="A9" s="1389" t="s">
        <v>1039</v>
      </c>
      <c r="B9" s="1384"/>
      <c r="C9" s="1385">
        <v>46223</v>
      </c>
      <c r="D9" s="1388"/>
    </row>
    <row r="10" spans="1:4" ht="18" customHeight="1">
      <c r="A10" s="1390" t="s">
        <v>1040</v>
      </c>
      <c r="B10" s="1384">
        <v>2026</v>
      </c>
      <c r="C10" s="1385">
        <v>300000</v>
      </c>
      <c r="D10" s="1388" t="s">
        <v>1038</v>
      </c>
    </row>
    <row r="11" spans="1:4" ht="18" customHeight="1">
      <c r="A11" s="1389" t="s">
        <v>1039</v>
      </c>
      <c r="B11" s="1384"/>
      <c r="C11" s="1385">
        <v>150000</v>
      </c>
      <c r="D11" s="1388"/>
    </row>
    <row r="12" spans="1:4" ht="15.75" customHeight="1">
      <c r="A12" s="1911" t="s">
        <v>633</v>
      </c>
      <c r="B12" s="1912"/>
      <c r="C12" s="1912"/>
      <c r="D12" s="1913"/>
    </row>
    <row r="13" spans="1:4" ht="45" customHeight="1">
      <c r="A13" s="1391" t="s">
        <v>1041</v>
      </c>
      <c r="B13" s="1392" t="s">
        <v>634</v>
      </c>
      <c r="C13" s="1393">
        <f>16550-1000</f>
        <v>15550</v>
      </c>
      <c r="D13" s="1394" t="s">
        <v>1042</v>
      </c>
    </row>
    <row r="14" spans="1:4" ht="21.75" customHeight="1">
      <c r="A14" s="1401" t="s">
        <v>635</v>
      </c>
      <c r="B14" s="1399" t="s">
        <v>636</v>
      </c>
      <c r="C14" s="1400">
        <f>1207-20-184-95-98-391</f>
        <v>419</v>
      </c>
      <c r="D14" s="1402" t="s">
        <v>637</v>
      </c>
    </row>
    <row r="15" spans="1:6" ht="46.5" customHeight="1" thickBot="1">
      <c r="A15" s="1403" t="s">
        <v>1046</v>
      </c>
      <c r="B15" s="1395">
        <v>2016</v>
      </c>
      <c r="C15" s="1396"/>
      <c r="D15" s="1404" t="s">
        <v>1047</v>
      </c>
      <c r="F15" s="997"/>
    </row>
    <row r="16" spans="1:5" ht="25.5" customHeight="1">
      <c r="A16" s="1899" t="s">
        <v>55</v>
      </c>
      <c r="B16" s="1899"/>
      <c r="C16" s="1899"/>
      <c r="D16" s="1397"/>
      <c r="E16" s="998"/>
    </row>
    <row r="17" spans="1:5" ht="24" customHeight="1">
      <c r="A17" s="1914" t="s">
        <v>55</v>
      </c>
      <c r="B17" s="1899"/>
      <c r="C17" s="1899"/>
      <c r="D17" s="998"/>
      <c r="E17" s="998"/>
    </row>
    <row r="18" spans="1:5" ht="24" customHeight="1">
      <c r="A18" s="1915" t="s">
        <v>55</v>
      </c>
      <c r="B18" s="1916"/>
      <c r="C18" s="1916"/>
      <c r="D18" s="999"/>
      <c r="E18" s="999"/>
    </row>
    <row r="19" spans="1:5" ht="35.25" customHeight="1">
      <c r="A19" s="1899" t="s">
        <v>55</v>
      </c>
      <c r="B19" s="1899"/>
      <c r="C19" s="1899"/>
      <c r="D19" s="998"/>
      <c r="E19" s="998"/>
    </row>
    <row r="139" ht="13.5" customHeight="1"/>
  </sheetData>
  <sheetProtection/>
  <mergeCells count="10">
    <mergeCell ref="A19:C19"/>
    <mergeCell ref="A4:A5"/>
    <mergeCell ref="B4:B5"/>
    <mergeCell ref="C4:C5"/>
    <mergeCell ref="D4:D5"/>
    <mergeCell ref="A6:D6"/>
    <mergeCell ref="A12:D12"/>
    <mergeCell ref="A16:C16"/>
    <mergeCell ref="A17:C17"/>
    <mergeCell ref="A18:C18"/>
  </mergeCells>
  <printOptions/>
  <pageMargins left="0.75" right="0.75" top="1" bottom="1" header="0.5" footer="0.5"/>
  <pageSetup horizontalDpi="120" verticalDpi="120" orientation="portrait" paperSize="9" scale="87" r:id="rId1"/>
  <headerFooter alignWithMargins="0">
    <oddHeader>&amp;C2. számú kimutatás: Az önkormányzat adósságállományának, önkormányzat által nyújtott kölcsön állományának lejárat, cél szerinti bontásban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.375" style="1175" customWidth="1"/>
    <col min="2" max="2" width="62.125" style="823" customWidth="1"/>
    <col min="3" max="3" width="12.375" style="818" customWidth="1"/>
    <col min="4" max="4" width="12.75390625" style="830" customWidth="1"/>
    <col min="5" max="5" width="13.125" style="818" customWidth="1"/>
    <col min="6" max="6" width="12.875" style="818" customWidth="1"/>
    <col min="7" max="7" width="14.00390625" style="0" customWidth="1"/>
    <col min="10" max="10" width="11.75390625" style="0" bestFit="1" customWidth="1"/>
  </cols>
  <sheetData>
    <row r="2" ht="20.25" customHeight="1">
      <c r="G2" s="828" t="s">
        <v>540</v>
      </c>
    </row>
    <row r="3" spans="1:7" s="824" customFormat="1" ht="27.75" customHeight="1">
      <c r="A3" s="822"/>
      <c r="B3" s="822"/>
      <c r="C3" s="1161" t="s">
        <v>677</v>
      </c>
      <c r="D3" s="1161" t="s">
        <v>536</v>
      </c>
      <c r="E3" s="1161" t="s">
        <v>537</v>
      </c>
      <c r="F3" s="1161" t="s">
        <v>912</v>
      </c>
      <c r="G3" s="1161" t="s">
        <v>538</v>
      </c>
    </row>
    <row r="4" spans="1:7" s="1174" customFormat="1" ht="14.25" customHeight="1">
      <c r="A4" s="1176">
        <v>1</v>
      </c>
      <c r="B4" s="1173" t="s">
        <v>923</v>
      </c>
      <c r="C4" s="827">
        <v>135353583</v>
      </c>
      <c r="D4" s="1213">
        <v>135353583</v>
      </c>
      <c r="E4" s="827">
        <v>135353583</v>
      </c>
      <c r="F4" s="827">
        <v>0</v>
      </c>
      <c r="G4" s="827">
        <f>D4-E4-F4</f>
        <v>0</v>
      </c>
    </row>
    <row r="5" spans="1:7" s="1174" customFormat="1" ht="14.25" customHeight="1">
      <c r="A5" s="1176">
        <v>2</v>
      </c>
      <c r="B5" s="1173" t="s">
        <v>539</v>
      </c>
      <c r="C5" s="827">
        <v>212647166</v>
      </c>
      <c r="D5" s="1213">
        <f>217180487-1995400</f>
        <v>215185087</v>
      </c>
      <c r="E5" s="827">
        <v>215185087</v>
      </c>
      <c r="F5" s="827">
        <v>0</v>
      </c>
      <c r="G5" s="827">
        <f>E5-D5</f>
        <v>0</v>
      </c>
    </row>
    <row r="6" spans="1:7" s="418" customFormat="1" ht="13.5" customHeight="1">
      <c r="A6" s="1917">
        <v>3</v>
      </c>
      <c r="B6" s="825" t="s">
        <v>922</v>
      </c>
      <c r="C6" s="826">
        <f>5400000+27000000+20752200+1508760</f>
        <v>54660960</v>
      </c>
      <c r="D6" s="1214">
        <v>55649160</v>
      </c>
      <c r="E6" s="826">
        <v>55649160</v>
      </c>
      <c r="F6" s="1050">
        <v>0</v>
      </c>
      <c r="G6" s="1050">
        <v>0</v>
      </c>
    </row>
    <row r="7" spans="1:7" s="418" customFormat="1" ht="12.75" customHeight="1">
      <c r="A7" s="1918"/>
      <c r="B7" s="825" t="s">
        <v>919</v>
      </c>
      <c r="C7" s="826">
        <f>41696640+4977000</f>
        <v>46673640</v>
      </c>
      <c r="D7" s="1214">
        <v>46483640</v>
      </c>
      <c r="E7" s="826">
        <v>46483640</v>
      </c>
      <c r="F7" s="1050">
        <v>0</v>
      </c>
      <c r="G7" s="1050">
        <f>E7-D7</f>
        <v>0</v>
      </c>
    </row>
    <row r="8" spans="1:7" s="418" customFormat="1" ht="13.5" customHeight="1">
      <c r="A8" s="1918"/>
      <c r="B8" s="825" t="s">
        <v>921</v>
      </c>
      <c r="C8" s="826">
        <f>33243840+33741841+2605470</f>
        <v>69591151</v>
      </c>
      <c r="D8" s="1214">
        <f>65817515+355509+130560+159600</f>
        <v>66463184</v>
      </c>
      <c r="E8" s="826">
        <f>65817515+355509</f>
        <v>66173024</v>
      </c>
      <c r="F8" s="1050">
        <v>0</v>
      </c>
      <c r="G8" s="1050">
        <f>E8-D8</f>
        <v>-290160</v>
      </c>
    </row>
    <row r="9" spans="1:7" s="1174" customFormat="1" ht="27.75" customHeight="1">
      <c r="A9" s="1919"/>
      <c r="B9" s="1173" t="s">
        <v>1048</v>
      </c>
      <c r="C9" s="827">
        <f>SUM(C6:C8)</f>
        <v>170925751</v>
      </c>
      <c r="D9" s="1213">
        <f>SUM(D6:D8)</f>
        <v>168595984</v>
      </c>
      <c r="E9" s="827">
        <f>SUM(E6:E8)</f>
        <v>168305824</v>
      </c>
      <c r="F9" s="827">
        <v>0</v>
      </c>
      <c r="G9" s="827">
        <f>E9-D9</f>
        <v>-290160</v>
      </c>
    </row>
    <row r="10" spans="1:10" s="418" customFormat="1" ht="15" customHeight="1">
      <c r="A10" s="1917">
        <v>4</v>
      </c>
      <c r="B10" s="825" t="s">
        <v>760</v>
      </c>
      <c r="C10" s="826">
        <v>0</v>
      </c>
      <c r="D10" s="1214"/>
      <c r="E10" s="826"/>
      <c r="F10" s="1050">
        <v>0</v>
      </c>
      <c r="G10" s="1050">
        <v>-1145</v>
      </c>
      <c r="J10" s="817"/>
    </row>
    <row r="11" spans="1:7" s="1174" customFormat="1" ht="25.5">
      <c r="A11" s="1919"/>
      <c r="B11" s="1173" t="s">
        <v>918</v>
      </c>
      <c r="C11" s="827">
        <f>SUM(C10:C10)</f>
        <v>0</v>
      </c>
      <c r="D11" s="827">
        <f>SUM(D10:D10)</f>
        <v>0</v>
      </c>
      <c r="E11" s="827">
        <f>SUM(E10:E10)</f>
        <v>0</v>
      </c>
      <c r="F11" s="827">
        <f>SUM(F10:F10)</f>
        <v>0</v>
      </c>
      <c r="G11" s="827">
        <f>SUM(G10:G10)</f>
        <v>-1145</v>
      </c>
    </row>
    <row r="12" spans="1:7" s="418" customFormat="1" ht="12.75">
      <c r="A12" s="1917">
        <v>5</v>
      </c>
      <c r="B12" s="825" t="s">
        <v>757</v>
      </c>
      <c r="C12" s="826">
        <v>0</v>
      </c>
      <c r="D12" s="1214">
        <v>6542378</v>
      </c>
      <c r="E12" s="826">
        <v>6497703</v>
      </c>
      <c r="F12" s="826">
        <v>0</v>
      </c>
      <c r="G12" s="1050">
        <f>E12-D12</f>
        <v>-44675</v>
      </c>
    </row>
    <row r="13" spans="1:7" s="418" customFormat="1" ht="12.75">
      <c r="A13" s="1918"/>
      <c r="B13" s="825" t="s">
        <v>758</v>
      </c>
      <c r="C13" s="826">
        <v>0</v>
      </c>
      <c r="D13" s="1214">
        <v>11382945</v>
      </c>
      <c r="E13" s="826">
        <v>10415579</v>
      </c>
      <c r="F13" s="826">
        <v>0</v>
      </c>
      <c r="G13" s="1050">
        <f>E13-D13</f>
        <v>-967366</v>
      </c>
    </row>
    <row r="14" spans="1:7" s="418" customFormat="1" ht="12.75">
      <c r="A14" s="1918"/>
      <c r="B14" s="825" t="s">
        <v>739</v>
      </c>
      <c r="C14" s="826">
        <v>630555</v>
      </c>
      <c r="D14" s="1214">
        <v>630555</v>
      </c>
      <c r="E14" s="826">
        <v>629920</v>
      </c>
      <c r="F14" s="826">
        <v>0</v>
      </c>
      <c r="G14" s="1050">
        <f>E14-D14</f>
        <v>-635</v>
      </c>
    </row>
    <row r="15" spans="1:7" s="418" customFormat="1" ht="12.75">
      <c r="A15" s="1918"/>
      <c r="B15" s="825" t="s">
        <v>913</v>
      </c>
      <c r="C15" s="826">
        <v>0</v>
      </c>
      <c r="D15" s="1214">
        <v>7140575</v>
      </c>
      <c r="E15" s="826">
        <v>7140575</v>
      </c>
      <c r="F15" s="826">
        <v>0</v>
      </c>
      <c r="G15" s="1050">
        <f>E15-D15</f>
        <v>0</v>
      </c>
    </row>
    <row r="16" spans="1:7" s="418" customFormat="1" ht="12.75">
      <c r="A16" s="1918"/>
      <c r="B16" s="825" t="s">
        <v>914</v>
      </c>
      <c r="C16" s="826">
        <v>0</v>
      </c>
      <c r="D16" s="1214">
        <v>1995400</v>
      </c>
      <c r="E16" s="826">
        <v>1995400</v>
      </c>
      <c r="F16" s="826">
        <v>0</v>
      </c>
      <c r="G16" s="1050">
        <v>0</v>
      </c>
    </row>
    <row r="17" spans="1:7" s="418" customFormat="1" ht="25.5">
      <c r="A17" s="1918"/>
      <c r="B17" s="825" t="s">
        <v>916</v>
      </c>
      <c r="C17" s="826">
        <v>16524300</v>
      </c>
      <c r="D17" s="1214">
        <v>16524300</v>
      </c>
      <c r="E17" s="826">
        <v>16524300</v>
      </c>
      <c r="F17" s="826">
        <v>0</v>
      </c>
      <c r="G17" s="1050">
        <v>0</v>
      </c>
    </row>
    <row r="18" spans="1:7" s="418" customFormat="1" ht="12.75">
      <c r="A18" s="1918"/>
      <c r="B18" s="825" t="s">
        <v>915</v>
      </c>
      <c r="C18" s="826">
        <v>0</v>
      </c>
      <c r="D18" s="1214">
        <v>23097429</v>
      </c>
      <c r="E18" s="826">
        <v>23097429</v>
      </c>
      <c r="F18" s="826">
        <v>0</v>
      </c>
      <c r="G18" s="1050">
        <v>0</v>
      </c>
    </row>
    <row r="19" spans="1:7" s="418" customFormat="1" ht="25.5">
      <c r="A19" s="1918"/>
      <c r="B19" s="825" t="s">
        <v>759</v>
      </c>
      <c r="C19" s="826">
        <v>0</v>
      </c>
      <c r="D19" s="1214">
        <v>869902</v>
      </c>
      <c r="E19" s="826">
        <v>869902</v>
      </c>
      <c r="F19" s="826">
        <v>0</v>
      </c>
      <c r="G19" s="1050">
        <v>0</v>
      </c>
    </row>
    <row r="20" spans="1:7" s="1174" customFormat="1" ht="25.5">
      <c r="A20" s="1919"/>
      <c r="B20" s="1173" t="s">
        <v>917</v>
      </c>
      <c r="C20" s="827">
        <f>SUM(C12:C19)</f>
        <v>17154855</v>
      </c>
      <c r="D20" s="1213">
        <f>SUM(D12:D19)</f>
        <v>68183484</v>
      </c>
      <c r="E20" s="827">
        <f>SUM(E12:E19)</f>
        <v>67170808</v>
      </c>
      <c r="F20" s="827">
        <f>SUM(F12:F19)</f>
        <v>0</v>
      </c>
      <c r="G20" s="827">
        <f>SUM(G12:G19)</f>
        <v>-1012676</v>
      </c>
    </row>
    <row r="21" spans="1:7" s="1017" customFormat="1" ht="15">
      <c r="A21" s="1177"/>
      <c r="B21" s="1015" t="s">
        <v>920</v>
      </c>
      <c r="C21" s="1016">
        <f>C4+C5+C9+C11+C20</f>
        <v>536081355</v>
      </c>
      <c r="D21" s="1016">
        <f>D4+D5+D9+D11+D20</f>
        <v>587318138</v>
      </c>
      <c r="E21" s="1016">
        <f>E4+E5+E9+E11+E20</f>
        <v>586015302</v>
      </c>
      <c r="F21" s="1016">
        <f>F4+F5+F9+F11+F20</f>
        <v>0</v>
      </c>
      <c r="G21" s="1016">
        <f>G4+G5+G9+G11+G20</f>
        <v>-1303981</v>
      </c>
    </row>
    <row r="22" ht="12.75">
      <c r="G22" s="818"/>
    </row>
    <row r="23" ht="12.75">
      <c r="G23" s="818"/>
    </row>
    <row r="24" spans="4:6" ht="12.75">
      <c r="D24"/>
      <c r="E24"/>
      <c r="F24"/>
    </row>
    <row r="25" spans="4:6" ht="12.75">
      <c r="D25"/>
      <c r="E25"/>
      <c r="F25"/>
    </row>
    <row r="26" spans="4:6" ht="12.75">
      <c r="D26" s="818"/>
      <c r="E26"/>
      <c r="F26"/>
    </row>
    <row r="27" spans="4:6" ht="12.75">
      <c r="D27"/>
      <c r="E27"/>
      <c r="F27"/>
    </row>
    <row r="28" spans="4:6" ht="12.75">
      <c r="D28"/>
      <c r="E28"/>
      <c r="F28"/>
    </row>
  </sheetData>
  <sheetProtection/>
  <mergeCells count="3">
    <mergeCell ref="A6:A9"/>
    <mergeCell ref="A10:A11"/>
    <mergeCell ref="A12:A20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55"/>
  <sheetViews>
    <sheetView tabSelected="1" view="pageBreakPreview" zoomScaleSheetLayoutView="100" zoomScalePageLayoutView="0" workbookViewId="0" topLeftCell="A1">
      <selection activeCell="F25" sqref="F25"/>
    </sheetView>
  </sheetViews>
  <sheetFormatPr defaultColWidth="9.00390625" defaultRowHeight="12.75"/>
  <cols>
    <col min="1" max="1" width="4.125" style="633" customWidth="1"/>
    <col min="2" max="2" width="51.375" style="41" customWidth="1"/>
    <col min="3" max="3" width="11.375" style="648" hidden="1" customWidth="1"/>
    <col min="4" max="4" width="11.375" style="648" customWidth="1"/>
    <col min="5" max="5" width="11.625" style="648" customWidth="1"/>
    <col min="6" max="6" width="10.75390625" style="649" customWidth="1"/>
    <col min="7" max="16384" width="9.125" style="1" customWidth="1"/>
  </cols>
  <sheetData>
    <row r="2" spans="1:6" ht="12.75" customHeight="1">
      <c r="A2" s="1920" t="s">
        <v>1069</v>
      </c>
      <c r="B2" s="1920"/>
      <c r="C2" s="1920"/>
      <c r="D2" s="1920"/>
      <c r="E2" s="1920"/>
      <c r="F2" s="1920"/>
    </row>
    <row r="4" spans="3:6" ht="13.5" thickBot="1">
      <c r="C4" s="634"/>
      <c r="D4" s="634"/>
      <c r="E4" s="634"/>
      <c r="F4" s="1057" t="s">
        <v>2</v>
      </c>
    </row>
    <row r="5" spans="1:6" ht="5.25" customHeight="1">
      <c r="A5" s="42"/>
      <c r="B5" s="43"/>
      <c r="C5" s="44"/>
      <c r="D5" s="44"/>
      <c r="E5" s="44"/>
      <c r="F5" s="45"/>
    </row>
    <row r="6" spans="1:6" s="2" customFormat="1" ht="12.75" customHeight="1">
      <c r="A6" s="1449" t="s">
        <v>15</v>
      </c>
      <c r="B6" s="1450"/>
      <c r="C6" s="1921">
        <v>2016</v>
      </c>
      <c r="D6" s="1921">
        <v>2017</v>
      </c>
      <c r="E6" s="1922">
        <v>2018</v>
      </c>
      <c r="F6" s="1923">
        <v>2019</v>
      </c>
    </row>
    <row r="7" spans="1:6" s="2" customFormat="1" ht="12.75" customHeight="1">
      <c r="A7" s="1449"/>
      <c r="B7" s="1450"/>
      <c r="C7" s="1921"/>
      <c r="D7" s="1921"/>
      <c r="E7" s="1922"/>
      <c r="F7" s="1923"/>
    </row>
    <row r="8" spans="1:6" ht="4.5" customHeight="1" thickBot="1">
      <c r="A8" s="48"/>
      <c r="B8" s="49"/>
      <c r="C8" s="50"/>
      <c r="D8" s="50"/>
      <c r="E8" s="50"/>
      <c r="F8" s="51"/>
    </row>
    <row r="9" spans="1:6" ht="13.5" customHeight="1" thickBot="1">
      <c r="A9" s="1452" t="s">
        <v>20</v>
      </c>
      <c r="B9" s="1453"/>
      <c r="C9" s="1453"/>
      <c r="D9" s="1453"/>
      <c r="E9" s="1453"/>
      <c r="F9" s="1454"/>
    </row>
    <row r="10" spans="1:6" s="3" customFormat="1" ht="25.5" customHeight="1">
      <c r="A10" s="46" t="s">
        <v>21</v>
      </c>
      <c r="B10" s="52" t="s">
        <v>713</v>
      </c>
      <c r="C10" s="1058">
        <f>'[2]2.mell'!C12</f>
        <v>101714</v>
      </c>
      <c r="D10" s="1058">
        <f>C10*1.02</f>
        <v>103748.28</v>
      </c>
      <c r="E10" s="1058">
        <f>D10*1.02</f>
        <v>105823.2456</v>
      </c>
      <c r="F10" s="1162">
        <f>E10*1.02</f>
        <v>107939.71051199999</v>
      </c>
    </row>
    <row r="11" spans="1:6" s="3" customFormat="1" ht="12.75" customHeight="1">
      <c r="A11" s="46"/>
      <c r="B11" s="56" t="s">
        <v>109</v>
      </c>
      <c r="C11" s="57">
        <f>'[2]2.mell'!C13</f>
        <v>31905</v>
      </c>
      <c r="D11" s="726">
        <f>C11*1.02</f>
        <v>32543.100000000002</v>
      </c>
      <c r="E11" s="726">
        <f aca="true" t="shared" si="0" ref="E11:F19">D11*1.02</f>
        <v>33193.962</v>
      </c>
      <c r="F11" s="1163">
        <f t="shared" si="0"/>
        <v>33857.84124</v>
      </c>
    </row>
    <row r="12" spans="1:6" s="3" customFormat="1" ht="27.75" customHeight="1">
      <c r="A12" s="46" t="s">
        <v>22</v>
      </c>
      <c r="B12" s="59" t="s">
        <v>714</v>
      </c>
      <c r="C12" s="726"/>
      <c r="D12" s="726"/>
      <c r="E12" s="726"/>
      <c r="F12" s="1163"/>
    </row>
    <row r="13" spans="1:6" s="4" customFormat="1" ht="12" customHeight="1">
      <c r="A13" s="60" t="s">
        <v>4</v>
      </c>
      <c r="B13" s="61" t="s">
        <v>306</v>
      </c>
      <c r="C13" s="726">
        <f>'[2]2.mell'!C15</f>
        <v>785678</v>
      </c>
      <c r="D13" s="726">
        <f>C13*1.02</f>
        <v>801391.56</v>
      </c>
      <c r="E13" s="726">
        <f t="shared" si="0"/>
        <v>817419.3912000001</v>
      </c>
      <c r="F13" s="1163">
        <f t="shared" si="0"/>
        <v>833767.779024</v>
      </c>
    </row>
    <row r="14" spans="1:7" s="4" customFormat="1" ht="12" customHeight="1">
      <c r="A14" s="60" t="s">
        <v>5</v>
      </c>
      <c r="B14" s="1059" t="s">
        <v>307</v>
      </c>
      <c r="C14" s="726">
        <f>'[2]2.mell'!D16</f>
        <v>35526</v>
      </c>
      <c r="D14" s="726">
        <v>500000</v>
      </c>
      <c r="E14" s="726">
        <f t="shared" si="0"/>
        <v>510000</v>
      </c>
      <c r="F14" s="1163">
        <f t="shared" si="0"/>
        <v>520200</v>
      </c>
      <c r="G14" s="499"/>
    </row>
    <row r="15" spans="1:6" s="4" customFormat="1" ht="12" customHeight="1">
      <c r="A15" s="60" t="s">
        <v>6</v>
      </c>
      <c r="B15" s="61" t="s">
        <v>106</v>
      </c>
      <c r="C15" s="726">
        <f>'[2]2.mell'!C17</f>
        <v>591500</v>
      </c>
      <c r="D15" s="726">
        <f>C15*1.02</f>
        <v>603330</v>
      </c>
      <c r="E15" s="726">
        <f t="shared" si="0"/>
        <v>615396.6</v>
      </c>
      <c r="F15" s="1163">
        <f t="shared" si="0"/>
        <v>627704.532</v>
      </c>
    </row>
    <row r="16" spans="1:6" s="4" customFormat="1" ht="12" customHeight="1">
      <c r="A16" s="60" t="s">
        <v>7</v>
      </c>
      <c r="B16" s="63" t="s">
        <v>308</v>
      </c>
      <c r="C16" s="726">
        <f>'[2]2.mell'!C18</f>
        <v>93362</v>
      </c>
      <c r="D16" s="726">
        <f>C16*1.02</f>
        <v>95229.24</v>
      </c>
      <c r="E16" s="726">
        <f t="shared" si="0"/>
        <v>97133.8248</v>
      </c>
      <c r="F16" s="1163">
        <f t="shared" si="0"/>
        <v>99076.501296</v>
      </c>
    </row>
    <row r="17" spans="1:6" s="4" customFormat="1" ht="12" customHeight="1">
      <c r="A17" s="60" t="s">
        <v>8</v>
      </c>
      <c r="B17" s="63" t="s">
        <v>309</v>
      </c>
      <c r="C17" s="726">
        <f>'[2]2.mell'!D19</f>
        <v>0</v>
      </c>
      <c r="D17" s="726">
        <f>C17*1.02</f>
        <v>0</v>
      </c>
      <c r="E17" s="726">
        <f t="shared" si="0"/>
        <v>0</v>
      </c>
      <c r="F17" s="1163">
        <f t="shared" si="0"/>
        <v>0</v>
      </c>
    </row>
    <row r="18" spans="1:6" s="4" customFormat="1" ht="12" customHeight="1">
      <c r="A18" s="60" t="s">
        <v>9</v>
      </c>
      <c r="B18" s="63" t="s">
        <v>310</v>
      </c>
      <c r="C18" s="726">
        <f>'[2]2.mell'!C20</f>
        <v>0</v>
      </c>
      <c r="D18" s="726">
        <f>C18*1.02</f>
        <v>0</v>
      </c>
      <c r="E18" s="726">
        <f t="shared" si="0"/>
        <v>0</v>
      </c>
      <c r="F18" s="1163">
        <f t="shared" si="0"/>
        <v>0</v>
      </c>
    </row>
    <row r="19" spans="1:6" s="4" customFormat="1" ht="12" customHeight="1" thickBot="1">
      <c r="A19" s="60" t="s">
        <v>10</v>
      </c>
      <c r="B19" s="63" t="s">
        <v>216</v>
      </c>
      <c r="C19" s="54">
        <f>'[2]2.mell'!D21</f>
        <v>2500</v>
      </c>
      <c r="D19" s="54">
        <f>C19*1.02</f>
        <v>2550</v>
      </c>
      <c r="E19" s="54">
        <f t="shared" si="0"/>
        <v>2601</v>
      </c>
      <c r="F19" s="1164">
        <f t="shared" si="0"/>
        <v>2653.02</v>
      </c>
    </row>
    <row r="20" spans="1:6" s="5" customFormat="1" ht="14.25" customHeight="1" thickBot="1" thickTop="1">
      <c r="A20" s="1441" t="s">
        <v>124</v>
      </c>
      <c r="B20" s="1442"/>
      <c r="C20" s="491">
        <f>SUM(C13:C19)</f>
        <v>1508566</v>
      </c>
      <c r="D20" s="491">
        <f>SUM(D13:D19)</f>
        <v>2002500.8</v>
      </c>
      <c r="E20" s="491">
        <f>SUM(E13:E19)</f>
        <v>2042550.816</v>
      </c>
      <c r="F20" s="492">
        <f>SUM(F13:F19)</f>
        <v>2083401.83232</v>
      </c>
    </row>
    <row r="21" spans="1:6" s="6" customFormat="1" ht="15" customHeight="1" thickBot="1" thickTop="1">
      <c r="A21" s="1445" t="s">
        <v>715</v>
      </c>
      <c r="B21" s="1446"/>
      <c r="C21" s="503">
        <f>SUM(C10)+C20</f>
        <v>1610280</v>
      </c>
      <c r="D21" s="503">
        <f>SUM(D10)+D20</f>
        <v>2106249.08</v>
      </c>
      <c r="E21" s="503">
        <f>SUM(E10)+E20</f>
        <v>2148374.0616</v>
      </c>
      <c r="F21" s="505">
        <f>SUM(F10)+F20</f>
        <v>2191341.542832</v>
      </c>
    </row>
    <row r="22" spans="1:9" s="6" customFormat="1" ht="30.75" customHeight="1" thickBot="1" thickTop="1">
      <c r="A22" s="1924" t="s">
        <v>716</v>
      </c>
      <c r="B22" s="1925"/>
      <c r="C22" s="503">
        <f>C21-C43</f>
        <v>-1228125</v>
      </c>
      <c r="D22" s="503">
        <f>D21-D43</f>
        <v>-965741.8199999998</v>
      </c>
      <c r="E22" s="503">
        <f>E21-E43</f>
        <v>-550657.6564000002</v>
      </c>
      <c r="F22" s="505">
        <f>F21-F43</f>
        <v>-551590.8095280002</v>
      </c>
      <c r="H22" s="26"/>
      <c r="I22" s="26"/>
    </row>
    <row r="23" spans="1:8" s="6" customFormat="1" ht="18.75" customHeight="1" thickTop="1">
      <c r="A23" s="640" t="s">
        <v>26</v>
      </c>
      <c r="B23" s="83" t="s">
        <v>312</v>
      </c>
      <c r="C23" s="402"/>
      <c r="D23" s="402"/>
      <c r="E23" s="402"/>
      <c r="F23" s="490"/>
      <c r="H23" s="26"/>
    </row>
    <row r="24" spans="1:10" s="6" customFormat="1" ht="30" customHeight="1">
      <c r="A24" s="641" t="s">
        <v>4</v>
      </c>
      <c r="B24" s="1060" t="s">
        <v>717</v>
      </c>
      <c r="C24" s="30">
        <f>'[2]2.mell'!E26</f>
        <v>1246432</v>
      </c>
      <c r="D24" s="30">
        <f>558036+407706</f>
        <v>965742</v>
      </c>
      <c r="E24" s="30">
        <f>134797+415861</f>
        <v>550658</v>
      </c>
      <c r="F24" s="1165">
        <f>127413+424177</f>
        <v>551590</v>
      </c>
      <c r="H24" s="26"/>
      <c r="I24" s="26"/>
      <c r="J24" s="26"/>
    </row>
    <row r="25" spans="1:8" s="6" customFormat="1" ht="15.75" customHeight="1" thickBot="1">
      <c r="A25" s="660" t="s">
        <v>5</v>
      </c>
      <c r="B25" s="1061" t="s">
        <v>322</v>
      </c>
      <c r="C25" s="746">
        <f>'[2]2.mell'!E27</f>
        <v>5000000</v>
      </c>
      <c r="D25" s="746">
        <v>1000000</v>
      </c>
      <c r="E25" s="746">
        <v>300000</v>
      </c>
      <c r="F25" s="747">
        <v>100000</v>
      </c>
      <c r="H25" s="26"/>
    </row>
    <row r="26" spans="1:6" s="642" customFormat="1" ht="18" customHeight="1" thickBot="1" thickTop="1">
      <c r="A26" s="1447" t="s">
        <v>313</v>
      </c>
      <c r="B26" s="1448"/>
      <c r="C26" s="503">
        <f>C21+C24+C25</f>
        <v>7856712</v>
      </c>
      <c r="D26" s="503">
        <f>D21+D24+D25</f>
        <v>4071991.08</v>
      </c>
      <c r="E26" s="503">
        <f>E21+E24+E25</f>
        <v>2999032.0616</v>
      </c>
      <c r="F26" s="505">
        <f>F21+F24+F25</f>
        <v>2842931.542832</v>
      </c>
    </row>
    <row r="27" spans="1:6" s="2" customFormat="1" ht="13.5" thickTop="1">
      <c r="A27" s="1449" t="s">
        <v>15</v>
      </c>
      <c r="B27" s="1450"/>
      <c r="C27" s="47" t="s">
        <v>16</v>
      </c>
      <c r="D27" s="47"/>
      <c r="E27" s="47" t="s">
        <v>17</v>
      </c>
      <c r="F27" s="1451" t="s">
        <v>18</v>
      </c>
    </row>
    <row r="28" spans="1:6" s="2" customFormat="1" ht="12.75">
      <c r="A28" s="1449"/>
      <c r="B28" s="1450"/>
      <c r="C28" s="47" t="s">
        <v>19</v>
      </c>
      <c r="D28" s="47"/>
      <c r="E28" s="47" t="s">
        <v>19</v>
      </c>
      <c r="F28" s="1451"/>
    </row>
    <row r="29" spans="1:6" ht="4.5" customHeight="1" thickBot="1">
      <c r="A29" s="48"/>
      <c r="B29" s="77"/>
      <c r="C29" s="50"/>
      <c r="D29" s="50"/>
      <c r="E29" s="50"/>
      <c r="F29" s="51"/>
    </row>
    <row r="30" spans="1:6" ht="13.5" customHeight="1" thickBot="1">
      <c r="A30" s="1452" t="s">
        <v>23</v>
      </c>
      <c r="B30" s="1453"/>
      <c r="C30" s="1453"/>
      <c r="D30" s="1453"/>
      <c r="E30" s="1453"/>
      <c r="F30" s="1454"/>
    </row>
    <row r="31" spans="1:6" s="3" customFormat="1" ht="11.25" customHeight="1">
      <c r="A31" s="46" t="s">
        <v>21</v>
      </c>
      <c r="B31" s="78" t="s">
        <v>113</v>
      </c>
      <c r="C31" s="643"/>
      <c r="D31" s="643"/>
      <c r="E31" s="643"/>
      <c r="F31" s="645"/>
    </row>
    <row r="32" spans="1:6" s="4" customFormat="1" ht="13.5" customHeight="1">
      <c r="A32" s="60" t="s">
        <v>4</v>
      </c>
      <c r="B32" s="61" t="s">
        <v>13</v>
      </c>
      <c r="C32" s="62">
        <f>'[2]2.mell'!C34</f>
        <v>585068</v>
      </c>
      <c r="D32" s="62">
        <f>C32*1.02</f>
        <v>596769.36</v>
      </c>
      <c r="E32" s="62">
        <f>D32*1.02+1</f>
        <v>608705.7472</v>
      </c>
      <c r="F32" s="1166">
        <f>E32*1.02</f>
        <v>620879.862144</v>
      </c>
    </row>
    <row r="33" spans="1:6" s="4" customFormat="1" ht="13.5" customHeight="1">
      <c r="A33" s="60" t="s">
        <v>5</v>
      </c>
      <c r="B33" s="63" t="s">
        <v>112</v>
      </c>
      <c r="C33" s="62">
        <f>'[2]2.mell'!C35</f>
        <v>155518</v>
      </c>
      <c r="D33" s="62">
        <f>C33*1.02</f>
        <v>158628.36000000002</v>
      </c>
      <c r="E33" s="62">
        <f aca="true" t="shared" si="1" ref="E33:F36">D33*1.02</f>
        <v>161800.9272</v>
      </c>
      <c r="F33" s="1166">
        <f t="shared" si="1"/>
        <v>165036.945744</v>
      </c>
    </row>
    <row r="34" spans="1:6" s="4" customFormat="1" ht="13.5" customHeight="1">
      <c r="A34" s="60" t="s">
        <v>6</v>
      </c>
      <c r="B34" s="63" t="s">
        <v>14</v>
      </c>
      <c r="C34" s="62">
        <f>'[2]2.mell'!C36</f>
        <v>785713</v>
      </c>
      <c r="D34" s="62">
        <f>C34*1.02</f>
        <v>801427.26</v>
      </c>
      <c r="E34" s="62">
        <f t="shared" si="1"/>
        <v>817455.8052000001</v>
      </c>
      <c r="F34" s="1166">
        <f t="shared" si="1"/>
        <v>833804.9213040001</v>
      </c>
    </row>
    <row r="35" spans="1:8" s="4" customFormat="1" ht="13.5" customHeight="1">
      <c r="A35" s="60" t="s">
        <v>7</v>
      </c>
      <c r="B35" s="110" t="s">
        <v>93</v>
      </c>
      <c r="C35" s="62">
        <f>'[2]2.mell'!C37</f>
        <v>8450</v>
      </c>
      <c r="D35" s="62">
        <f>C35*1.02</f>
        <v>8619</v>
      </c>
      <c r="E35" s="62">
        <f t="shared" si="1"/>
        <v>8791.380000000001</v>
      </c>
      <c r="F35" s="1166">
        <f t="shared" si="1"/>
        <v>8967.207600000002</v>
      </c>
      <c r="H35" s="499"/>
    </row>
    <row r="36" spans="1:9" s="4" customFormat="1" ht="13.5" customHeight="1" thickBot="1">
      <c r="A36" s="60" t="s">
        <v>9</v>
      </c>
      <c r="B36" s="1062" t="s">
        <v>90</v>
      </c>
      <c r="C36" s="62">
        <f>'[2]2.mell'!C38</f>
        <v>575046</v>
      </c>
      <c r="D36" s="62">
        <f>C36*1.02</f>
        <v>586546.92</v>
      </c>
      <c r="E36" s="62">
        <f t="shared" si="1"/>
        <v>598277.8584</v>
      </c>
      <c r="F36" s="1166">
        <f t="shared" si="1"/>
        <v>610243.415568</v>
      </c>
      <c r="I36" s="499"/>
    </row>
    <row r="37" spans="1:6" s="5" customFormat="1" ht="14.25" customHeight="1" thickBot="1" thickTop="1">
      <c r="A37" s="1441" t="s">
        <v>114</v>
      </c>
      <c r="B37" s="1442"/>
      <c r="C37" s="491">
        <f>SUM(C32:C36)</f>
        <v>2109795</v>
      </c>
      <c r="D37" s="491">
        <f>SUM(D32:D36)</f>
        <v>2151990.9</v>
      </c>
      <c r="E37" s="491">
        <f>SUM(E32:E36)</f>
        <v>2195031.7180000003</v>
      </c>
      <c r="F37" s="492">
        <f>SUM(F32:F36)</f>
        <v>2238932.3523600004</v>
      </c>
    </row>
    <row r="38" spans="1:6" s="3" customFormat="1" ht="15" customHeight="1" thickTop="1">
      <c r="A38" s="46" t="s">
        <v>22</v>
      </c>
      <c r="B38" s="78" t="s">
        <v>115</v>
      </c>
      <c r="C38" s="1063"/>
      <c r="D38" s="1063"/>
      <c r="E38" s="1063"/>
      <c r="F38" s="1165"/>
    </row>
    <row r="39" spans="1:6" s="4" customFormat="1" ht="13.5" customHeight="1">
      <c r="A39" s="60" t="s">
        <v>4</v>
      </c>
      <c r="B39" s="61" t="s">
        <v>24</v>
      </c>
      <c r="C39" s="62">
        <f>'[2]2.mell'!D41</f>
        <v>592184</v>
      </c>
      <c r="D39" s="62">
        <v>600000</v>
      </c>
      <c r="E39" s="62">
        <v>300000</v>
      </c>
      <c r="F39" s="1166">
        <v>300000</v>
      </c>
    </row>
    <row r="40" spans="1:6" s="4" customFormat="1" ht="12" customHeight="1">
      <c r="A40" s="60" t="s">
        <v>5</v>
      </c>
      <c r="B40" s="63" t="s">
        <v>25</v>
      </c>
      <c r="C40" s="64">
        <f>'[2]2.mell'!D42</f>
        <v>117159</v>
      </c>
      <c r="D40" s="62">
        <v>300000</v>
      </c>
      <c r="E40" s="62">
        <v>200000</v>
      </c>
      <c r="F40" s="1166">
        <v>200000</v>
      </c>
    </row>
    <row r="41" spans="1:6" s="4" customFormat="1" ht="12" customHeight="1" thickBot="1">
      <c r="A41" s="60" t="s">
        <v>6</v>
      </c>
      <c r="B41" s="63" t="s">
        <v>32</v>
      </c>
      <c r="C41" s="64">
        <f>'[2]2.mell'!D43</f>
        <v>19267</v>
      </c>
      <c r="D41" s="62">
        <v>20000</v>
      </c>
      <c r="E41" s="62">
        <v>4000</v>
      </c>
      <c r="F41" s="1166">
        <v>4000</v>
      </c>
    </row>
    <row r="42" spans="1:9" s="5" customFormat="1" ht="12.75" customHeight="1" thickBot="1" thickTop="1">
      <c r="A42" s="1441" t="s">
        <v>116</v>
      </c>
      <c r="B42" s="1442"/>
      <c r="C42" s="491">
        <f>SUM(C39:C41)</f>
        <v>728610</v>
      </c>
      <c r="D42" s="491">
        <f>SUM(D39:D41)</f>
        <v>920000</v>
      </c>
      <c r="E42" s="491">
        <f>SUM(E39:E41)</f>
        <v>504000</v>
      </c>
      <c r="F42" s="492">
        <f>SUM(F39:F41)</f>
        <v>504000</v>
      </c>
      <c r="G42" s="744"/>
      <c r="H42" s="744"/>
      <c r="I42" s="744"/>
    </row>
    <row r="43" spans="1:9" s="5" customFormat="1" ht="12.75" customHeight="1" thickBot="1" thickTop="1">
      <c r="A43" s="1445" t="s">
        <v>718</v>
      </c>
      <c r="B43" s="1446"/>
      <c r="C43" s="451">
        <f>C37+C42</f>
        <v>2838405</v>
      </c>
      <c r="D43" s="451">
        <f>D37+D42</f>
        <v>3071990.9</v>
      </c>
      <c r="E43" s="451">
        <f>E37+E42</f>
        <v>2699031.7180000003</v>
      </c>
      <c r="F43" s="493">
        <f>F37+F42</f>
        <v>2742932.3523600004</v>
      </c>
      <c r="G43" s="744"/>
      <c r="H43" s="744"/>
      <c r="I43" s="744"/>
    </row>
    <row r="44" spans="1:6" s="5" customFormat="1" ht="12.75" customHeight="1" thickTop="1">
      <c r="A44" s="84" t="s">
        <v>26</v>
      </c>
      <c r="B44" s="85"/>
      <c r="C44" s="451"/>
      <c r="D44" s="451"/>
      <c r="E44" s="451"/>
      <c r="F44" s="489"/>
    </row>
    <row r="45" spans="1:6" s="5" customFormat="1" ht="12.75" customHeight="1">
      <c r="A45" s="86"/>
      <c r="B45" s="89" t="s">
        <v>64</v>
      </c>
      <c r="C45" s="69">
        <f>'[2]2.mell'!E47</f>
        <v>5018307</v>
      </c>
      <c r="D45" s="69">
        <v>1000000</v>
      </c>
      <c r="E45" s="69">
        <v>300000</v>
      </c>
      <c r="F45" s="81">
        <v>100000</v>
      </c>
    </row>
    <row r="46" spans="1:6" s="5" customFormat="1" ht="6.75" customHeight="1" thickBot="1">
      <c r="A46" s="87"/>
      <c r="B46" s="1064"/>
      <c r="C46" s="495"/>
      <c r="D46" s="495"/>
      <c r="E46" s="495"/>
      <c r="F46" s="1167"/>
    </row>
    <row r="47" spans="1:9" s="6" customFormat="1" ht="15" customHeight="1" thickBot="1" thickTop="1">
      <c r="A47" s="1443" t="s">
        <v>314</v>
      </c>
      <c r="B47" s="1444"/>
      <c r="C47" s="496">
        <f>SUM(C37,C42)+C45</f>
        <v>7856712</v>
      </c>
      <c r="D47" s="496">
        <f>SUM(D37,D42)+D45</f>
        <v>4071990.9</v>
      </c>
      <c r="E47" s="496">
        <f>SUM(E37,E42)+E45</f>
        <v>2999031.7180000003</v>
      </c>
      <c r="F47" s="351">
        <f>SUM(F37,F42)+F45</f>
        <v>2842932.3523600004</v>
      </c>
      <c r="I47" s="26"/>
    </row>
    <row r="48" spans="3:9" ht="12.75">
      <c r="C48" s="1065"/>
      <c r="D48" s="1065"/>
      <c r="E48" s="1065"/>
      <c r="F48" s="1065"/>
      <c r="I48" s="1066"/>
    </row>
    <row r="49" spans="3:6" ht="12.75">
      <c r="C49" s="1067"/>
      <c r="D49" s="1067"/>
      <c r="E49" s="1067"/>
      <c r="F49" s="1067"/>
    </row>
    <row r="50" spans="3:6" ht="12.75">
      <c r="C50" s="1065"/>
      <c r="D50" s="1065"/>
      <c r="E50" s="1065"/>
      <c r="F50" s="1065"/>
    </row>
    <row r="51" spans="3:6" ht="12.75">
      <c r="C51" s="1065">
        <f>C26-C47</f>
        <v>0</v>
      </c>
      <c r="D51" s="1065">
        <f>D26-D47</f>
        <v>0.18000000016763806</v>
      </c>
      <c r="E51" s="1065">
        <f>E26-E47</f>
        <v>0.34359999978914857</v>
      </c>
      <c r="F51" s="1065">
        <f>F26-F47</f>
        <v>-0.8095280001871288</v>
      </c>
    </row>
    <row r="52" spans="3:6" ht="12.75">
      <c r="C52" s="1065"/>
      <c r="D52" s="1065"/>
      <c r="E52" s="1065"/>
      <c r="F52" s="1065"/>
    </row>
    <row r="55" spans="3:7" ht="12.75">
      <c r="C55" s="1067"/>
      <c r="D55" s="1067"/>
      <c r="E55" s="1067"/>
      <c r="F55" s="1067"/>
      <c r="G55" s="1068"/>
    </row>
  </sheetData>
  <sheetProtection/>
  <mergeCells count="18">
    <mergeCell ref="A30:F30"/>
    <mergeCell ref="A37:B37"/>
    <mergeCell ref="A42:B42"/>
    <mergeCell ref="A43:B43"/>
    <mergeCell ref="A47:B47"/>
    <mergeCell ref="A9:F9"/>
    <mergeCell ref="A20:B20"/>
    <mergeCell ref="A21:B21"/>
    <mergeCell ref="A22:B22"/>
    <mergeCell ref="A26:B26"/>
    <mergeCell ref="A27:B28"/>
    <mergeCell ref="F27:F28"/>
    <mergeCell ref="A2:F2"/>
    <mergeCell ref="A6:B7"/>
    <mergeCell ref="C6:C7"/>
    <mergeCell ref="D6:D7"/>
    <mergeCell ref="E6:E7"/>
    <mergeCell ref="F6:F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8"/>
  <sheetViews>
    <sheetView view="pageBreakPreview" zoomScaleSheetLayoutView="100" workbookViewId="0" topLeftCell="E1">
      <selection activeCell="E2" sqref="E2:H2"/>
    </sheetView>
  </sheetViews>
  <sheetFormatPr defaultColWidth="9.00390625" defaultRowHeight="12" customHeight="1"/>
  <cols>
    <col min="1" max="1" width="3.125" style="518" customWidth="1"/>
    <col min="2" max="2" width="3.875" style="518" customWidth="1"/>
    <col min="3" max="3" width="11.125" style="518" customWidth="1"/>
    <col min="4" max="4" width="11.625" style="518" customWidth="1"/>
    <col min="5" max="5" width="63.875" style="138" customWidth="1"/>
    <col min="6" max="6" width="10.625" style="630" customWidth="1"/>
    <col min="7" max="7" width="9.875" style="630" customWidth="1"/>
    <col min="8" max="8" width="9.75390625" style="630" customWidth="1"/>
    <col min="9" max="16384" width="9.125" style="7" customWidth="1"/>
  </cols>
  <sheetData>
    <row r="1" spans="5:8" ht="12" customHeight="1">
      <c r="E1" s="1928" t="s">
        <v>1074</v>
      </c>
      <c r="F1" s="1928"/>
      <c r="G1" s="1928"/>
      <c r="H1" s="1928"/>
    </row>
    <row r="2" spans="5:8" ht="12" customHeight="1">
      <c r="E2" s="1537"/>
      <c r="F2" s="1537"/>
      <c r="G2" s="1537"/>
      <c r="H2" s="1537"/>
    </row>
    <row r="3" spans="1:8" ht="15" customHeight="1">
      <c r="A3" s="519"/>
      <c r="B3" s="519"/>
      <c r="C3" s="519"/>
      <c r="D3" s="519"/>
      <c r="E3" s="95"/>
      <c r="F3" s="520"/>
      <c r="G3" s="520"/>
      <c r="H3" s="520"/>
    </row>
    <row r="4" spans="1:8" ht="14.25" customHeight="1" thickBot="1">
      <c r="A4" s="521"/>
      <c r="B4" s="521"/>
      <c r="C4" s="521"/>
      <c r="D4" s="521"/>
      <c r="E4" s="96"/>
      <c r="F4" s="97"/>
      <c r="G4" s="97"/>
      <c r="H4" s="180" t="s">
        <v>27</v>
      </c>
    </row>
    <row r="5" spans="1:8" ht="21" customHeight="1">
      <c r="A5" s="522"/>
      <c r="B5" s="523"/>
      <c r="C5" s="1538" t="s">
        <v>218</v>
      </c>
      <c r="D5" s="1540" t="s">
        <v>191</v>
      </c>
      <c r="E5" s="1542" t="s">
        <v>28</v>
      </c>
      <c r="F5" s="1544" t="s">
        <v>219</v>
      </c>
      <c r="G5" s="1544" t="s">
        <v>220</v>
      </c>
      <c r="H5" s="1546" t="s">
        <v>18</v>
      </c>
    </row>
    <row r="6" spans="1:8" ht="19.5" customHeight="1" thickBot="1">
      <c r="A6" s="524"/>
      <c r="B6" s="525"/>
      <c r="C6" s="1539"/>
      <c r="D6" s="1541"/>
      <c r="E6" s="1543"/>
      <c r="F6" s="1545"/>
      <c r="G6" s="1545"/>
      <c r="H6" s="1547"/>
    </row>
    <row r="7" spans="1:8" ht="21" customHeight="1" thickBot="1">
      <c r="A7" s="1470" t="s">
        <v>221</v>
      </c>
      <c r="B7" s="1471"/>
      <c r="C7" s="1471"/>
      <c r="D7" s="1471"/>
      <c r="E7" s="1471"/>
      <c r="F7" s="1471"/>
      <c r="G7" s="1471"/>
      <c r="H7" s="1472"/>
    </row>
    <row r="8" spans="1:8" s="8" customFormat="1" ht="18" customHeight="1">
      <c r="A8" s="526" t="s">
        <v>222</v>
      </c>
      <c r="B8" s="527"/>
      <c r="C8" s="528"/>
      <c r="D8" s="1548" t="s">
        <v>129</v>
      </c>
      <c r="E8" s="1548"/>
      <c r="F8" s="1548"/>
      <c r="G8" s="1548"/>
      <c r="H8" s="1549"/>
    </row>
    <row r="9" spans="1:8" ht="6" customHeight="1">
      <c r="A9" s="529"/>
      <c r="B9" s="519"/>
      <c r="C9" s="519"/>
      <c r="D9" s="519"/>
      <c r="E9" s="530"/>
      <c r="F9" s="531"/>
      <c r="G9" s="531"/>
      <c r="H9" s="532"/>
    </row>
    <row r="10" spans="1:8" ht="12.75" customHeight="1">
      <c r="A10" s="533" t="s">
        <v>4</v>
      </c>
      <c r="B10" s="534"/>
      <c r="C10" s="534"/>
      <c r="D10" s="534"/>
      <c r="E10" s="632" t="s">
        <v>130</v>
      </c>
      <c r="F10" s="107"/>
      <c r="G10" s="128"/>
      <c r="H10" s="119"/>
    </row>
    <row r="11" spans="1:8" ht="12.75" customHeight="1">
      <c r="A11" s="529"/>
      <c r="B11" s="537"/>
      <c r="C11" s="537"/>
      <c r="D11" s="537"/>
      <c r="E11" s="53" t="s">
        <v>149</v>
      </c>
      <c r="F11" s="107">
        <f>F15+F19</f>
        <v>69154</v>
      </c>
      <c r="G11" s="107">
        <f aca="true" t="shared" si="0" ref="F11:G13">G15+G19</f>
        <v>0</v>
      </c>
      <c r="H11" s="119">
        <f>F11+G11</f>
        <v>69154</v>
      </c>
    </row>
    <row r="12" spans="1:8" ht="12.75" customHeight="1">
      <c r="A12" s="529"/>
      <c r="B12" s="537"/>
      <c r="C12" s="537"/>
      <c r="D12" s="537"/>
      <c r="E12" s="53" t="s">
        <v>150</v>
      </c>
      <c r="F12" s="107">
        <f t="shared" si="0"/>
        <v>72554</v>
      </c>
      <c r="G12" s="107">
        <f t="shared" si="0"/>
        <v>0</v>
      </c>
      <c r="H12" s="119">
        <f aca="true" t="shared" si="1" ref="H12:H33">F12+G12</f>
        <v>72554</v>
      </c>
    </row>
    <row r="13" spans="1:8" ht="12.75" customHeight="1">
      <c r="A13" s="529"/>
      <c r="B13" s="537"/>
      <c r="C13" s="537"/>
      <c r="D13" s="537"/>
      <c r="E13" s="210" t="s">
        <v>151</v>
      </c>
      <c r="F13" s="107">
        <f t="shared" si="0"/>
        <v>68744</v>
      </c>
      <c r="G13" s="107">
        <f t="shared" si="0"/>
        <v>0</v>
      </c>
      <c r="H13" s="119">
        <f t="shared" si="1"/>
        <v>68744</v>
      </c>
    </row>
    <row r="14" spans="1:8" s="21" customFormat="1" ht="12.75" customHeight="1">
      <c r="A14" s="535"/>
      <c r="B14" s="536"/>
      <c r="C14" s="537"/>
      <c r="D14" s="536" t="s">
        <v>110</v>
      </c>
      <c r="E14" s="116" t="s">
        <v>198</v>
      </c>
      <c r="F14" s="117"/>
      <c r="G14" s="538"/>
      <c r="H14" s="119"/>
    </row>
    <row r="15" spans="1:8" s="21" customFormat="1" ht="12.75" customHeight="1">
      <c r="A15" s="535"/>
      <c r="B15" s="536"/>
      <c r="C15" s="537"/>
      <c r="D15" s="536"/>
      <c r="E15" s="53" t="s">
        <v>149</v>
      </c>
      <c r="F15" s="117">
        <f>'4.int.bev '!D11+'4.int.bev '!D19+'4.int.bev '!D32</f>
        <v>6054</v>
      </c>
      <c r="G15" s="538"/>
      <c r="H15" s="119">
        <f t="shared" si="1"/>
        <v>6054</v>
      </c>
    </row>
    <row r="16" spans="1:8" s="21" customFormat="1" ht="12.75" customHeight="1">
      <c r="A16" s="535"/>
      <c r="B16" s="536"/>
      <c r="C16" s="537"/>
      <c r="D16" s="536"/>
      <c r="E16" s="53" t="s">
        <v>150</v>
      </c>
      <c r="F16" s="117">
        <f>'4.int.bev '!D12+'4.int.bev '!D20+'4.int.bev '!D33</f>
        <v>7454</v>
      </c>
      <c r="G16" s="538"/>
      <c r="H16" s="119">
        <f t="shared" si="1"/>
        <v>7454</v>
      </c>
    </row>
    <row r="17" spans="1:8" s="21" customFormat="1" ht="12.75" customHeight="1">
      <c r="A17" s="535"/>
      <c r="B17" s="536"/>
      <c r="C17" s="537"/>
      <c r="D17" s="536"/>
      <c r="E17" s="210" t="s">
        <v>151</v>
      </c>
      <c r="F17" s="117">
        <f>'4.int.bev '!D13+'4.int.bev '!D21+'4.int.bev '!D34</f>
        <v>7474</v>
      </c>
      <c r="G17" s="538"/>
      <c r="H17" s="119">
        <f t="shared" si="1"/>
        <v>7474</v>
      </c>
    </row>
    <row r="18" spans="1:8" s="21" customFormat="1" ht="12.75" customHeight="1">
      <c r="A18" s="535"/>
      <c r="B18" s="536"/>
      <c r="C18" s="537"/>
      <c r="D18" s="536" t="s">
        <v>111</v>
      </c>
      <c r="E18" s="116" t="s">
        <v>190</v>
      </c>
      <c r="F18" s="117"/>
      <c r="G18" s="538"/>
      <c r="H18" s="119"/>
    </row>
    <row r="19" spans="1:8" s="21" customFormat="1" ht="12.75" customHeight="1">
      <c r="A19" s="535"/>
      <c r="B19" s="536"/>
      <c r="C19" s="537"/>
      <c r="D19" s="536"/>
      <c r="E19" s="53" t="s">
        <v>149</v>
      </c>
      <c r="F19" s="117">
        <f>'4.int.bev '!D15+'4.int.bev '!D24+'4.int.bev '!D28</f>
        <v>63100</v>
      </c>
      <c r="G19" s="538"/>
      <c r="H19" s="119">
        <f t="shared" si="1"/>
        <v>63100</v>
      </c>
    </row>
    <row r="20" spans="1:8" s="21" customFormat="1" ht="12.75" customHeight="1">
      <c r="A20" s="535"/>
      <c r="B20" s="536"/>
      <c r="C20" s="537"/>
      <c r="D20" s="536"/>
      <c r="E20" s="53" t="s">
        <v>150</v>
      </c>
      <c r="F20" s="117">
        <f>'4.int.bev '!D16+'4.int.bev '!D25+'4.int.bev '!D29</f>
        <v>65100</v>
      </c>
      <c r="G20" s="538"/>
      <c r="H20" s="119">
        <f t="shared" si="1"/>
        <v>65100</v>
      </c>
    </row>
    <row r="21" spans="1:8" s="21" customFormat="1" ht="12.75" customHeight="1">
      <c r="A21" s="539"/>
      <c r="B21" s="540"/>
      <c r="C21" s="541"/>
      <c r="D21" s="540"/>
      <c r="E21" s="210" t="s">
        <v>151</v>
      </c>
      <c r="F21" s="117">
        <f>'4.int.bev '!D17+'4.int.bev '!D26+'4.int.bev '!D30</f>
        <v>61270</v>
      </c>
      <c r="G21" s="538"/>
      <c r="H21" s="119">
        <f t="shared" si="1"/>
        <v>61270</v>
      </c>
    </row>
    <row r="22" spans="1:8" ht="12.75" customHeight="1">
      <c r="A22" s="529" t="s">
        <v>5</v>
      </c>
      <c r="B22" s="537"/>
      <c r="C22" s="537"/>
      <c r="D22" s="537"/>
      <c r="E22" s="427" t="s">
        <v>788</v>
      </c>
      <c r="F22" s="107"/>
      <c r="G22" s="128"/>
      <c r="H22" s="119"/>
    </row>
    <row r="23" spans="1:8" ht="12.75" customHeight="1">
      <c r="A23" s="529"/>
      <c r="B23" s="537"/>
      <c r="C23" s="537"/>
      <c r="D23" s="537"/>
      <c r="E23" s="53" t="s">
        <v>149</v>
      </c>
      <c r="F23" s="107">
        <f aca="true" t="shared" si="2" ref="F23:G25">F27+F31</f>
        <v>32560</v>
      </c>
      <c r="G23" s="107">
        <f t="shared" si="2"/>
        <v>0</v>
      </c>
      <c r="H23" s="119">
        <f t="shared" si="1"/>
        <v>32560</v>
      </c>
    </row>
    <row r="24" spans="1:8" ht="12.75" customHeight="1">
      <c r="A24" s="529"/>
      <c r="B24" s="537"/>
      <c r="C24" s="537"/>
      <c r="D24" s="537"/>
      <c r="E24" s="53" t="s">
        <v>150</v>
      </c>
      <c r="F24" s="107">
        <f>F28+F32</f>
        <v>42446</v>
      </c>
      <c r="G24" s="107">
        <f t="shared" si="2"/>
        <v>1800</v>
      </c>
      <c r="H24" s="119">
        <f t="shared" si="1"/>
        <v>44246</v>
      </c>
    </row>
    <row r="25" spans="1:8" ht="12.75" customHeight="1">
      <c r="A25" s="529"/>
      <c r="B25" s="537"/>
      <c r="C25" s="537"/>
      <c r="D25" s="537"/>
      <c r="E25" s="210" t="s">
        <v>151</v>
      </c>
      <c r="F25" s="107">
        <f t="shared" si="2"/>
        <v>41749</v>
      </c>
      <c r="G25" s="107">
        <f t="shared" si="2"/>
        <v>1800</v>
      </c>
      <c r="H25" s="119">
        <f t="shared" si="1"/>
        <v>43549</v>
      </c>
    </row>
    <row r="26" spans="1:8" ht="12.75" customHeight="1">
      <c r="A26" s="529"/>
      <c r="B26" s="537"/>
      <c r="C26" s="537"/>
      <c r="D26" s="537" t="s">
        <v>110</v>
      </c>
      <c r="E26" s="116" t="s">
        <v>198</v>
      </c>
      <c r="F26" s="117"/>
      <c r="G26" s="538"/>
      <c r="H26" s="119"/>
    </row>
    <row r="27" spans="1:8" ht="12.75" customHeight="1">
      <c r="A27" s="529"/>
      <c r="B27" s="537"/>
      <c r="C27" s="537"/>
      <c r="D27" s="537"/>
      <c r="E27" s="53" t="s">
        <v>149</v>
      </c>
      <c r="F27" s="117">
        <f>'4.int.bev '!F11+'4.int.bev '!F19</f>
        <v>31905</v>
      </c>
      <c r="G27" s="538"/>
      <c r="H27" s="119">
        <f t="shared" si="1"/>
        <v>31905</v>
      </c>
    </row>
    <row r="28" spans="1:8" ht="12.75" customHeight="1">
      <c r="A28" s="529"/>
      <c r="B28" s="537"/>
      <c r="C28" s="537"/>
      <c r="D28" s="537"/>
      <c r="E28" s="53" t="s">
        <v>150</v>
      </c>
      <c r="F28" s="117">
        <f>'4.int.bev '!F12+'4.int.bev '!F20</f>
        <v>41015</v>
      </c>
      <c r="G28" s="538"/>
      <c r="H28" s="119">
        <f t="shared" si="1"/>
        <v>41015</v>
      </c>
    </row>
    <row r="29" spans="1:8" ht="12.75" customHeight="1">
      <c r="A29" s="529"/>
      <c r="B29" s="537"/>
      <c r="C29" s="537"/>
      <c r="D29" s="537"/>
      <c r="E29" s="210" t="s">
        <v>151</v>
      </c>
      <c r="F29" s="117">
        <f>'4.int.bev '!F13+'4.int.bev '!F21</f>
        <v>40298</v>
      </c>
      <c r="G29" s="538"/>
      <c r="H29" s="119">
        <f t="shared" si="1"/>
        <v>40298</v>
      </c>
    </row>
    <row r="30" spans="1:8" ht="12.75" customHeight="1">
      <c r="A30" s="529"/>
      <c r="B30" s="537"/>
      <c r="C30" s="537"/>
      <c r="D30" s="537" t="s">
        <v>111</v>
      </c>
      <c r="E30" s="116" t="s">
        <v>190</v>
      </c>
      <c r="F30" s="117"/>
      <c r="G30" s="538"/>
      <c r="H30" s="119"/>
    </row>
    <row r="31" spans="1:8" ht="12.75" customHeight="1">
      <c r="A31" s="529"/>
      <c r="B31" s="519"/>
      <c r="C31" s="597"/>
      <c r="D31" s="597"/>
      <c r="E31" s="53" t="s">
        <v>149</v>
      </c>
      <c r="F31" s="131">
        <f>'4.int.bev '!F24+'4.int.bev '!H15</f>
        <v>655</v>
      </c>
      <c r="G31" s="612">
        <f>'4.int.bev '!I15</f>
        <v>0</v>
      </c>
      <c r="H31" s="119">
        <f t="shared" si="1"/>
        <v>655</v>
      </c>
    </row>
    <row r="32" spans="1:8" ht="12.75" customHeight="1">
      <c r="A32" s="529"/>
      <c r="B32" s="519"/>
      <c r="C32" s="597"/>
      <c r="D32" s="597"/>
      <c r="E32" s="53" t="s">
        <v>150</v>
      </c>
      <c r="F32" s="117">
        <f>'4.int.bev '!F25+'4.int.bev '!H16</f>
        <v>1431</v>
      </c>
      <c r="G32" s="117">
        <f>'4.int.bev '!I16</f>
        <v>1800</v>
      </c>
      <c r="H32" s="119">
        <f t="shared" si="1"/>
        <v>3231</v>
      </c>
    </row>
    <row r="33" spans="1:8" ht="12.75" customHeight="1">
      <c r="A33" s="529"/>
      <c r="B33" s="519"/>
      <c r="C33" s="597"/>
      <c r="D33" s="597"/>
      <c r="E33" s="210" t="s">
        <v>151</v>
      </c>
      <c r="F33" s="131">
        <f>'4.int.bev '!F26+'4.int.bev '!H17</f>
        <v>1451</v>
      </c>
      <c r="G33" s="612">
        <f>'4.int.bev '!I17</f>
        <v>1800</v>
      </c>
      <c r="H33" s="581">
        <f t="shared" si="1"/>
        <v>3251</v>
      </c>
    </row>
    <row r="34" spans="1:8" ht="12.75" customHeight="1">
      <c r="A34" s="529" t="s">
        <v>6</v>
      </c>
      <c r="B34" s="519"/>
      <c r="C34" s="597"/>
      <c r="D34" s="519"/>
      <c r="E34" s="1251" t="s">
        <v>789</v>
      </c>
      <c r="F34" s="117"/>
      <c r="G34" s="538"/>
      <c r="H34" s="119"/>
    </row>
    <row r="35" spans="1:8" ht="12.75" customHeight="1">
      <c r="A35" s="529"/>
      <c r="B35" s="519"/>
      <c r="C35" s="597"/>
      <c r="D35" s="519" t="s">
        <v>55</v>
      </c>
      <c r="E35" s="53" t="s">
        <v>149</v>
      </c>
      <c r="F35" s="107">
        <f>F39+F43</f>
        <v>54476</v>
      </c>
      <c r="G35" s="538"/>
      <c r="H35" s="119">
        <f>F35</f>
        <v>54476</v>
      </c>
    </row>
    <row r="36" spans="1:8" ht="12.75" customHeight="1">
      <c r="A36" s="529"/>
      <c r="B36" s="519"/>
      <c r="C36" s="597"/>
      <c r="D36" s="519"/>
      <c r="E36" s="53" t="s">
        <v>150</v>
      </c>
      <c r="F36" s="107">
        <f>F40+F44</f>
        <v>54476</v>
      </c>
      <c r="G36" s="538"/>
      <c r="H36" s="119">
        <f aca="true" t="shared" si="3" ref="H36:H45">F36</f>
        <v>54476</v>
      </c>
    </row>
    <row r="37" spans="1:8" ht="12.75" customHeight="1">
      <c r="A37" s="529"/>
      <c r="B37" s="519"/>
      <c r="C37" s="597"/>
      <c r="D37" s="519"/>
      <c r="E37" s="53" t="s">
        <v>151</v>
      </c>
      <c r="F37" s="107">
        <f>F41+F45</f>
        <v>54475</v>
      </c>
      <c r="G37" s="538"/>
      <c r="H37" s="119">
        <f t="shared" si="3"/>
        <v>54475</v>
      </c>
    </row>
    <row r="38" spans="1:8" ht="12.75" customHeight="1">
      <c r="A38" s="529"/>
      <c r="B38" s="519"/>
      <c r="C38" s="597"/>
      <c r="D38" s="519" t="s">
        <v>110</v>
      </c>
      <c r="E38" s="116" t="s">
        <v>198</v>
      </c>
      <c r="F38" s="117"/>
      <c r="G38" s="538"/>
      <c r="H38" s="119"/>
    </row>
    <row r="39" spans="1:8" ht="12.75" customHeight="1">
      <c r="A39" s="529"/>
      <c r="B39" s="519"/>
      <c r="C39" s="597"/>
      <c r="D39" s="519"/>
      <c r="E39" s="53" t="s">
        <v>149</v>
      </c>
      <c r="F39" s="117">
        <f>'4.int.bev '!K11+'4.int.bev '!K19+'4.int.bev '!K32+'4.int.bev '!K40</f>
        <v>52110</v>
      </c>
      <c r="G39" s="538"/>
      <c r="H39" s="119">
        <f t="shared" si="3"/>
        <v>52110</v>
      </c>
    </row>
    <row r="40" spans="1:8" ht="12.75" customHeight="1">
      <c r="A40" s="529"/>
      <c r="B40" s="519"/>
      <c r="C40" s="597"/>
      <c r="D40" s="519"/>
      <c r="E40" s="53" t="s">
        <v>150</v>
      </c>
      <c r="F40" s="117">
        <f>'4.int.bev '!K12+'4.int.bev '!K20+'4.int.bev '!K33+'4.int.bev '!K41</f>
        <v>52110</v>
      </c>
      <c r="G40" s="538"/>
      <c r="H40" s="119">
        <f t="shared" si="3"/>
        <v>52110</v>
      </c>
    </row>
    <row r="41" spans="1:8" ht="12.75" customHeight="1">
      <c r="A41" s="529"/>
      <c r="B41" s="519"/>
      <c r="C41" s="597"/>
      <c r="D41" s="519"/>
      <c r="E41" s="53" t="s">
        <v>151</v>
      </c>
      <c r="F41" s="117">
        <f>'4.int.bev '!K13+'4.int.bev '!K21+'4.int.bev '!K34+'4.int.bev '!K42</f>
        <v>52109</v>
      </c>
      <c r="G41" s="538"/>
      <c r="H41" s="119">
        <f t="shared" si="3"/>
        <v>52109</v>
      </c>
    </row>
    <row r="42" spans="1:8" ht="12.75" customHeight="1">
      <c r="A42" s="529"/>
      <c r="B42" s="519"/>
      <c r="C42" s="597"/>
      <c r="D42" s="519" t="s">
        <v>111</v>
      </c>
      <c r="E42" s="116" t="s">
        <v>190</v>
      </c>
      <c r="F42" s="117"/>
      <c r="G42" s="538"/>
      <c r="H42" s="119"/>
    </row>
    <row r="43" spans="1:8" ht="12.75" customHeight="1">
      <c r="A43" s="529"/>
      <c r="B43" s="519"/>
      <c r="C43" s="597"/>
      <c r="D43" s="519"/>
      <c r="E43" s="53" t="s">
        <v>149</v>
      </c>
      <c r="F43" s="117">
        <f>'4.int.bev '!K24+'4.int.bev '!K28+'4.int.bev '!K15</f>
        <v>2366</v>
      </c>
      <c r="G43" s="538"/>
      <c r="H43" s="119">
        <f t="shared" si="3"/>
        <v>2366</v>
      </c>
    </row>
    <row r="44" spans="1:8" ht="12.75" customHeight="1">
      <c r="A44" s="529"/>
      <c r="B44" s="519"/>
      <c r="C44" s="597"/>
      <c r="D44" s="519"/>
      <c r="E44" s="53" t="s">
        <v>150</v>
      </c>
      <c r="F44" s="117">
        <f>'4.int.bev '!K25+'4.int.bev '!K29+'4.int.bev '!K16</f>
        <v>2366</v>
      </c>
      <c r="G44" s="538"/>
      <c r="H44" s="119">
        <f t="shared" si="3"/>
        <v>2366</v>
      </c>
    </row>
    <row r="45" spans="1:8" ht="12.75" customHeight="1" thickBot="1">
      <c r="A45" s="529"/>
      <c r="B45" s="519"/>
      <c r="C45" s="631"/>
      <c r="D45" s="1250"/>
      <c r="E45" s="210" t="s">
        <v>151</v>
      </c>
      <c r="F45" s="117">
        <f>'4.int.bev '!K26+'4.int.bev '!K30+'4.int.bev '!K17</f>
        <v>2366</v>
      </c>
      <c r="G45" s="612"/>
      <c r="H45" s="119">
        <f t="shared" si="3"/>
        <v>2366</v>
      </c>
    </row>
    <row r="46" spans="1:8" s="9" customFormat="1" ht="15" customHeight="1" thickBot="1" thickTop="1">
      <c r="A46" s="1458" t="s">
        <v>224</v>
      </c>
      <c r="B46" s="1459"/>
      <c r="C46" s="1459"/>
      <c r="D46" s="1459"/>
      <c r="E46" s="1460"/>
      <c r="F46" s="542"/>
      <c r="G46" s="543"/>
      <c r="H46" s="544"/>
    </row>
    <row r="47" spans="1:8" s="8" customFormat="1" ht="18" customHeight="1" thickTop="1">
      <c r="A47" s="526" t="s">
        <v>225</v>
      </c>
      <c r="B47" s="527"/>
      <c r="C47" s="545"/>
      <c r="D47" s="1528" t="s">
        <v>126</v>
      </c>
      <c r="E47" s="1528"/>
      <c r="F47" s="1528"/>
      <c r="G47" s="1528"/>
      <c r="H47" s="1529"/>
    </row>
    <row r="48" spans="1:8" s="9" customFormat="1" ht="6" customHeight="1">
      <c r="A48" s="546"/>
      <c r="B48" s="547"/>
      <c r="C48" s="519"/>
      <c r="D48" s="547"/>
      <c r="E48" s="127"/>
      <c r="F48" s="548"/>
      <c r="G48" s="548"/>
      <c r="H48" s="549"/>
    </row>
    <row r="49" spans="1:8" s="9" customFormat="1" ht="14.25" customHeight="1">
      <c r="A49" s="1530" t="s">
        <v>226</v>
      </c>
      <c r="B49" s="1531"/>
      <c r="C49" s="1531"/>
      <c r="D49" s="1531"/>
      <c r="E49" s="1531"/>
      <c r="F49" s="129"/>
      <c r="G49" s="129"/>
      <c r="H49" s="436"/>
    </row>
    <row r="50" spans="1:8" s="9" customFormat="1" ht="14.25" customHeight="1">
      <c r="A50" s="104"/>
      <c r="B50" s="105"/>
      <c r="C50" s="105"/>
      <c r="D50" s="105"/>
      <c r="E50" s="53" t="s">
        <v>149</v>
      </c>
      <c r="F50" s="107">
        <f>F55+F93</f>
        <v>785678</v>
      </c>
      <c r="G50" s="601"/>
      <c r="H50" s="119">
        <f>F50</f>
        <v>785678</v>
      </c>
    </row>
    <row r="51" spans="1:8" s="9" customFormat="1" ht="14.25" customHeight="1">
      <c r="A51" s="104"/>
      <c r="B51" s="105"/>
      <c r="C51" s="105"/>
      <c r="D51" s="105"/>
      <c r="E51" s="53" t="s">
        <v>150</v>
      </c>
      <c r="F51" s="107">
        <f>F56+F94+F83+F80+F89</f>
        <v>878804</v>
      </c>
      <c r="G51" s="601"/>
      <c r="H51" s="119">
        <f>F51</f>
        <v>878804</v>
      </c>
    </row>
    <row r="52" spans="1:8" s="9" customFormat="1" ht="14.25" customHeight="1">
      <c r="A52" s="104"/>
      <c r="B52" s="105"/>
      <c r="C52" s="105"/>
      <c r="D52" s="105"/>
      <c r="E52" s="53" t="s">
        <v>151</v>
      </c>
      <c r="F52" s="107">
        <f>F57+F95+F84+F81+F90</f>
        <v>905529</v>
      </c>
      <c r="G52" s="601"/>
      <c r="H52" s="119">
        <f>F52</f>
        <v>905529</v>
      </c>
    </row>
    <row r="53" spans="1:8" s="9" customFormat="1" ht="7.5" customHeight="1">
      <c r="A53" s="546"/>
      <c r="B53" s="547"/>
      <c r="C53" s="519"/>
      <c r="D53" s="547"/>
      <c r="E53" s="127"/>
      <c r="F53" s="550"/>
      <c r="G53" s="551"/>
      <c r="H53" s="552"/>
    </row>
    <row r="54" spans="1:8" ht="17.25" customHeight="1">
      <c r="A54" s="1532" t="s">
        <v>227</v>
      </c>
      <c r="B54" s="1533"/>
      <c r="C54" s="1534"/>
      <c r="D54" s="1534"/>
      <c r="E54" s="1535"/>
      <c r="F54" s="107"/>
      <c r="G54" s="553"/>
      <c r="H54" s="119"/>
    </row>
    <row r="55" spans="1:8" ht="12.75" customHeight="1">
      <c r="A55" s="664"/>
      <c r="B55" s="650"/>
      <c r="C55" s="653"/>
      <c r="D55" s="653"/>
      <c r="E55" s="53" t="s">
        <v>149</v>
      </c>
      <c r="F55" s="124">
        <f>F59+F63+F67+F71+F75</f>
        <v>536081</v>
      </c>
      <c r="G55" s="594"/>
      <c r="H55" s="125">
        <f>F55</f>
        <v>536081</v>
      </c>
    </row>
    <row r="56" spans="1:8" ht="12.75" customHeight="1">
      <c r="A56" s="664"/>
      <c r="B56" s="650"/>
      <c r="C56" s="654"/>
      <c r="D56" s="654"/>
      <c r="E56" s="53" t="s">
        <v>150</v>
      </c>
      <c r="F56" s="124">
        <f>F60+F64+F68+F72+F76</f>
        <v>564221</v>
      </c>
      <c r="G56" s="594"/>
      <c r="H56" s="125">
        <f>F56</f>
        <v>564221</v>
      </c>
    </row>
    <row r="57" spans="1:8" ht="12.75" customHeight="1">
      <c r="A57" s="664"/>
      <c r="B57" s="650"/>
      <c r="C57" s="654"/>
      <c r="D57" s="654"/>
      <c r="E57" s="53" t="s">
        <v>151</v>
      </c>
      <c r="F57" s="124">
        <f>F61+F65+F69+F73+F77</f>
        <v>564221</v>
      </c>
      <c r="G57" s="594"/>
      <c r="H57" s="125">
        <f>F57</f>
        <v>564221</v>
      </c>
    </row>
    <row r="58" spans="1:8" s="21" customFormat="1" ht="12.75" customHeight="1">
      <c r="A58" s="554"/>
      <c r="B58" s="555">
        <v>1</v>
      </c>
      <c r="C58" s="537" t="s">
        <v>228</v>
      </c>
      <c r="D58" s="536" t="s">
        <v>110</v>
      </c>
      <c r="E58" s="556" t="s">
        <v>195</v>
      </c>
      <c r="F58" s="446"/>
      <c r="G58" s="557"/>
      <c r="H58" s="558"/>
    </row>
    <row r="59" spans="1:8" s="21" customFormat="1" ht="12.75" customHeight="1">
      <c r="A59" s="554"/>
      <c r="B59" s="555"/>
      <c r="C59" s="537"/>
      <c r="D59" s="536"/>
      <c r="E59" s="53" t="s">
        <v>149</v>
      </c>
      <c r="F59" s="446">
        <v>135984</v>
      </c>
      <c r="G59" s="557"/>
      <c r="H59" s="558">
        <f>F59</f>
        <v>135984</v>
      </c>
    </row>
    <row r="60" spans="1:8" s="21" customFormat="1" ht="12.75" customHeight="1">
      <c r="A60" s="554"/>
      <c r="B60" s="555"/>
      <c r="C60" s="537"/>
      <c r="D60" s="536"/>
      <c r="E60" s="53" t="s">
        <v>150</v>
      </c>
      <c r="F60" s="446">
        <v>135984</v>
      </c>
      <c r="G60" s="557"/>
      <c r="H60" s="558">
        <f aca="true" t="shared" si="4" ref="H60:H77">F60</f>
        <v>135984</v>
      </c>
    </row>
    <row r="61" spans="1:8" s="21" customFormat="1" ht="12.75" customHeight="1">
      <c r="A61" s="554"/>
      <c r="B61" s="555"/>
      <c r="C61" s="537"/>
      <c r="D61" s="536"/>
      <c r="E61" s="210" t="s">
        <v>151</v>
      </c>
      <c r="F61" s="446">
        <v>135984</v>
      </c>
      <c r="G61" s="557"/>
      <c r="H61" s="558">
        <f t="shared" si="4"/>
        <v>135984</v>
      </c>
    </row>
    <row r="62" spans="1:8" s="21" customFormat="1" ht="12.75" customHeight="1">
      <c r="A62" s="554"/>
      <c r="B62" s="555">
        <v>2</v>
      </c>
      <c r="C62" s="537" t="s">
        <v>229</v>
      </c>
      <c r="D62" s="536" t="s">
        <v>110</v>
      </c>
      <c r="E62" s="430" t="s">
        <v>230</v>
      </c>
      <c r="F62" s="117"/>
      <c r="G62" s="559"/>
      <c r="H62" s="558"/>
    </row>
    <row r="63" spans="1:8" s="21" customFormat="1" ht="12.75" customHeight="1">
      <c r="A63" s="554"/>
      <c r="B63" s="555"/>
      <c r="C63" s="537"/>
      <c r="D63" s="536"/>
      <c r="E63" s="53" t="s">
        <v>149</v>
      </c>
      <c r="F63" s="117">
        <v>212647</v>
      </c>
      <c r="G63" s="559"/>
      <c r="H63" s="558">
        <f t="shared" si="4"/>
        <v>212647</v>
      </c>
    </row>
    <row r="64" spans="1:8" s="21" customFormat="1" ht="12.75" customHeight="1">
      <c r="A64" s="554"/>
      <c r="B64" s="555"/>
      <c r="C64" s="537"/>
      <c r="D64" s="536"/>
      <c r="E64" s="53" t="s">
        <v>150</v>
      </c>
      <c r="F64" s="117">
        <v>217181</v>
      </c>
      <c r="G64" s="559"/>
      <c r="H64" s="558">
        <f t="shared" si="4"/>
        <v>217181</v>
      </c>
    </row>
    <row r="65" spans="1:8" s="21" customFormat="1" ht="12.75" customHeight="1">
      <c r="A65" s="554"/>
      <c r="B65" s="555"/>
      <c r="C65" s="537"/>
      <c r="D65" s="536"/>
      <c r="E65" s="210" t="s">
        <v>151</v>
      </c>
      <c r="F65" s="117">
        <v>217181</v>
      </c>
      <c r="G65" s="559"/>
      <c r="H65" s="558">
        <f t="shared" si="4"/>
        <v>217181</v>
      </c>
    </row>
    <row r="66" spans="1:8" s="21" customFormat="1" ht="12.75" customHeight="1">
      <c r="A66" s="554"/>
      <c r="B66" s="555">
        <v>3</v>
      </c>
      <c r="C66" s="537" t="s">
        <v>231</v>
      </c>
      <c r="D66" s="536" t="s">
        <v>110</v>
      </c>
      <c r="E66" s="430" t="s">
        <v>232</v>
      </c>
      <c r="F66" s="117"/>
      <c r="G66" s="559"/>
      <c r="H66" s="558"/>
    </row>
    <row r="67" spans="1:8" s="21" customFormat="1" ht="12.75" customHeight="1">
      <c r="A67" s="554"/>
      <c r="B67" s="555"/>
      <c r="C67" s="537"/>
      <c r="D67" s="536"/>
      <c r="E67" s="53" t="s">
        <v>149</v>
      </c>
      <c r="F67" s="117">
        <v>170926</v>
      </c>
      <c r="G67" s="559"/>
      <c r="H67" s="558">
        <f t="shared" si="4"/>
        <v>170926</v>
      </c>
    </row>
    <row r="68" spans="1:8" s="21" customFormat="1" ht="12.75" customHeight="1">
      <c r="A68" s="554"/>
      <c r="B68" s="555"/>
      <c r="C68" s="537"/>
      <c r="D68" s="536"/>
      <c r="E68" s="53" t="s">
        <v>150</v>
      </c>
      <c r="F68" s="117">
        <v>186521</v>
      </c>
      <c r="G68" s="559"/>
      <c r="H68" s="558">
        <f t="shared" si="4"/>
        <v>186521</v>
      </c>
    </row>
    <row r="69" spans="1:8" s="21" customFormat="1" ht="12.75" customHeight="1">
      <c r="A69" s="554"/>
      <c r="B69" s="555"/>
      <c r="C69" s="537"/>
      <c r="D69" s="536"/>
      <c r="E69" s="210" t="s">
        <v>151</v>
      </c>
      <c r="F69" s="117">
        <v>186521</v>
      </c>
      <c r="G69" s="559"/>
      <c r="H69" s="558">
        <f t="shared" si="4"/>
        <v>186521</v>
      </c>
    </row>
    <row r="70" spans="1:8" s="21" customFormat="1" ht="12.75" customHeight="1">
      <c r="A70" s="554"/>
      <c r="B70" s="555">
        <v>4</v>
      </c>
      <c r="C70" s="537" t="s">
        <v>233</v>
      </c>
      <c r="D70" s="536" t="s">
        <v>110</v>
      </c>
      <c r="E70" s="430" t="s">
        <v>234</v>
      </c>
      <c r="F70" s="117"/>
      <c r="G70" s="559"/>
      <c r="H70" s="558"/>
    </row>
    <row r="71" spans="1:8" s="21" customFormat="1" ht="12.75" customHeight="1">
      <c r="A71" s="554"/>
      <c r="B71" s="555"/>
      <c r="C71" s="537"/>
      <c r="D71" s="536"/>
      <c r="E71" s="53" t="s">
        <v>149</v>
      </c>
      <c r="F71" s="117">
        <v>16524</v>
      </c>
      <c r="G71" s="559"/>
      <c r="H71" s="558">
        <f t="shared" si="4"/>
        <v>16524</v>
      </c>
    </row>
    <row r="72" spans="1:8" s="21" customFormat="1" ht="12.75" customHeight="1">
      <c r="A72" s="554"/>
      <c r="B72" s="555"/>
      <c r="C72" s="537"/>
      <c r="D72" s="536"/>
      <c r="E72" s="53" t="s">
        <v>150</v>
      </c>
      <c r="F72" s="117">
        <v>17394</v>
      </c>
      <c r="G72" s="559"/>
      <c r="H72" s="558">
        <f t="shared" si="4"/>
        <v>17394</v>
      </c>
    </row>
    <row r="73" spans="1:8" s="21" customFormat="1" ht="12.75" customHeight="1">
      <c r="A73" s="554"/>
      <c r="B73" s="555"/>
      <c r="C73" s="537"/>
      <c r="D73" s="536"/>
      <c r="E73" s="210" t="s">
        <v>151</v>
      </c>
      <c r="F73" s="117">
        <v>17394</v>
      </c>
      <c r="G73" s="559"/>
      <c r="H73" s="558">
        <f t="shared" si="4"/>
        <v>17394</v>
      </c>
    </row>
    <row r="74" spans="1:8" s="21" customFormat="1" ht="12.75" customHeight="1">
      <c r="A74" s="554"/>
      <c r="B74" s="555">
        <v>5</v>
      </c>
      <c r="C74" s="537" t="s">
        <v>235</v>
      </c>
      <c r="D74" s="536" t="s">
        <v>110</v>
      </c>
      <c r="E74" s="430" t="s">
        <v>236</v>
      </c>
      <c r="F74" s="117"/>
      <c r="G74" s="559"/>
      <c r="H74" s="558"/>
    </row>
    <row r="75" spans="1:8" s="21" customFormat="1" ht="12.75" customHeight="1">
      <c r="A75" s="554"/>
      <c r="B75" s="555"/>
      <c r="C75" s="537"/>
      <c r="D75" s="536"/>
      <c r="E75" s="53" t="s">
        <v>149</v>
      </c>
      <c r="F75" s="498">
        <v>0</v>
      </c>
      <c r="G75" s="651"/>
      <c r="H75" s="558">
        <f t="shared" si="4"/>
        <v>0</v>
      </c>
    </row>
    <row r="76" spans="1:8" s="21" customFormat="1" ht="12.75" customHeight="1">
      <c r="A76" s="554"/>
      <c r="B76" s="555"/>
      <c r="C76" s="537"/>
      <c r="D76" s="536"/>
      <c r="E76" s="53" t="s">
        <v>150</v>
      </c>
      <c r="F76" s="498">
        <v>7141</v>
      </c>
      <c r="G76" s="651"/>
      <c r="H76" s="558">
        <f t="shared" si="4"/>
        <v>7141</v>
      </c>
    </row>
    <row r="77" spans="1:8" s="21" customFormat="1" ht="12.75" customHeight="1">
      <c r="A77" s="554"/>
      <c r="B77" s="555"/>
      <c r="C77" s="537"/>
      <c r="D77" s="536"/>
      <c r="E77" s="210" t="s">
        <v>151</v>
      </c>
      <c r="F77" s="498">
        <v>7141</v>
      </c>
      <c r="G77" s="651"/>
      <c r="H77" s="558">
        <f t="shared" si="4"/>
        <v>7141</v>
      </c>
    </row>
    <row r="78" spans="1:8" ht="15" customHeight="1">
      <c r="A78" s="1517" t="s">
        <v>793</v>
      </c>
      <c r="B78" s="1518"/>
      <c r="C78" s="1523"/>
      <c r="D78" s="1523"/>
      <c r="E78" s="1524"/>
      <c r="F78" s="107"/>
      <c r="G78" s="553"/>
      <c r="H78" s="119"/>
    </row>
    <row r="79" spans="1:8" ht="15" customHeight="1">
      <c r="A79" s="586"/>
      <c r="B79" s="431"/>
      <c r="C79" s="758"/>
      <c r="D79" s="819" t="s">
        <v>111</v>
      </c>
      <c r="E79" s="53" t="s">
        <v>149</v>
      </c>
      <c r="F79" s="107">
        <v>0</v>
      </c>
      <c r="G79" s="553"/>
      <c r="H79" s="119">
        <f aca="true" t="shared" si="5" ref="H79:H84">F79</f>
        <v>0</v>
      </c>
    </row>
    <row r="80" spans="1:8" ht="15" customHeight="1">
      <c r="A80" s="586"/>
      <c r="B80" s="431"/>
      <c r="C80" s="431"/>
      <c r="D80" s="555"/>
      <c r="E80" s="53" t="s">
        <v>150</v>
      </c>
      <c r="F80" s="107">
        <v>1875</v>
      </c>
      <c r="G80" s="553"/>
      <c r="H80" s="119">
        <f t="shared" si="5"/>
        <v>1875</v>
      </c>
    </row>
    <row r="81" spans="1:8" ht="15" customHeight="1">
      <c r="A81" s="586"/>
      <c r="B81" s="431"/>
      <c r="C81" s="431"/>
      <c r="D81" s="652"/>
      <c r="E81" s="210" t="s">
        <v>151</v>
      </c>
      <c r="F81" s="107">
        <v>1874</v>
      </c>
      <c r="G81" s="553"/>
      <c r="H81" s="119">
        <f t="shared" si="5"/>
        <v>1874</v>
      </c>
    </row>
    <row r="82" spans="1:8" ht="15" customHeight="1">
      <c r="A82" s="586"/>
      <c r="B82" s="431"/>
      <c r="C82" s="431"/>
      <c r="D82" s="555" t="s">
        <v>110</v>
      </c>
      <c r="E82" s="53" t="s">
        <v>149</v>
      </c>
      <c r="F82" s="107">
        <v>0</v>
      </c>
      <c r="G82" s="553"/>
      <c r="H82" s="119">
        <f t="shared" si="5"/>
        <v>0</v>
      </c>
    </row>
    <row r="83" spans="1:8" ht="15" customHeight="1">
      <c r="A83" s="586"/>
      <c r="B83" s="431"/>
      <c r="C83" s="431"/>
      <c r="D83" s="759"/>
      <c r="E83" s="53" t="s">
        <v>150</v>
      </c>
      <c r="F83" s="107">
        <v>47167</v>
      </c>
      <c r="G83" s="553"/>
      <c r="H83" s="119">
        <f t="shared" si="5"/>
        <v>47167</v>
      </c>
    </row>
    <row r="84" spans="1:8" ht="15" customHeight="1">
      <c r="A84" s="813"/>
      <c r="B84" s="814"/>
      <c r="C84" s="814"/>
      <c r="D84" s="814"/>
      <c r="E84" s="210" t="s">
        <v>151</v>
      </c>
      <c r="F84" s="107">
        <v>47166</v>
      </c>
      <c r="G84" s="553"/>
      <c r="H84" s="119">
        <f t="shared" si="5"/>
        <v>47166</v>
      </c>
    </row>
    <row r="85" spans="1:8" ht="15" customHeight="1">
      <c r="A85" s="1522" t="s">
        <v>237</v>
      </c>
      <c r="B85" s="1523"/>
      <c r="C85" s="1523"/>
      <c r="D85" s="1523"/>
      <c r="E85" s="1524"/>
      <c r="F85" s="107"/>
      <c r="G85" s="553"/>
      <c r="H85" s="119"/>
    </row>
    <row r="86" spans="1:8" ht="15" customHeight="1">
      <c r="A86" s="1522" t="s">
        <v>238</v>
      </c>
      <c r="B86" s="1523"/>
      <c r="C86" s="1523"/>
      <c r="D86" s="1523"/>
      <c r="E86" s="1524"/>
      <c r="F86" s="107"/>
      <c r="G86" s="553"/>
      <c r="H86" s="119"/>
    </row>
    <row r="87" spans="1:8" ht="15" customHeight="1">
      <c r="A87" s="586"/>
      <c r="B87" s="1253">
        <v>1</v>
      </c>
      <c r="C87" s="1253"/>
      <c r="D87" s="652" t="s">
        <v>110</v>
      </c>
      <c r="E87" s="820" t="s">
        <v>794</v>
      </c>
      <c r="F87" s="107"/>
      <c r="G87" s="553"/>
      <c r="H87" s="119"/>
    </row>
    <row r="88" spans="1:8" ht="15" customHeight="1">
      <c r="A88" s="586"/>
      <c r="B88" s="431"/>
      <c r="C88" s="431"/>
      <c r="D88" s="555"/>
      <c r="E88" s="53" t="s">
        <v>149</v>
      </c>
      <c r="F88" s="107">
        <v>0</v>
      </c>
      <c r="G88" s="553"/>
      <c r="H88" s="119">
        <f>F88</f>
        <v>0</v>
      </c>
    </row>
    <row r="89" spans="1:8" ht="15" customHeight="1">
      <c r="A89" s="586"/>
      <c r="B89" s="431"/>
      <c r="C89" s="431"/>
      <c r="D89" s="759"/>
      <c r="E89" s="53" t="s">
        <v>150</v>
      </c>
      <c r="F89" s="107">
        <v>6612</v>
      </c>
      <c r="G89" s="553"/>
      <c r="H89" s="119">
        <f>F89</f>
        <v>6612</v>
      </c>
    </row>
    <row r="90" spans="1:8" ht="15" customHeight="1">
      <c r="A90" s="1423"/>
      <c r="B90" s="1424"/>
      <c r="C90" s="1424"/>
      <c r="D90" s="1424"/>
      <c r="E90" s="155" t="s">
        <v>151</v>
      </c>
      <c r="F90" s="1425">
        <v>21997</v>
      </c>
      <c r="G90" s="1426"/>
      <c r="H90" s="501">
        <f>F90</f>
        <v>21997</v>
      </c>
    </row>
    <row r="91" spans="1:8" ht="15" customHeight="1">
      <c r="A91" s="1550" t="s">
        <v>239</v>
      </c>
      <c r="B91" s="1551"/>
      <c r="C91" s="1551"/>
      <c r="D91" s="1551"/>
      <c r="E91" s="1552"/>
      <c r="F91" s="124"/>
      <c r="G91" s="594"/>
      <c r="H91" s="125">
        <v>0</v>
      </c>
    </row>
    <row r="92" spans="1:8" ht="15" customHeight="1">
      <c r="A92" s="1517" t="s">
        <v>240</v>
      </c>
      <c r="B92" s="1518"/>
      <c r="C92" s="1518"/>
      <c r="D92" s="1518"/>
      <c r="E92" s="1519"/>
      <c r="F92" s="107"/>
      <c r="G92" s="553"/>
      <c r="H92" s="119"/>
    </row>
    <row r="93" spans="1:8" ht="13.5" customHeight="1">
      <c r="A93" s="586"/>
      <c r="B93" s="431"/>
      <c r="C93" s="431"/>
      <c r="D93" s="431"/>
      <c r="E93" s="53" t="s">
        <v>149</v>
      </c>
      <c r="F93" s="107">
        <f>F97+F109</f>
        <v>249597</v>
      </c>
      <c r="G93" s="553"/>
      <c r="H93" s="119">
        <f>F93</f>
        <v>249597</v>
      </c>
    </row>
    <row r="94" spans="1:8" ht="13.5" customHeight="1">
      <c r="A94" s="586"/>
      <c r="B94" s="431"/>
      <c r="C94" s="431"/>
      <c r="D94" s="431"/>
      <c r="E94" s="53" t="s">
        <v>150</v>
      </c>
      <c r="F94" s="107">
        <f>F98+F110</f>
        <v>258929</v>
      </c>
      <c r="G94" s="553"/>
      <c r="H94" s="119">
        <f aca="true" t="shared" si="6" ref="H94:H133">F94</f>
        <v>258929</v>
      </c>
    </row>
    <row r="95" spans="1:8" ht="13.5" customHeight="1">
      <c r="A95" s="586"/>
      <c r="B95" s="431"/>
      <c r="C95" s="431"/>
      <c r="D95" s="431"/>
      <c r="E95" s="667" t="s">
        <v>151</v>
      </c>
      <c r="F95" s="107">
        <f>F99+F111</f>
        <v>270271</v>
      </c>
      <c r="G95" s="553"/>
      <c r="H95" s="119">
        <f t="shared" si="6"/>
        <v>270271</v>
      </c>
    </row>
    <row r="96" spans="1:8" ht="13.5" customHeight="1">
      <c r="A96" s="560"/>
      <c r="B96" s="537"/>
      <c r="C96" s="1500" t="s">
        <v>241</v>
      </c>
      <c r="D96" s="1501"/>
      <c r="E96" s="1502"/>
      <c r="F96" s="131"/>
      <c r="G96" s="563"/>
      <c r="H96" s="119"/>
    </row>
    <row r="97" spans="1:8" ht="13.5" customHeight="1">
      <c r="A97" s="560"/>
      <c r="B97" s="537"/>
      <c r="C97" s="655"/>
      <c r="D97" s="657"/>
      <c r="E97" s="53" t="s">
        <v>149</v>
      </c>
      <c r="F97" s="117">
        <f>F101+F105</f>
        <v>4007</v>
      </c>
      <c r="G97" s="559"/>
      <c r="H97" s="119">
        <f t="shared" si="6"/>
        <v>4007</v>
      </c>
    </row>
    <row r="98" spans="1:8" ht="13.5" customHeight="1">
      <c r="A98" s="560"/>
      <c r="B98" s="537"/>
      <c r="C98" s="655"/>
      <c r="D98" s="657"/>
      <c r="E98" s="53" t="s">
        <v>150</v>
      </c>
      <c r="F98" s="117">
        <f>F102+F106</f>
        <v>6529</v>
      </c>
      <c r="G98" s="559"/>
      <c r="H98" s="119">
        <f t="shared" si="6"/>
        <v>6529</v>
      </c>
    </row>
    <row r="99" spans="1:8" ht="13.5" customHeight="1">
      <c r="A99" s="560"/>
      <c r="B99" s="537"/>
      <c r="C99" s="655"/>
      <c r="D99" s="657"/>
      <c r="E99" s="53" t="s">
        <v>151</v>
      </c>
      <c r="F99" s="117">
        <f>F103+F107</f>
        <v>7990</v>
      </c>
      <c r="G99" s="559"/>
      <c r="H99" s="119">
        <f>F99</f>
        <v>7990</v>
      </c>
    </row>
    <row r="100" spans="1:8" ht="14.25" customHeight="1">
      <c r="A100" s="560"/>
      <c r="B100" s="537">
        <v>1</v>
      </c>
      <c r="C100" s="564" t="s">
        <v>223</v>
      </c>
      <c r="D100" s="564" t="s">
        <v>110</v>
      </c>
      <c r="E100" s="568" t="s">
        <v>242</v>
      </c>
      <c r="F100" s="100"/>
      <c r="G100" s="565"/>
      <c r="H100" s="119"/>
    </row>
    <row r="101" spans="1:8" ht="14.25" customHeight="1">
      <c r="A101" s="560"/>
      <c r="B101" s="537"/>
      <c r="C101" s="564"/>
      <c r="D101" s="564"/>
      <c r="E101" s="53" t="s">
        <v>149</v>
      </c>
      <c r="F101" s="100">
        <v>4007</v>
      </c>
      <c r="G101" s="565"/>
      <c r="H101" s="119">
        <f t="shared" si="6"/>
        <v>4007</v>
      </c>
    </row>
    <row r="102" spans="1:8" ht="14.25" customHeight="1">
      <c r="A102" s="560"/>
      <c r="B102" s="537"/>
      <c r="C102" s="564"/>
      <c r="D102" s="564"/>
      <c r="E102" s="53" t="s">
        <v>150</v>
      </c>
      <c r="F102" s="100">
        <v>4007</v>
      </c>
      <c r="G102" s="565"/>
      <c r="H102" s="119">
        <f t="shared" si="6"/>
        <v>4007</v>
      </c>
    </row>
    <row r="103" spans="1:8" ht="14.25" customHeight="1">
      <c r="A103" s="560"/>
      <c r="B103" s="537"/>
      <c r="C103" s="564"/>
      <c r="D103" s="564"/>
      <c r="E103" s="210" t="s">
        <v>151</v>
      </c>
      <c r="F103" s="100">
        <v>5468</v>
      </c>
      <c r="G103" s="565"/>
      <c r="H103" s="119">
        <f t="shared" si="6"/>
        <v>5468</v>
      </c>
    </row>
    <row r="104" spans="1:8" ht="14.25" customHeight="1">
      <c r="A104" s="560"/>
      <c r="B104" s="537">
        <v>2</v>
      </c>
      <c r="C104" s="564" t="s">
        <v>223</v>
      </c>
      <c r="D104" s="564" t="s">
        <v>110</v>
      </c>
      <c r="E104" s="29" t="s">
        <v>795</v>
      </c>
      <c r="F104" s="100"/>
      <c r="G104" s="565"/>
      <c r="H104" s="119"/>
    </row>
    <row r="105" spans="1:8" ht="14.25" customHeight="1">
      <c r="A105" s="560"/>
      <c r="B105" s="537"/>
      <c r="C105" s="564"/>
      <c r="D105" s="564"/>
      <c r="E105" s="53" t="s">
        <v>149</v>
      </c>
      <c r="F105" s="120">
        <v>0</v>
      </c>
      <c r="G105" s="567"/>
      <c r="H105" s="119">
        <f t="shared" si="6"/>
        <v>0</v>
      </c>
    </row>
    <row r="106" spans="1:8" ht="14.25" customHeight="1">
      <c r="A106" s="560"/>
      <c r="B106" s="537"/>
      <c r="C106" s="564"/>
      <c r="D106" s="564"/>
      <c r="E106" s="53" t="s">
        <v>150</v>
      </c>
      <c r="F106" s="120">
        <v>2522</v>
      </c>
      <c r="G106" s="567"/>
      <c r="H106" s="119">
        <f t="shared" si="6"/>
        <v>2522</v>
      </c>
    </row>
    <row r="107" spans="1:8" ht="14.25" customHeight="1">
      <c r="A107" s="560"/>
      <c r="B107" s="537"/>
      <c r="C107" s="564"/>
      <c r="D107" s="564"/>
      <c r="E107" s="210" t="s">
        <v>151</v>
      </c>
      <c r="F107" s="120">
        <v>2522</v>
      </c>
      <c r="G107" s="567"/>
      <c r="H107" s="119">
        <f t="shared" si="6"/>
        <v>2522</v>
      </c>
    </row>
    <row r="108" spans="1:8" ht="14.25" customHeight="1">
      <c r="A108" s="560"/>
      <c r="B108" s="537"/>
      <c r="C108" s="1536" t="s">
        <v>243</v>
      </c>
      <c r="D108" s="1536"/>
      <c r="E108" s="1536"/>
      <c r="F108" s="446"/>
      <c r="G108" s="557"/>
      <c r="H108" s="119"/>
    </row>
    <row r="109" spans="1:8" ht="14.25" customHeight="1">
      <c r="A109" s="560"/>
      <c r="B109" s="537"/>
      <c r="C109" s="657"/>
      <c r="D109" s="657"/>
      <c r="E109" s="53" t="s">
        <v>149</v>
      </c>
      <c r="F109" s="446">
        <f>F113+F117+F121+F125+F129+F133+F137+F141+F145+F149+F153+F157+F161</f>
        <v>245590</v>
      </c>
      <c r="G109" s="557"/>
      <c r="H109" s="119">
        <f t="shared" si="6"/>
        <v>245590</v>
      </c>
    </row>
    <row r="110" spans="1:8" ht="14.25" customHeight="1">
      <c r="A110" s="560"/>
      <c r="B110" s="537"/>
      <c r="C110" s="657"/>
      <c r="D110" s="657"/>
      <c r="E110" s="53" t="s">
        <v>150</v>
      </c>
      <c r="F110" s="446">
        <f>F114+F118+F122+F126+F130+F134+F138+F142+F146+F150+F154+F158+F162</f>
        <v>252400</v>
      </c>
      <c r="G110" s="557"/>
      <c r="H110" s="119">
        <f t="shared" si="6"/>
        <v>252400</v>
      </c>
    </row>
    <row r="111" spans="1:8" ht="14.25" customHeight="1">
      <c r="A111" s="560"/>
      <c r="B111" s="537"/>
      <c r="C111" s="657"/>
      <c r="D111" s="657"/>
      <c r="E111" s="210" t="s">
        <v>151</v>
      </c>
      <c r="F111" s="446">
        <f>F115+F119+F123+F127+F131+F135+F139+F143+F147+F151+F155+F159+F163</f>
        <v>262281</v>
      </c>
      <c r="G111" s="557"/>
      <c r="H111" s="119">
        <f>F111</f>
        <v>262281</v>
      </c>
    </row>
    <row r="112" spans="1:8" ht="14.25" customHeight="1">
      <c r="A112" s="560"/>
      <c r="B112" s="537">
        <v>1</v>
      </c>
      <c r="C112" s="564" t="s">
        <v>223</v>
      </c>
      <c r="D112" s="564" t="s">
        <v>110</v>
      </c>
      <c r="E112" s="102" t="s">
        <v>745</v>
      </c>
      <c r="F112" s="120"/>
      <c r="G112" s="567"/>
      <c r="H112" s="119"/>
    </row>
    <row r="113" spans="1:8" ht="14.25" customHeight="1">
      <c r="A113" s="560"/>
      <c r="B113" s="537"/>
      <c r="C113" s="564"/>
      <c r="D113" s="564"/>
      <c r="E113" s="53" t="s">
        <v>149</v>
      </c>
      <c r="F113" s="120">
        <v>600</v>
      </c>
      <c r="G113" s="567"/>
      <c r="H113" s="119">
        <f t="shared" si="6"/>
        <v>600</v>
      </c>
    </row>
    <row r="114" spans="1:8" ht="14.25" customHeight="1">
      <c r="A114" s="560"/>
      <c r="B114" s="537"/>
      <c r="C114" s="564"/>
      <c r="D114" s="564"/>
      <c r="E114" s="53" t="s">
        <v>150</v>
      </c>
      <c r="F114" s="120">
        <v>600</v>
      </c>
      <c r="G114" s="567"/>
      <c r="H114" s="119">
        <f t="shared" si="6"/>
        <v>600</v>
      </c>
    </row>
    <row r="115" spans="1:8" ht="14.25" customHeight="1">
      <c r="A115" s="560"/>
      <c r="B115" s="537"/>
      <c r="C115" s="564"/>
      <c r="D115" s="564"/>
      <c r="E115" s="210" t="s">
        <v>151</v>
      </c>
      <c r="F115" s="120">
        <v>0</v>
      </c>
      <c r="G115" s="567"/>
      <c r="H115" s="119">
        <f t="shared" si="6"/>
        <v>0</v>
      </c>
    </row>
    <row r="116" spans="1:8" ht="14.25" customHeight="1">
      <c r="A116" s="560"/>
      <c r="B116" s="537">
        <v>2</v>
      </c>
      <c r="C116" s="564" t="s">
        <v>223</v>
      </c>
      <c r="D116" s="564" t="s">
        <v>110</v>
      </c>
      <c r="E116" s="102" t="s">
        <v>89</v>
      </c>
      <c r="F116" s="100"/>
      <c r="G116" s="565"/>
      <c r="H116" s="119"/>
    </row>
    <row r="117" spans="1:8" ht="14.25" customHeight="1">
      <c r="A117" s="560"/>
      <c r="B117" s="537"/>
      <c r="C117" s="564"/>
      <c r="D117" s="564"/>
      <c r="E117" s="53" t="s">
        <v>149</v>
      </c>
      <c r="F117" s="100">
        <v>71967</v>
      </c>
      <c r="G117" s="565"/>
      <c r="H117" s="119">
        <f t="shared" si="6"/>
        <v>71967</v>
      </c>
    </row>
    <row r="118" spans="1:8" ht="14.25" customHeight="1">
      <c r="A118" s="560"/>
      <c r="B118" s="537"/>
      <c r="C118" s="564"/>
      <c r="D118" s="564"/>
      <c r="E118" s="53" t="s">
        <v>150</v>
      </c>
      <c r="F118" s="100">
        <v>71967</v>
      </c>
      <c r="G118" s="565"/>
      <c r="H118" s="119">
        <f t="shared" si="6"/>
        <v>71967</v>
      </c>
    </row>
    <row r="119" spans="1:8" ht="14.25" customHeight="1">
      <c r="A119" s="560"/>
      <c r="B119" s="537"/>
      <c r="C119" s="564"/>
      <c r="D119" s="564"/>
      <c r="E119" s="210" t="s">
        <v>151</v>
      </c>
      <c r="F119" s="100">
        <v>82396</v>
      </c>
      <c r="G119" s="565"/>
      <c r="H119" s="119">
        <f t="shared" si="6"/>
        <v>82396</v>
      </c>
    </row>
    <row r="120" spans="1:8" ht="14.25" customHeight="1">
      <c r="A120" s="560"/>
      <c r="B120" s="537">
        <v>3</v>
      </c>
      <c r="C120" s="564" t="s">
        <v>223</v>
      </c>
      <c r="D120" s="564" t="s">
        <v>111</v>
      </c>
      <c r="E120" s="102" t="s">
        <v>31</v>
      </c>
      <c r="F120" s="100"/>
      <c r="G120" s="565"/>
      <c r="H120" s="119"/>
    </row>
    <row r="121" spans="1:8" ht="14.25" customHeight="1">
      <c r="A121" s="560"/>
      <c r="B121" s="537"/>
      <c r="C121" s="564"/>
      <c r="D121" s="564"/>
      <c r="E121" s="53" t="s">
        <v>149</v>
      </c>
      <c r="F121" s="122">
        <v>1080</v>
      </c>
      <c r="G121" s="561"/>
      <c r="H121" s="119">
        <f t="shared" si="6"/>
        <v>1080</v>
      </c>
    </row>
    <row r="122" spans="1:8" ht="14.25" customHeight="1">
      <c r="A122" s="560"/>
      <c r="B122" s="537"/>
      <c r="C122" s="564"/>
      <c r="D122" s="564"/>
      <c r="E122" s="53" t="s">
        <v>150</v>
      </c>
      <c r="F122" s="122">
        <v>1080</v>
      </c>
      <c r="G122" s="561"/>
      <c r="H122" s="119">
        <f t="shared" si="6"/>
        <v>1080</v>
      </c>
    </row>
    <row r="123" spans="1:8" ht="14.25" customHeight="1">
      <c r="A123" s="560"/>
      <c r="B123" s="537"/>
      <c r="C123" s="564"/>
      <c r="D123" s="564"/>
      <c r="E123" s="210" t="s">
        <v>151</v>
      </c>
      <c r="F123" s="122">
        <v>766</v>
      </c>
      <c r="G123" s="561"/>
      <c r="H123" s="119">
        <f t="shared" si="6"/>
        <v>766</v>
      </c>
    </row>
    <row r="124" spans="1:8" ht="14.25" customHeight="1">
      <c r="A124" s="560"/>
      <c r="B124" s="537">
        <v>4</v>
      </c>
      <c r="C124" s="564" t="s">
        <v>223</v>
      </c>
      <c r="D124" s="564" t="s">
        <v>110</v>
      </c>
      <c r="E124" s="123" t="s">
        <v>57</v>
      </c>
      <c r="F124" s="122"/>
      <c r="G124" s="561"/>
      <c r="H124" s="119"/>
    </row>
    <row r="125" spans="1:8" ht="14.25" customHeight="1">
      <c r="A125" s="560"/>
      <c r="B125" s="537"/>
      <c r="C125" s="564"/>
      <c r="D125" s="564"/>
      <c r="E125" s="53" t="s">
        <v>149</v>
      </c>
      <c r="F125" s="122">
        <v>500</v>
      </c>
      <c r="G125" s="561"/>
      <c r="H125" s="119">
        <f t="shared" si="6"/>
        <v>500</v>
      </c>
    </row>
    <row r="126" spans="1:8" ht="14.25" customHeight="1">
      <c r="A126" s="560"/>
      <c r="B126" s="537"/>
      <c r="C126" s="564"/>
      <c r="D126" s="564"/>
      <c r="E126" s="53" t="s">
        <v>150</v>
      </c>
      <c r="F126" s="122">
        <v>500</v>
      </c>
      <c r="G126" s="561"/>
      <c r="H126" s="119">
        <f t="shared" si="6"/>
        <v>500</v>
      </c>
    </row>
    <row r="127" spans="1:8" ht="14.25" customHeight="1">
      <c r="A127" s="560"/>
      <c r="B127" s="537"/>
      <c r="C127" s="564"/>
      <c r="D127" s="564"/>
      <c r="E127" s="210" t="s">
        <v>151</v>
      </c>
      <c r="F127" s="122">
        <v>0</v>
      </c>
      <c r="G127" s="561"/>
      <c r="H127" s="119">
        <f t="shared" si="6"/>
        <v>0</v>
      </c>
    </row>
    <row r="128" spans="1:8" ht="14.25" customHeight="1">
      <c r="A128" s="560"/>
      <c r="B128" s="537">
        <v>5</v>
      </c>
      <c r="C128" s="564" t="s">
        <v>223</v>
      </c>
      <c r="D128" s="564" t="s">
        <v>111</v>
      </c>
      <c r="E128" s="102" t="s">
        <v>796</v>
      </c>
      <c r="F128" s="100"/>
      <c r="G128" s="565"/>
      <c r="H128" s="119"/>
    </row>
    <row r="129" spans="1:8" ht="14.25" customHeight="1">
      <c r="A129" s="560"/>
      <c r="B129" s="537"/>
      <c r="C129" s="564"/>
      <c r="D129" s="564"/>
      <c r="E129" s="53" t="s">
        <v>149</v>
      </c>
      <c r="F129" s="122">
        <v>16978</v>
      </c>
      <c r="G129" s="561"/>
      <c r="H129" s="119">
        <f t="shared" si="6"/>
        <v>16978</v>
      </c>
    </row>
    <row r="130" spans="1:8" ht="14.25" customHeight="1">
      <c r="A130" s="560"/>
      <c r="B130" s="537"/>
      <c r="C130" s="564"/>
      <c r="D130" s="564"/>
      <c r="E130" s="53" t="s">
        <v>150</v>
      </c>
      <c r="F130" s="122">
        <v>0</v>
      </c>
      <c r="G130" s="561"/>
      <c r="H130" s="119">
        <f t="shared" si="6"/>
        <v>0</v>
      </c>
    </row>
    <row r="131" spans="1:8" ht="14.25" customHeight="1">
      <c r="A131" s="560"/>
      <c r="B131" s="537"/>
      <c r="C131" s="564"/>
      <c r="D131" s="564"/>
      <c r="E131" s="210" t="s">
        <v>151</v>
      </c>
      <c r="F131" s="122">
        <v>0</v>
      </c>
      <c r="G131" s="561"/>
      <c r="H131" s="119">
        <f t="shared" si="6"/>
        <v>0</v>
      </c>
    </row>
    <row r="132" spans="1:8" ht="14.25" customHeight="1">
      <c r="A132" s="560"/>
      <c r="B132" s="537">
        <v>6</v>
      </c>
      <c r="C132" s="564" t="s">
        <v>223</v>
      </c>
      <c r="D132" s="564" t="s">
        <v>111</v>
      </c>
      <c r="E132" s="102" t="s">
        <v>797</v>
      </c>
      <c r="F132" s="122"/>
      <c r="G132" s="561"/>
      <c r="H132" s="119"/>
    </row>
    <row r="133" spans="1:8" ht="14.25" customHeight="1">
      <c r="A133" s="560"/>
      <c r="B133" s="537"/>
      <c r="C133" s="564"/>
      <c r="D133" s="564"/>
      <c r="E133" s="53" t="s">
        <v>149</v>
      </c>
      <c r="F133" s="122">
        <v>114676</v>
      </c>
      <c r="G133" s="561"/>
      <c r="H133" s="119">
        <f t="shared" si="6"/>
        <v>114676</v>
      </c>
    </row>
    <row r="134" spans="1:8" ht="14.25" customHeight="1">
      <c r="A134" s="560"/>
      <c r="B134" s="537"/>
      <c r="C134" s="564"/>
      <c r="D134" s="564"/>
      <c r="E134" s="53" t="s">
        <v>150</v>
      </c>
      <c r="F134" s="122">
        <v>114676</v>
      </c>
      <c r="G134" s="561"/>
      <c r="H134" s="119">
        <f aca="true" t="shared" si="7" ref="H134:H151">F134</f>
        <v>114676</v>
      </c>
    </row>
    <row r="135" spans="1:8" ht="14.25" customHeight="1">
      <c r="A135" s="560"/>
      <c r="B135" s="537"/>
      <c r="C135" s="564"/>
      <c r="D135" s="564"/>
      <c r="E135" s="210" t="s">
        <v>151</v>
      </c>
      <c r="F135" s="122">
        <v>114667</v>
      </c>
      <c r="G135" s="561"/>
      <c r="H135" s="119">
        <f t="shared" si="7"/>
        <v>114667</v>
      </c>
    </row>
    <row r="136" spans="1:8" ht="15.75" customHeight="1">
      <c r="A136" s="560"/>
      <c r="B136" s="537">
        <v>7</v>
      </c>
      <c r="C136" s="564" t="s">
        <v>223</v>
      </c>
      <c r="D136" s="564" t="s">
        <v>111</v>
      </c>
      <c r="E136" s="1525" t="s">
        <v>728</v>
      </c>
      <c r="F136" s="1527"/>
      <c r="G136" s="561"/>
      <c r="H136" s="119"/>
    </row>
    <row r="137" spans="1:8" ht="14.25" customHeight="1">
      <c r="A137" s="560"/>
      <c r="B137" s="537"/>
      <c r="C137" s="564"/>
      <c r="D137" s="564"/>
      <c r="E137" s="53" t="s">
        <v>149</v>
      </c>
      <c r="F137" s="100">
        <v>14589</v>
      </c>
      <c r="G137" s="561"/>
      <c r="H137" s="119">
        <f t="shared" si="7"/>
        <v>14589</v>
      </c>
    </row>
    <row r="138" spans="1:8" ht="14.25" customHeight="1">
      <c r="A138" s="560"/>
      <c r="B138" s="537"/>
      <c r="C138" s="564"/>
      <c r="D138" s="564"/>
      <c r="E138" s="53" t="s">
        <v>150</v>
      </c>
      <c r="F138" s="100">
        <v>14589</v>
      </c>
      <c r="G138" s="561"/>
      <c r="H138" s="119">
        <f t="shared" si="7"/>
        <v>14589</v>
      </c>
    </row>
    <row r="139" spans="1:8" ht="14.25" customHeight="1">
      <c r="A139" s="560"/>
      <c r="B139" s="537"/>
      <c r="C139" s="564"/>
      <c r="D139" s="564"/>
      <c r="E139" s="210" t="s">
        <v>151</v>
      </c>
      <c r="F139" s="100">
        <v>15351</v>
      </c>
      <c r="G139" s="561"/>
      <c r="H139" s="119">
        <f t="shared" si="7"/>
        <v>15351</v>
      </c>
    </row>
    <row r="140" spans="1:8" ht="14.25" customHeight="1">
      <c r="A140" s="560"/>
      <c r="B140" s="537">
        <v>8</v>
      </c>
      <c r="C140" s="564" t="s">
        <v>223</v>
      </c>
      <c r="D140" s="564" t="s">
        <v>111</v>
      </c>
      <c r="E140" s="1089" t="s">
        <v>762</v>
      </c>
      <c r="F140" s="29"/>
      <c r="G140" s="1110"/>
      <c r="H140" s="119"/>
    </row>
    <row r="141" spans="1:8" ht="14.25" customHeight="1">
      <c r="A141" s="560"/>
      <c r="B141" s="537"/>
      <c r="C141" s="564"/>
      <c r="D141" s="564"/>
      <c r="E141" s="53" t="s">
        <v>149</v>
      </c>
      <c r="F141" s="100">
        <v>25200</v>
      </c>
      <c r="G141" s="561"/>
      <c r="H141" s="119">
        <f t="shared" si="7"/>
        <v>25200</v>
      </c>
    </row>
    <row r="142" spans="1:8" ht="14.25" customHeight="1">
      <c r="A142" s="560"/>
      <c r="B142" s="537"/>
      <c r="C142" s="564"/>
      <c r="D142" s="564"/>
      <c r="E142" s="53" t="s">
        <v>150</v>
      </c>
      <c r="F142" s="100">
        <v>25200</v>
      </c>
      <c r="G142" s="561"/>
      <c r="H142" s="119">
        <f t="shared" si="7"/>
        <v>25200</v>
      </c>
    </row>
    <row r="143" spans="1:8" ht="14.25" customHeight="1">
      <c r="A143" s="560"/>
      <c r="B143" s="537"/>
      <c r="C143" s="564"/>
      <c r="D143" s="564"/>
      <c r="E143" s="210" t="s">
        <v>151</v>
      </c>
      <c r="F143" s="100">
        <v>43704</v>
      </c>
      <c r="G143" s="561"/>
      <c r="H143" s="119">
        <f t="shared" si="7"/>
        <v>43704</v>
      </c>
    </row>
    <row r="144" spans="1:8" ht="12.75" customHeight="1">
      <c r="A144" s="560"/>
      <c r="B144" s="537">
        <v>9</v>
      </c>
      <c r="C144" s="564" t="s">
        <v>223</v>
      </c>
      <c r="D144" s="564" t="s">
        <v>111</v>
      </c>
      <c r="E144" s="29" t="s">
        <v>207</v>
      </c>
      <c r="F144" s="100"/>
      <c r="G144" s="561"/>
      <c r="H144" s="119"/>
    </row>
    <row r="145" spans="1:8" ht="15" customHeight="1">
      <c r="A145" s="560"/>
      <c r="B145" s="537"/>
      <c r="C145" s="564"/>
      <c r="D145" s="564"/>
      <c r="E145" s="53" t="s">
        <v>149</v>
      </c>
      <c r="F145" s="122">
        <v>0</v>
      </c>
      <c r="G145" s="561"/>
      <c r="H145" s="119">
        <f t="shared" si="7"/>
        <v>0</v>
      </c>
    </row>
    <row r="146" spans="1:8" ht="15" customHeight="1">
      <c r="A146" s="560"/>
      <c r="B146" s="537"/>
      <c r="C146" s="564"/>
      <c r="D146" s="564"/>
      <c r="E146" s="53" t="s">
        <v>150</v>
      </c>
      <c r="F146" s="122">
        <v>208</v>
      </c>
      <c r="G146" s="561"/>
      <c r="H146" s="119">
        <f t="shared" si="7"/>
        <v>208</v>
      </c>
    </row>
    <row r="147" spans="1:8" ht="15" customHeight="1">
      <c r="A147" s="560"/>
      <c r="B147" s="537"/>
      <c r="C147" s="564"/>
      <c r="D147" s="564"/>
      <c r="E147" s="53" t="s">
        <v>151</v>
      </c>
      <c r="F147" s="100">
        <v>209</v>
      </c>
      <c r="G147" s="565"/>
      <c r="H147" s="119">
        <f t="shared" si="7"/>
        <v>209</v>
      </c>
    </row>
    <row r="148" spans="1:8" ht="16.5" customHeight="1">
      <c r="A148" s="560"/>
      <c r="B148" s="537">
        <v>10</v>
      </c>
      <c r="C148" s="564" t="s">
        <v>223</v>
      </c>
      <c r="D148" s="569" t="s">
        <v>111</v>
      </c>
      <c r="E148" s="1520" t="s">
        <v>798</v>
      </c>
      <c r="F148" s="1521"/>
      <c r="G148" s="565"/>
      <c r="H148" s="119"/>
    </row>
    <row r="149" spans="1:8" ht="14.25" customHeight="1">
      <c r="A149" s="560"/>
      <c r="B149" s="519"/>
      <c r="C149" s="569"/>
      <c r="D149" s="569"/>
      <c r="E149" s="53" t="s">
        <v>149</v>
      </c>
      <c r="F149" s="100">
        <v>0</v>
      </c>
      <c r="G149" s="565"/>
      <c r="H149" s="119">
        <f t="shared" si="7"/>
        <v>0</v>
      </c>
    </row>
    <row r="150" spans="1:8" ht="14.25" customHeight="1">
      <c r="A150" s="560"/>
      <c r="B150" s="519"/>
      <c r="C150" s="569"/>
      <c r="D150" s="569"/>
      <c r="E150" s="53" t="s">
        <v>150</v>
      </c>
      <c r="F150" s="100">
        <v>1057</v>
      </c>
      <c r="G150" s="565"/>
      <c r="H150" s="119">
        <f t="shared" si="7"/>
        <v>1057</v>
      </c>
    </row>
    <row r="151" spans="1:8" ht="14.25" customHeight="1">
      <c r="A151" s="560"/>
      <c r="B151" s="519"/>
      <c r="C151" s="569"/>
      <c r="D151" s="569"/>
      <c r="E151" s="210" t="s">
        <v>151</v>
      </c>
      <c r="F151" s="103">
        <v>1048</v>
      </c>
      <c r="G151" s="598"/>
      <c r="H151" s="119">
        <f t="shared" si="7"/>
        <v>1048</v>
      </c>
    </row>
    <row r="152" spans="1:8" ht="14.25" customHeight="1">
      <c r="A152" s="560"/>
      <c r="B152" s="519">
        <v>11</v>
      </c>
      <c r="C152" s="569" t="s">
        <v>318</v>
      </c>
      <c r="D152" s="564" t="s">
        <v>111</v>
      </c>
      <c r="E152" s="730" t="s">
        <v>799</v>
      </c>
      <c r="F152" s="100"/>
      <c r="G152" s="599"/>
      <c r="H152" s="125"/>
    </row>
    <row r="153" spans="1:8" ht="14.25" customHeight="1">
      <c r="A153" s="560"/>
      <c r="B153" s="519"/>
      <c r="C153" s="569"/>
      <c r="D153" s="729"/>
      <c r="E153" s="53" t="s">
        <v>149</v>
      </c>
      <c r="F153" s="100">
        <v>0</v>
      </c>
      <c r="G153" s="565"/>
      <c r="H153" s="119">
        <f>F153</f>
        <v>0</v>
      </c>
    </row>
    <row r="154" spans="1:8" ht="14.25" customHeight="1">
      <c r="A154" s="560"/>
      <c r="B154" s="519"/>
      <c r="C154" s="569"/>
      <c r="D154" s="729"/>
      <c r="E154" s="53" t="s">
        <v>150</v>
      </c>
      <c r="F154" s="100">
        <v>18503</v>
      </c>
      <c r="G154" s="565"/>
      <c r="H154" s="119">
        <f aca="true" t="shared" si="8" ref="H154:H163">F154</f>
        <v>18503</v>
      </c>
    </row>
    <row r="155" spans="1:8" ht="14.25" customHeight="1">
      <c r="A155" s="560"/>
      <c r="B155" s="519"/>
      <c r="C155" s="569"/>
      <c r="D155" s="729"/>
      <c r="E155" s="53" t="s">
        <v>151</v>
      </c>
      <c r="F155" s="100">
        <v>0</v>
      </c>
      <c r="G155" s="565"/>
      <c r="H155" s="119">
        <f t="shared" si="8"/>
        <v>0</v>
      </c>
    </row>
    <row r="156" spans="1:8" ht="12.75" customHeight="1">
      <c r="A156" s="560"/>
      <c r="B156" s="519">
        <v>12</v>
      </c>
      <c r="C156" s="569" t="s">
        <v>318</v>
      </c>
      <c r="D156" s="729" t="s">
        <v>110</v>
      </c>
      <c r="E156" s="1084" t="s">
        <v>800</v>
      </c>
      <c r="F156" s="1085"/>
      <c r="G156" s="1086"/>
      <c r="H156" s="119"/>
    </row>
    <row r="157" spans="1:8" ht="14.25" customHeight="1">
      <c r="A157" s="560"/>
      <c r="B157" s="519"/>
      <c r="C157" s="569"/>
      <c r="D157" s="729"/>
      <c r="E157" s="53" t="s">
        <v>149</v>
      </c>
      <c r="F157" s="100">
        <v>0</v>
      </c>
      <c r="G157" s="565"/>
      <c r="H157" s="119">
        <f t="shared" si="8"/>
        <v>0</v>
      </c>
    </row>
    <row r="158" spans="1:8" ht="14.25" customHeight="1">
      <c r="A158" s="560"/>
      <c r="B158" s="519"/>
      <c r="C158" s="569"/>
      <c r="D158" s="729"/>
      <c r="E158" s="53" t="s">
        <v>150</v>
      </c>
      <c r="F158" s="100">
        <v>4020</v>
      </c>
      <c r="G158" s="599"/>
      <c r="H158" s="119">
        <f t="shared" si="8"/>
        <v>4020</v>
      </c>
    </row>
    <row r="159" spans="1:8" ht="14.25" customHeight="1">
      <c r="A159" s="560"/>
      <c r="B159" s="519"/>
      <c r="C159" s="569"/>
      <c r="D159" s="729"/>
      <c r="E159" s="210" t="s">
        <v>151</v>
      </c>
      <c r="F159" s="103">
        <v>4020</v>
      </c>
      <c r="G159" s="598"/>
      <c r="H159" s="119">
        <f t="shared" si="8"/>
        <v>4020</v>
      </c>
    </row>
    <row r="160" spans="1:8" ht="14.25" customHeight="1">
      <c r="A160" s="560"/>
      <c r="B160" s="519">
        <v>13</v>
      </c>
      <c r="C160" s="569" t="s">
        <v>318</v>
      </c>
      <c r="D160" s="569" t="s">
        <v>111</v>
      </c>
      <c r="E160" s="730" t="s">
        <v>992</v>
      </c>
      <c r="F160" s="100"/>
      <c r="G160" s="599"/>
      <c r="H160" s="119"/>
    </row>
    <row r="161" spans="1:8" ht="14.25" customHeight="1">
      <c r="A161" s="560"/>
      <c r="B161" s="519"/>
      <c r="C161" s="569"/>
      <c r="D161" s="569"/>
      <c r="E161" s="53" t="s">
        <v>149</v>
      </c>
      <c r="F161" s="100">
        <v>0</v>
      </c>
      <c r="G161" s="599"/>
      <c r="H161" s="119">
        <f t="shared" si="8"/>
        <v>0</v>
      </c>
    </row>
    <row r="162" spans="1:8" ht="14.25" customHeight="1">
      <c r="A162" s="560"/>
      <c r="B162" s="519"/>
      <c r="C162" s="569"/>
      <c r="D162" s="569"/>
      <c r="E162" s="53" t="s">
        <v>150</v>
      </c>
      <c r="F162" s="100">
        <v>0</v>
      </c>
      <c r="G162" s="599"/>
      <c r="H162" s="119">
        <f t="shared" si="8"/>
        <v>0</v>
      </c>
    </row>
    <row r="163" spans="1:8" ht="14.25" customHeight="1">
      <c r="A163" s="560"/>
      <c r="B163" s="519"/>
      <c r="C163" s="569"/>
      <c r="D163" s="569"/>
      <c r="E163" s="210" t="s">
        <v>151</v>
      </c>
      <c r="F163" s="103">
        <v>120</v>
      </c>
      <c r="G163" s="598"/>
      <c r="H163" s="119">
        <f t="shared" si="8"/>
        <v>120</v>
      </c>
    </row>
    <row r="164" spans="1:8" ht="16.5" customHeight="1">
      <c r="A164" s="1553" t="s">
        <v>244</v>
      </c>
      <c r="B164" s="1554"/>
      <c r="C164" s="1554"/>
      <c r="D164" s="1554"/>
      <c r="E164" s="1555"/>
      <c r="F164" s="572"/>
      <c r="G164" s="500"/>
      <c r="H164" s="573"/>
    </row>
    <row r="165" spans="1:8" ht="13.5" customHeight="1">
      <c r="A165" s="104"/>
      <c r="B165" s="105"/>
      <c r="C165" s="105"/>
      <c r="D165" s="105"/>
      <c r="E165" s="53" t="s">
        <v>149</v>
      </c>
      <c r="F165" s="662"/>
      <c r="G165" s="663">
        <f>G169+G173+G177+G181+G185+G189+G193+G197+G201+G205+G209+G213+G217+G221</f>
        <v>35526</v>
      </c>
      <c r="H165" s="125">
        <f>G165</f>
        <v>35526</v>
      </c>
    </row>
    <row r="166" spans="1:8" ht="13.5" customHeight="1">
      <c r="A166" s="104"/>
      <c r="B166" s="105"/>
      <c r="C166" s="105"/>
      <c r="D166" s="105"/>
      <c r="E166" s="53" t="s">
        <v>150</v>
      </c>
      <c r="F166" s="662"/>
      <c r="G166" s="663">
        <f>G170+G174+G178+G182+G186+G190+G194+G198+G202+G206+G210+G214+G218+G222</f>
        <v>150738</v>
      </c>
      <c r="H166" s="125">
        <f>G166</f>
        <v>150738</v>
      </c>
    </row>
    <row r="167" spans="1:8" ht="13.5" customHeight="1">
      <c r="A167" s="104"/>
      <c r="B167" s="105"/>
      <c r="C167" s="105"/>
      <c r="D167" s="105"/>
      <c r="E167" s="210" t="s">
        <v>151</v>
      </c>
      <c r="F167" s="662"/>
      <c r="G167" s="663">
        <f>G171+G175+G179+G183+G187+G191+G195+G199+G203+G207+G211+G215+G219+G223</f>
        <v>145711</v>
      </c>
      <c r="H167" s="125">
        <f>G167</f>
        <v>145711</v>
      </c>
    </row>
    <row r="168" spans="1:8" ht="15" customHeight="1">
      <c r="A168" s="574"/>
      <c r="B168" s="575">
        <v>1</v>
      </c>
      <c r="C168" s="576" t="s">
        <v>245</v>
      </c>
      <c r="D168" s="576" t="s">
        <v>111</v>
      </c>
      <c r="E168" s="1254" t="s">
        <v>326</v>
      </c>
      <c r="F168" s="1255"/>
      <c r="G168" s="578"/>
      <c r="H168" s="119"/>
    </row>
    <row r="169" spans="1:8" ht="13.5" customHeight="1">
      <c r="A169" s="104"/>
      <c r="B169" s="94"/>
      <c r="C169" s="426"/>
      <c r="D169" s="426"/>
      <c r="E169" s="53" t="s">
        <v>149</v>
      </c>
      <c r="F169" s="577"/>
      <c r="G169" s="578">
        <v>28741</v>
      </c>
      <c r="H169" s="119">
        <f>G169</f>
        <v>28741</v>
      </c>
    </row>
    <row r="170" spans="1:8" ht="13.5" customHeight="1">
      <c r="A170" s="104"/>
      <c r="B170" s="94"/>
      <c r="C170" s="426"/>
      <c r="D170" s="426"/>
      <c r="E170" s="53" t="s">
        <v>150</v>
      </c>
      <c r="F170" s="577"/>
      <c r="G170" s="578">
        <v>28741</v>
      </c>
      <c r="H170" s="119">
        <f aca="true" t="shared" si="9" ref="H170:H223">G170</f>
        <v>28741</v>
      </c>
    </row>
    <row r="171" spans="1:8" ht="13.5" customHeight="1">
      <c r="A171" s="104"/>
      <c r="B171" s="94"/>
      <c r="C171" s="426"/>
      <c r="D171" s="426"/>
      <c r="E171" s="210" t="s">
        <v>151</v>
      </c>
      <c r="F171" s="577"/>
      <c r="G171" s="578">
        <v>28741</v>
      </c>
      <c r="H171" s="119">
        <f t="shared" si="9"/>
        <v>28741</v>
      </c>
    </row>
    <row r="172" spans="1:8" ht="18" customHeight="1">
      <c r="A172" s="104"/>
      <c r="B172" s="94">
        <v>2</v>
      </c>
      <c r="C172" s="426" t="s">
        <v>245</v>
      </c>
      <c r="D172" s="426" t="s">
        <v>111</v>
      </c>
      <c r="E172" s="432" t="s">
        <v>728</v>
      </c>
      <c r="F172" s="577"/>
      <c r="G172" s="578"/>
      <c r="H172" s="119"/>
    </row>
    <row r="173" spans="1:8" ht="13.5" customHeight="1">
      <c r="A173" s="104"/>
      <c r="B173" s="94"/>
      <c r="C173" s="426"/>
      <c r="D173" s="426"/>
      <c r="E173" s="53" t="s">
        <v>149</v>
      </c>
      <c r="F173" s="577"/>
      <c r="G173" s="578">
        <v>917</v>
      </c>
      <c r="H173" s="119">
        <f t="shared" si="9"/>
        <v>917</v>
      </c>
    </row>
    <row r="174" spans="1:8" ht="13.5" customHeight="1">
      <c r="A174" s="104"/>
      <c r="B174" s="94"/>
      <c r="C174" s="426"/>
      <c r="D174" s="426"/>
      <c r="E174" s="53" t="s">
        <v>150</v>
      </c>
      <c r="F174" s="577"/>
      <c r="G174" s="578">
        <v>917</v>
      </c>
      <c r="H174" s="119">
        <f t="shared" si="9"/>
        <v>917</v>
      </c>
    </row>
    <row r="175" spans="1:8" ht="13.5" customHeight="1">
      <c r="A175" s="104"/>
      <c r="B175" s="94"/>
      <c r="C175" s="426"/>
      <c r="D175" s="426"/>
      <c r="E175" s="210" t="s">
        <v>151</v>
      </c>
      <c r="F175" s="577"/>
      <c r="G175" s="578">
        <v>917</v>
      </c>
      <c r="H175" s="119">
        <f t="shared" si="9"/>
        <v>917</v>
      </c>
    </row>
    <row r="176" spans="1:8" ht="15" customHeight="1">
      <c r="A176" s="104"/>
      <c r="B176" s="94">
        <v>3</v>
      </c>
      <c r="C176" s="426" t="s">
        <v>245</v>
      </c>
      <c r="D176" s="426" t="s">
        <v>110</v>
      </c>
      <c r="E176" s="1089" t="s">
        <v>737</v>
      </c>
      <c r="F176" s="1110"/>
      <c r="G176" s="432"/>
      <c r="H176" s="119"/>
    </row>
    <row r="177" spans="1:8" ht="13.5" customHeight="1">
      <c r="A177" s="104"/>
      <c r="B177" s="94"/>
      <c r="C177" s="426"/>
      <c r="D177" s="426"/>
      <c r="E177" s="53" t="s">
        <v>149</v>
      </c>
      <c r="F177" s="577"/>
      <c r="G177" s="578">
        <v>5280</v>
      </c>
      <c r="H177" s="119">
        <f t="shared" si="9"/>
        <v>5280</v>
      </c>
    </row>
    <row r="178" spans="1:8" ht="13.5" customHeight="1">
      <c r="A178" s="104"/>
      <c r="B178" s="94"/>
      <c r="C178" s="426"/>
      <c r="D178" s="426"/>
      <c r="E178" s="53" t="s">
        <v>150</v>
      </c>
      <c r="F178" s="577"/>
      <c r="G178" s="578">
        <v>5280</v>
      </c>
      <c r="H178" s="119">
        <f t="shared" si="9"/>
        <v>5280</v>
      </c>
    </row>
    <row r="179" spans="1:8" ht="13.5" customHeight="1">
      <c r="A179" s="104"/>
      <c r="B179" s="94"/>
      <c r="C179" s="426"/>
      <c r="D179" s="426"/>
      <c r="E179" s="210" t="s">
        <v>151</v>
      </c>
      <c r="F179" s="577"/>
      <c r="G179" s="578">
        <v>0</v>
      </c>
      <c r="H179" s="119">
        <f t="shared" si="9"/>
        <v>0</v>
      </c>
    </row>
    <row r="180" spans="1:8" ht="13.5" customHeight="1">
      <c r="A180" s="104"/>
      <c r="B180" s="99">
        <v>4</v>
      </c>
      <c r="C180" s="426" t="s">
        <v>245</v>
      </c>
      <c r="D180" s="426" t="s">
        <v>111</v>
      </c>
      <c r="E180" s="1089" t="s">
        <v>732</v>
      </c>
      <c r="F180" s="1110"/>
      <c r="G180" s="432"/>
      <c r="H180" s="119"/>
    </row>
    <row r="181" spans="1:8" ht="13.5" customHeight="1">
      <c r="A181" s="104"/>
      <c r="B181" s="1087"/>
      <c r="C181" s="426"/>
      <c r="D181" s="568"/>
      <c r="E181" s="53" t="s">
        <v>149</v>
      </c>
      <c r="F181" s="577"/>
      <c r="G181" s="578">
        <v>588</v>
      </c>
      <c r="H181" s="119">
        <f t="shared" si="9"/>
        <v>588</v>
      </c>
    </row>
    <row r="182" spans="1:8" ht="13.5" customHeight="1">
      <c r="A182" s="104"/>
      <c r="B182" s="1087"/>
      <c r="C182" s="426"/>
      <c r="D182" s="568"/>
      <c r="E182" s="53" t="s">
        <v>150</v>
      </c>
      <c r="F182" s="577"/>
      <c r="G182" s="578">
        <v>588</v>
      </c>
      <c r="H182" s="119">
        <f t="shared" si="9"/>
        <v>588</v>
      </c>
    </row>
    <row r="183" spans="1:8" ht="13.5" customHeight="1">
      <c r="A183" s="104"/>
      <c r="B183" s="1087"/>
      <c r="C183" s="426"/>
      <c r="D183" s="568"/>
      <c r="E183" s="210" t="s">
        <v>151</v>
      </c>
      <c r="F183" s="577"/>
      <c r="G183" s="578">
        <v>589</v>
      </c>
      <c r="H183" s="119">
        <f t="shared" si="9"/>
        <v>589</v>
      </c>
    </row>
    <row r="184" spans="1:8" ht="17.25" customHeight="1">
      <c r="A184" s="104"/>
      <c r="B184" s="94">
        <v>5</v>
      </c>
      <c r="C184" s="426" t="s">
        <v>245</v>
      </c>
      <c r="D184" s="426" t="s">
        <v>110</v>
      </c>
      <c r="E184" s="1525" t="s">
        <v>122</v>
      </c>
      <c r="F184" s="1526"/>
      <c r="G184" s="1527"/>
      <c r="H184" s="119"/>
    </row>
    <row r="185" spans="1:8" ht="12.75" customHeight="1">
      <c r="A185" s="104"/>
      <c r="B185" s="94"/>
      <c r="C185" s="426"/>
      <c r="D185" s="426"/>
      <c r="E185" s="53" t="s">
        <v>149</v>
      </c>
      <c r="F185" s="577"/>
      <c r="G185" s="578">
        <v>0</v>
      </c>
      <c r="H185" s="119">
        <f t="shared" si="9"/>
        <v>0</v>
      </c>
    </row>
    <row r="186" spans="1:8" ht="12.75" customHeight="1">
      <c r="A186" s="104"/>
      <c r="B186" s="94"/>
      <c r="C186" s="426"/>
      <c r="D186" s="426"/>
      <c r="E186" s="53" t="s">
        <v>150</v>
      </c>
      <c r="F186" s="577"/>
      <c r="G186" s="578">
        <v>11703</v>
      </c>
      <c r="H186" s="119">
        <f t="shared" si="9"/>
        <v>11703</v>
      </c>
    </row>
    <row r="187" spans="1:8" ht="12.75" customHeight="1">
      <c r="A187" s="104"/>
      <c r="B187" s="94"/>
      <c r="C187" s="426"/>
      <c r="D187" s="426"/>
      <c r="E187" s="210" t="s">
        <v>151</v>
      </c>
      <c r="F187" s="577"/>
      <c r="G187" s="578">
        <v>11704</v>
      </c>
      <c r="H187" s="119">
        <f t="shared" si="9"/>
        <v>11704</v>
      </c>
    </row>
    <row r="188" spans="1:8" ht="27.75" customHeight="1">
      <c r="A188" s="104"/>
      <c r="B188" s="94">
        <v>6</v>
      </c>
      <c r="C188" s="426" t="s">
        <v>245</v>
      </c>
      <c r="D188" s="426" t="s">
        <v>111</v>
      </c>
      <c r="E188" s="432" t="s">
        <v>193</v>
      </c>
      <c r="F188" s="577"/>
      <c r="G188" s="578"/>
      <c r="H188" s="119"/>
    </row>
    <row r="189" spans="1:8" ht="12.75" customHeight="1">
      <c r="A189" s="104"/>
      <c r="B189" s="94"/>
      <c r="C189" s="426"/>
      <c r="D189" s="426"/>
      <c r="E189" s="53" t="s">
        <v>149</v>
      </c>
      <c r="F189" s="577"/>
      <c r="G189" s="578">
        <v>0</v>
      </c>
      <c r="H189" s="119">
        <f t="shared" si="9"/>
        <v>0</v>
      </c>
    </row>
    <row r="190" spans="1:8" ht="12.75" customHeight="1">
      <c r="A190" s="104"/>
      <c r="B190" s="94"/>
      <c r="C190" s="426"/>
      <c r="D190" s="426"/>
      <c r="E190" s="53" t="s">
        <v>150</v>
      </c>
      <c r="F190" s="577"/>
      <c r="G190" s="578">
        <v>73489</v>
      </c>
      <c r="H190" s="119">
        <f t="shared" si="9"/>
        <v>73489</v>
      </c>
    </row>
    <row r="191" spans="1:8" ht="12.75" customHeight="1">
      <c r="A191" s="104"/>
      <c r="B191" s="94"/>
      <c r="C191" s="426"/>
      <c r="D191" s="426"/>
      <c r="E191" s="210" t="s">
        <v>151</v>
      </c>
      <c r="F191" s="577"/>
      <c r="G191" s="578">
        <v>73489</v>
      </c>
      <c r="H191" s="119">
        <f t="shared" si="9"/>
        <v>73489</v>
      </c>
    </row>
    <row r="192" spans="1:8" ht="26.25" customHeight="1">
      <c r="A192" s="104"/>
      <c r="B192" s="94">
        <v>7</v>
      </c>
      <c r="C192" s="426" t="s">
        <v>801</v>
      </c>
      <c r="D192" s="426" t="s">
        <v>110</v>
      </c>
      <c r="E192" s="432" t="s">
        <v>194</v>
      </c>
      <c r="F192" s="577"/>
      <c r="G192" s="578"/>
      <c r="H192" s="119"/>
    </row>
    <row r="193" spans="1:8" ht="12.75" customHeight="1">
      <c r="A193" s="104"/>
      <c r="B193" s="94"/>
      <c r="C193" s="426"/>
      <c r="D193" s="426"/>
      <c r="E193" s="53" t="s">
        <v>149</v>
      </c>
      <c r="F193" s="577"/>
      <c r="G193" s="578">
        <v>0</v>
      </c>
      <c r="H193" s="119">
        <f t="shared" si="9"/>
        <v>0</v>
      </c>
    </row>
    <row r="194" spans="1:8" ht="12.75" customHeight="1">
      <c r="A194" s="104"/>
      <c r="B194" s="94"/>
      <c r="C194" s="426"/>
      <c r="D194" s="426"/>
      <c r="E194" s="53" t="s">
        <v>150</v>
      </c>
      <c r="F194" s="577"/>
      <c r="G194" s="578">
        <v>6923</v>
      </c>
      <c r="H194" s="119">
        <f t="shared" si="9"/>
        <v>6923</v>
      </c>
    </row>
    <row r="195" spans="1:8" ht="12.75" customHeight="1">
      <c r="A195" s="104"/>
      <c r="B195" s="94"/>
      <c r="C195" s="426"/>
      <c r="D195" s="426"/>
      <c r="E195" s="210" t="s">
        <v>151</v>
      </c>
      <c r="F195" s="577"/>
      <c r="G195" s="578">
        <v>6922</v>
      </c>
      <c r="H195" s="119">
        <f t="shared" si="9"/>
        <v>6922</v>
      </c>
    </row>
    <row r="196" spans="1:8" ht="15.75" customHeight="1">
      <c r="A196" s="104"/>
      <c r="B196" s="94">
        <v>8</v>
      </c>
      <c r="C196" s="426" t="s">
        <v>319</v>
      </c>
      <c r="D196" s="426" t="s">
        <v>110</v>
      </c>
      <c r="E196" s="1254" t="s">
        <v>807</v>
      </c>
      <c r="F196" s="1255"/>
      <c r="G196" s="578"/>
      <c r="H196" s="119"/>
    </row>
    <row r="197" spans="1:8" ht="14.25" customHeight="1">
      <c r="A197" s="104"/>
      <c r="B197" s="94"/>
      <c r="C197" s="426"/>
      <c r="D197" s="426"/>
      <c r="E197" s="53" t="s">
        <v>149</v>
      </c>
      <c r="F197" s="577"/>
      <c r="G197" s="578">
        <v>0</v>
      </c>
      <c r="H197" s="119">
        <f t="shared" si="9"/>
        <v>0</v>
      </c>
    </row>
    <row r="198" spans="1:8" ht="14.25" customHeight="1">
      <c r="A198" s="104"/>
      <c r="B198" s="94"/>
      <c r="C198" s="426"/>
      <c r="D198" s="426"/>
      <c r="E198" s="53" t="s">
        <v>150</v>
      </c>
      <c r="F198" s="577"/>
      <c r="G198" s="578">
        <v>13099</v>
      </c>
      <c r="H198" s="119">
        <f t="shared" si="9"/>
        <v>13099</v>
      </c>
    </row>
    <row r="199" spans="1:8" ht="14.25" customHeight="1">
      <c r="A199" s="104"/>
      <c r="B199" s="94"/>
      <c r="C199" s="426"/>
      <c r="D199" s="426"/>
      <c r="E199" s="210" t="s">
        <v>151</v>
      </c>
      <c r="F199" s="577"/>
      <c r="G199" s="578">
        <v>13099</v>
      </c>
      <c r="H199" s="119">
        <f t="shared" si="9"/>
        <v>13099</v>
      </c>
    </row>
    <row r="200" spans="1:8" ht="13.5" customHeight="1">
      <c r="A200" s="104"/>
      <c r="B200" s="94">
        <v>9</v>
      </c>
      <c r="C200" s="426" t="s">
        <v>319</v>
      </c>
      <c r="D200" s="426" t="s">
        <v>110</v>
      </c>
      <c r="E200" s="1525" t="s">
        <v>806</v>
      </c>
      <c r="F200" s="1527"/>
      <c r="G200" s="578"/>
      <c r="H200" s="119"/>
    </row>
    <row r="201" spans="1:8" ht="12" customHeight="1">
      <c r="A201" s="104"/>
      <c r="B201" s="94"/>
      <c r="C201" s="426"/>
      <c r="D201" s="426"/>
      <c r="E201" s="53" t="s">
        <v>149</v>
      </c>
      <c r="F201" s="577"/>
      <c r="G201" s="578">
        <v>0</v>
      </c>
      <c r="H201" s="119">
        <f t="shared" si="9"/>
        <v>0</v>
      </c>
    </row>
    <row r="202" spans="1:8" ht="12" customHeight="1">
      <c r="A202" s="104"/>
      <c r="B202" s="94"/>
      <c r="C202" s="426"/>
      <c r="D202" s="426"/>
      <c r="E202" s="53" t="s">
        <v>150</v>
      </c>
      <c r="F202" s="577"/>
      <c r="G202" s="578">
        <v>700</v>
      </c>
      <c r="H202" s="119">
        <f t="shared" si="9"/>
        <v>700</v>
      </c>
    </row>
    <row r="203" spans="1:8" ht="12" customHeight="1">
      <c r="A203" s="104"/>
      <c r="B203" s="94"/>
      <c r="C203" s="426"/>
      <c r="D203" s="426"/>
      <c r="E203" s="210" t="s">
        <v>151</v>
      </c>
      <c r="F203" s="577"/>
      <c r="G203" s="578">
        <v>700</v>
      </c>
      <c r="H203" s="119">
        <f t="shared" si="9"/>
        <v>700</v>
      </c>
    </row>
    <row r="204" spans="1:8" ht="16.5" customHeight="1">
      <c r="A204" s="104"/>
      <c r="B204" s="94">
        <v>10</v>
      </c>
      <c r="C204" s="426" t="s">
        <v>319</v>
      </c>
      <c r="D204" s="426" t="s">
        <v>110</v>
      </c>
      <c r="E204" s="432" t="s">
        <v>805</v>
      </c>
      <c r="F204" s="577"/>
      <c r="G204" s="578"/>
      <c r="H204" s="119"/>
    </row>
    <row r="205" spans="1:8" ht="14.25" customHeight="1">
      <c r="A205" s="104"/>
      <c r="B205" s="94"/>
      <c r="C205" s="426"/>
      <c r="D205" s="426"/>
      <c r="E205" s="53" t="s">
        <v>149</v>
      </c>
      <c r="F205" s="577"/>
      <c r="G205" s="578">
        <v>0</v>
      </c>
      <c r="H205" s="119">
        <f t="shared" si="9"/>
        <v>0</v>
      </c>
    </row>
    <row r="206" spans="1:8" ht="14.25" customHeight="1">
      <c r="A206" s="104"/>
      <c r="B206" s="94"/>
      <c r="C206" s="426"/>
      <c r="D206" s="426"/>
      <c r="E206" s="53" t="s">
        <v>150</v>
      </c>
      <c r="F206" s="577"/>
      <c r="G206" s="578">
        <v>2957</v>
      </c>
      <c r="H206" s="119">
        <f t="shared" si="9"/>
        <v>2957</v>
      </c>
    </row>
    <row r="207" spans="1:8" ht="14.25" customHeight="1">
      <c r="A207" s="104"/>
      <c r="B207" s="94"/>
      <c r="C207" s="426"/>
      <c r="D207" s="426"/>
      <c r="E207" s="210" t="s">
        <v>151</v>
      </c>
      <c r="F207" s="577"/>
      <c r="G207" s="578">
        <v>2957</v>
      </c>
      <c r="H207" s="119">
        <f t="shared" si="9"/>
        <v>2957</v>
      </c>
    </row>
    <row r="208" spans="1:8" ht="25.5" customHeight="1">
      <c r="A208" s="104"/>
      <c r="B208" s="94">
        <v>11</v>
      </c>
      <c r="C208" s="426" t="s">
        <v>319</v>
      </c>
      <c r="D208" s="426" t="s">
        <v>110</v>
      </c>
      <c r="E208" s="1088" t="s">
        <v>803</v>
      </c>
      <c r="F208" s="577"/>
      <c r="G208" s="578"/>
      <c r="H208" s="119"/>
    </row>
    <row r="209" spans="1:8" ht="15" customHeight="1">
      <c r="A209" s="104"/>
      <c r="B209" s="94"/>
      <c r="C209" s="426"/>
      <c r="D209" s="426"/>
      <c r="E209" s="53" t="s">
        <v>149</v>
      </c>
      <c r="F209" s="577"/>
      <c r="G209" s="578">
        <v>0</v>
      </c>
      <c r="H209" s="119">
        <f t="shared" si="9"/>
        <v>0</v>
      </c>
    </row>
    <row r="210" spans="1:8" ht="15" customHeight="1">
      <c r="A210" s="104"/>
      <c r="B210" s="94"/>
      <c r="C210" s="426"/>
      <c r="D210" s="426"/>
      <c r="E210" s="53" t="s">
        <v>150</v>
      </c>
      <c r="F210" s="577"/>
      <c r="G210" s="578">
        <v>1200</v>
      </c>
      <c r="H210" s="119">
        <f t="shared" si="9"/>
        <v>1200</v>
      </c>
    </row>
    <row r="211" spans="1:8" ht="15" customHeight="1">
      <c r="A211" s="104"/>
      <c r="B211" s="94"/>
      <c r="C211" s="426"/>
      <c r="D211" s="426"/>
      <c r="E211" s="53" t="s">
        <v>151</v>
      </c>
      <c r="F211" s="577"/>
      <c r="G211" s="578">
        <v>1200</v>
      </c>
      <c r="H211" s="119">
        <f t="shared" si="9"/>
        <v>1200</v>
      </c>
    </row>
    <row r="212" spans="1:8" ht="24" customHeight="1">
      <c r="A212" s="104"/>
      <c r="B212" s="94">
        <v>12</v>
      </c>
      <c r="C212" s="426" t="s">
        <v>319</v>
      </c>
      <c r="D212" s="426" t="s">
        <v>110</v>
      </c>
      <c r="E212" s="1089" t="s">
        <v>802</v>
      </c>
      <c r="F212" s="1110"/>
      <c r="G212" s="578"/>
      <c r="H212" s="119"/>
    </row>
    <row r="213" spans="1:8" ht="13.5" customHeight="1">
      <c r="A213" s="104"/>
      <c r="B213" s="94"/>
      <c r="C213" s="426"/>
      <c r="D213" s="426"/>
      <c r="E213" s="53" t="s">
        <v>149</v>
      </c>
      <c r="F213" s="577"/>
      <c r="G213" s="578">
        <v>0</v>
      </c>
      <c r="H213" s="119">
        <f t="shared" si="9"/>
        <v>0</v>
      </c>
    </row>
    <row r="214" spans="1:8" ht="13.5" customHeight="1">
      <c r="A214" s="104"/>
      <c r="B214" s="94"/>
      <c r="C214" s="426"/>
      <c r="D214" s="426"/>
      <c r="E214" s="53" t="s">
        <v>150</v>
      </c>
      <c r="F214" s="577"/>
      <c r="G214" s="578">
        <v>1495</v>
      </c>
      <c r="H214" s="119">
        <f t="shared" si="9"/>
        <v>1495</v>
      </c>
    </row>
    <row r="215" spans="1:8" ht="13.5" customHeight="1">
      <c r="A215" s="104"/>
      <c r="B215" s="94"/>
      <c r="C215" s="426"/>
      <c r="D215" s="426"/>
      <c r="E215" s="210" t="s">
        <v>151</v>
      </c>
      <c r="F215" s="577"/>
      <c r="G215" s="578">
        <v>1495</v>
      </c>
      <c r="H215" s="119">
        <f t="shared" si="9"/>
        <v>1495</v>
      </c>
    </row>
    <row r="216" spans="1:8" ht="13.5" customHeight="1">
      <c r="A216" s="104"/>
      <c r="B216" s="94">
        <v>13</v>
      </c>
      <c r="C216" s="426" t="s">
        <v>319</v>
      </c>
      <c r="D216" s="426" t="s">
        <v>110</v>
      </c>
      <c r="E216" s="432" t="s">
        <v>804</v>
      </c>
      <c r="F216" s="577"/>
      <c r="G216" s="578"/>
      <c r="H216" s="119"/>
    </row>
    <row r="217" spans="1:8" ht="13.5" customHeight="1">
      <c r="A217" s="104"/>
      <c r="B217" s="94"/>
      <c r="C217" s="426"/>
      <c r="D217" s="426"/>
      <c r="E217" s="53" t="s">
        <v>149</v>
      </c>
      <c r="F217" s="577"/>
      <c r="G217" s="578">
        <v>0</v>
      </c>
      <c r="H217" s="119">
        <f t="shared" si="9"/>
        <v>0</v>
      </c>
    </row>
    <row r="218" spans="1:8" ht="13.5" customHeight="1">
      <c r="A218" s="104"/>
      <c r="B218" s="94"/>
      <c r="C218" s="426"/>
      <c r="D218" s="426"/>
      <c r="E218" s="53" t="s">
        <v>150</v>
      </c>
      <c r="F218" s="577"/>
      <c r="G218" s="578">
        <v>3646</v>
      </c>
      <c r="H218" s="119">
        <f t="shared" si="9"/>
        <v>3646</v>
      </c>
    </row>
    <row r="219" spans="1:8" ht="13.5" customHeight="1">
      <c r="A219" s="104"/>
      <c r="B219" s="94"/>
      <c r="C219" s="426"/>
      <c r="D219" s="426"/>
      <c r="E219" s="53" t="s">
        <v>151</v>
      </c>
      <c r="F219" s="577"/>
      <c r="G219" s="578">
        <v>3646</v>
      </c>
      <c r="H219" s="119">
        <f t="shared" si="9"/>
        <v>3646</v>
      </c>
    </row>
    <row r="220" spans="1:8" ht="13.5" customHeight="1">
      <c r="A220" s="104"/>
      <c r="B220" s="94">
        <v>14</v>
      </c>
      <c r="C220" s="426" t="s">
        <v>245</v>
      </c>
      <c r="D220" s="426" t="s">
        <v>110</v>
      </c>
      <c r="E220" s="1089" t="s">
        <v>993</v>
      </c>
      <c r="F220" s="1110"/>
      <c r="G220" s="432"/>
      <c r="H220" s="119"/>
    </row>
    <row r="221" spans="1:8" ht="13.5" customHeight="1">
      <c r="A221" s="104"/>
      <c r="B221" s="94"/>
      <c r="C221" s="426"/>
      <c r="D221" s="426"/>
      <c r="E221" s="53" t="s">
        <v>149</v>
      </c>
      <c r="F221" s="579"/>
      <c r="G221" s="580">
        <v>0</v>
      </c>
      <c r="H221" s="119">
        <f t="shared" si="9"/>
        <v>0</v>
      </c>
    </row>
    <row r="222" spans="1:8" ht="13.5" customHeight="1">
      <c r="A222" s="104"/>
      <c r="B222" s="94"/>
      <c r="C222" s="426"/>
      <c r="D222" s="426"/>
      <c r="E222" s="53" t="s">
        <v>150</v>
      </c>
      <c r="F222" s="579"/>
      <c r="G222" s="580">
        <v>0</v>
      </c>
      <c r="H222" s="119">
        <f t="shared" si="9"/>
        <v>0</v>
      </c>
    </row>
    <row r="223" spans="1:8" ht="13.5" customHeight="1">
      <c r="A223" s="104"/>
      <c r="B223" s="94"/>
      <c r="C223" s="426"/>
      <c r="D223" s="426"/>
      <c r="E223" s="210" t="s">
        <v>151</v>
      </c>
      <c r="F223" s="579"/>
      <c r="G223" s="580">
        <v>252</v>
      </c>
      <c r="H223" s="119">
        <f t="shared" si="9"/>
        <v>252</v>
      </c>
    </row>
    <row r="224" spans="1:8" ht="13.5" customHeight="1">
      <c r="A224" s="1553" t="s">
        <v>249</v>
      </c>
      <c r="B224" s="1554"/>
      <c r="C224" s="1554"/>
      <c r="D224" s="1554"/>
      <c r="E224" s="1555"/>
      <c r="F224" s="437"/>
      <c r="G224" s="500"/>
      <c r="H224" s="573"/>
    </row>
    <row r="225" spans="1:8" ht="13.5" customHeight="1">
      <c r="A225" s="104"/>
      <c r="B225" s="105"/>
      <c r="C225" s="105"/>
      <c r="D225" s="105"/>
      <c r="E225" s="53" t="s">
        <v>149</v>
      </c>
      <c r="F225" s="124">
        <f>F233+F237+F259+F266+F262</f>
        <v>591500</v>
      </c>
      <c r="G225" s="663"/>
      <c r="H225" s="125">
        <f>F225</f>
        <v>591500</v>
      </c>
    </row>
    <row r="226" spans="1:8" ht="13.5" customHeight="1">
      <c r="A226" s="104"/>
      <c r="B226" s="105"/>
      <c r="C226" s="105"/>
      <c r="D226" s="105"/>
      <c r="E226" s="53" t="s">
        <v>150</v>
      </c>
      <c r="F226" s="124">
        <f>F234+F238+F260+F267+F263</f>
        <v>591500</v>
      </c>
      <c r="G226" s="663"/>
      <c r="H226" s="125">
        <f>F226</f>
        <v>591500</v>
      </c>
    </row>
    <row r="227" spans="1:8" ht="13.5" customHeight="1">
      <c r="A227" s="665"/>
      <c r="B227" s="666"/>
      <c r="C227" s="666"/>
      <c r="D227" s="666"/>
      <c r="E227" s="210" t="s">
        <v>151</v>
      </c>
      <c r="F227" s="124">
        <f>F235+F239+F261+F264+F268</f>
        <v>898125</v>
      </c>
      <c r="G227" s="663"/>
      <c r="H227" s="125">
        <f>F227</f>
        <v>898125</v>
      </c>
    </row>
    <row r="228" spans="1:8" ht="14.25" customHeight="1">
      <c r="A228" s="1522" t="s">
        <v>250</v>
      </c>
      <c r="B228" s="1523"/>
      <c r="C228" s="1523"/>
      <c r="D228" s="1523"/>
      <c r="E228" s="1524"/>
      <c r="F228" s="100">
        <v>0</v>
      </c>
      <c r="G228" s="578"/>
      <c r="H228" s="566">
        <v>0</v>
      </c>
    </row>
    <row r="229" spans="1:8" ht="14.25" customHeight="1">
      <c r="A229" s="1522" t="s">
        <v>251</v>
      </c>
      <c r="B229" s="1523"/>
      <c r="C229" s="1523"/>
      <c r="D229" s="1523"/>
      <c r="E229" s="1524"/>
      <c r="F229" s="100">
        <v>0</v>
      </c>
      <c r="G229" s="578"/>
      <c r="H229" s="566">
        <v>0</v>
      </c>
    </row>
    <row r="230" spans="1:8" ht="14.25" customHeight="1">
      <c r="A230" s="1522" t="s">
        <v>252</v>
      </c>
      <c r="B230" s="1523"/>
      <c r="C230" s="1523"/>
      <c r="D230" s="1523"/>
      <c r="E230" s="1524"/>
      <c r="F230" s="100">
        <v>0</v>
      </c>
      <c r="G230" s="578"/>
      <c r="H230" s="566">
        <v>0</v>
      </c>
    </row>
    <row r="231" spans="1:8" ht="14.25" customHeight="1">
      <c r="A231" s="1517" t="s">
        <v>253</v>
      </c>
      <c r="B231" s="1518"/>
      <c r="C231" s="1518"/>
      <c r="D231" s="1518"/>
      <c r="E231" s="1524"/>
      <c r="F231" s="107"/>
      <c r="G231" s="128"/>
      <c r="H231" s="119"/>
    </row>
    <row r="232" spans="1:8" ht="13.5" customHeight="1">
      <c r="A232" s="560"/>
      <c r="B232" s="537">
        <v>1</v>
      </c>
      <c r="C232" s="597" t="s">
        <v>254</v>
      </c>
      <c r="D232" s="537" t="s">
        <v>111</v>
      </c>
      <c r="E232" s="585" t="s">
        <v>255</v>
      </c>
      <c r="F232" s="100"/>
      <c r="G232" s="578"/>
      <c r="H232" s="566"/>
    </row>
    <row r="233" spans="1:8" ht="13.5" customHeight="1">
      <c r="A233" s="560"/>
      <c r="B233" s="519"/>
      <c r="C233" s="597"/>
      <c r="D233" s="537"/>
      <c r="E233" s="667" t="s">
        <v>149</v>
      </c>
      <c r="F233" s="103">
        <v>60000</v>
      </c>
      <c r="G233" s="627"/>
      <c r="H233" s="571">
        <f>F233</f>
        <v>60000</v>
      </c>
    </row>
    <row r="234" spans="1:8" ht="13.5" customHeight="1">
      <c r="A234" s="560"/>
      <c r="B234" s="519"/>
      <c r="C234" s="597"/>
      <c r="D234" s="537"/>
      <c r="E234" s="53" t="s">
        <v>150</v>
      </c>
      <c r="F234" s="100">
        <v>60000</v>
      </c>
      <c r="G234" s="578"/>
      <c r="H234" s="566">
        <f>F234</f>
        <v>60000</v>
      </c>
    </row>
    <row r="235" spans="1:8" ht="13.5" customHeight="1">
      <c r="A235" s="583"/>
      <c r="B235" s="672"/>
      <c r="C235" s="584"/>
      <c r="D235" s="541"/>
      <c r="E235" s="53" t="s">
        <v>151</v>
      </c>
      <c r="F235" s="100">
        <v>66871</v>
      </c>
      <c r="G235" s="578"/>
      <c r="H235" s="566">
        <f>F235</f>
        <v>66871</v>
      </c>
    </row>
    <row r="236" spans="1:8" ht="13.5" customHeight="1">
      <c r="A236" s="1557" t="s">
        <v>256</v>
      </c>
      <c r="B236" s="1558"/>
      <c r="C236" s="1558"/>
      <c r="D236" s="1558"/>
      <c r="E236" s="1559"/>
      <c r="F236" s="106"/>
      <c r="G236" s="587"/>
      <c r="H236" s="126"/>
    </row>
    <row r="237" spans="1:8" ht="13.5" customHeight="1">
      <c r="A237" s="586"/>
      <c r="B237" s="431"/>
      <c r="C237" s="673"/>
      <c r="D237" s="431"/>
      <c r="E237" s="53" t="s">
        <v>149</v>
      </c>
      <c r="F237" s="107">
        <f>F241+F245+F249+F253</f>
        <v>524400</v>
      </c>
      <c r="G237" s="128"/>
      <c r="H237" s="119">
        <f>F237</f>
        <v>524400</v>
      </c>
    </row>
    <row r="238" spans="1:8" ht="13.5" customHeight="1">
      <c r="A238" s="586"/>
      <c r="B238" s="431"/>
      <c r="C238" s="673"/>
      <c r="D238" s="431"/>
      <c r="E238" s="53" t="s">
        <v>150</v>
      </c>
      <c r="F238" s="107">
        <f>F242+F246+F250+F254</f>
        <v>524400</v>
      </c>
      <c r="G238" s="128"/>
      <c r="H238" s="119">
        <f aca="true" t="shared" si="10" ref="H238:H261">F238</f>
        <v>524400</v>
      </c>
    </row>
    <row r="239" spans="1:8" ht="13.5" customHeight="1">
      <c r="A239" s="586"/>
      <c r="B239" s="431"/>
      <c r="C239" s="673"/>
      <c r="D239" s="431"/>
      <c r="E239" s="210" t="s">
        <v>151</v>
      </c>
      <c r="F239" s="107">
        <f>F243+F247+F251+F255</f>
        <v>826144</v>
      </c>
      <c r="G239" s="587"/>
      <c r="H239" s="119">
        <f t="shared" si="10"/>
        <v>826144</v>
      </c>
    </row>
    <row r="240" spans="1:8" ht="13.5" customHeight="1">
      <c r="A240" s="560"/>
      <c r="B240" s="519">
        <v>1</v>
      </c>
      <c r="C240" s="597" t="s">
        <v>257</v>
      </c>
      <c r="D240" s="537" t="s">
        <v>111</v>
      </c>
      <c r="E240" s="113" t="s">
        <v>258</v>
      </c>
      <c r="F240" s="100"/>
      <c r="G240" s="578"/>
      <c r="H240" s="119"/>
    </row>
    <row r="241" spans="1:8" ht="13.5" customHeight="1">
      <c r="A241" s="560"/>
      <c r="B241" s="519"/>
      <c r="C241" s="597"/>
      <c r="D241" s="537"/>
      <c r="E241" s="53" t="s">
        <v>149</v>
      </c>
      <c r="F241" s="100">
        <v>470000</v>
      </c>
      <c r="G241" s="578"/>
      <c r="H241" s="119">
        <f t="shared" si="10"/>
        <v>470000</v>
      </c>
    </row>
    <row r="242" spans="1:8" ht="13.5" customHeight="1">
      <c r="A242" s="560"/>
      <c r="B242" s="519"/>
      <c r="C242" s="597"/>
      <c r="D242" s="537"/>
      <c r="E242" s="53" t="s">
        <v>150</v>
      </c>
      <c r="F242" s="100">
        <v>470000</v>
      </c>
      <c r="G242" s="578"/>
      <c r="H242" s="119">
        <f t="shared" si="10"/>
        <v>470000</v>
      </c>
    </row>
    <row r="243" spans="1:8" ht="13.5" customHeight="1">
      <c r="A243" s="592"/>
      <c r="B243" s="670"/>
      <c r="C243" s="674"/>
      <c r="D243" s="1427"/>
      <c r="E243" s="155" t="s">
        <v>151</v>
      </c>
      <c r="F243" s="1428">
        <v>760389</v>
      </c>
      <c r="G243" s="1429"/>
      <c r="H243" s="501">
        <f t="shared" si="10"/>
        <v>760389</v>
      </c>
    </row>
    <row r="244" spans="1:8" ht="13.5" customHeight="1">
      <c r="A244" s="560"/>
      <c r="B244" s="519">
        <v>2</v>
      </c>
      <c r="C244" s="597" t="s">
        <v>259</v>
      </c>
      <c r="D244" s="537" t="s">
        <v>110</v>
      </c>
      <c r="E244" s="121" t="s">
        <v>29</v>
      </c>
      <c r="F244" s="120"/>
      <c r="G244" s="732"/>
      <c r="H244" s="125"/>
    </row>
    <row r="245" spans="1:8" ht="13.5" customHeight="1">
      <c r="A245" s="560"/>
      <c r="B245" s="519"/>
      <c r="C245" s="597"/>
      <c r="D245" s="537"/>
      <c r="E245" s="53" t="s">
        <v>149</v>
      </c>
      <c r="F245" s="100">
        <v>50000</v>
      </c>
      <c r="G245" s="578"/>
      <c r="H245" s="119">
        <f t="shared" si="10"/>
        <v>50000</v>
      </c>
    </row>
    <row r="246" spans="1:8" ht="13.5" customHeight="1">
      <c r="A246" s="560"/>
      <c r="B246" s="519"/>
      <c r="C246" s="597"/>
      <c r="D246" s="537"/>
      <c r="E246" s="53" t="s">
        <v>150</v>
      </c>
      <c r="F246" s="100">
        <v>50000</v>
      </c>
      <c r="G246" s="578"/>
      <c r="H246" s="119">
        <f t="shared" si="10"/>
        <v>50000</v>
      </c>
    </row>
    <row r="247" spans="1:8" ht="13.5" customHeight="1">
      <c r="A247" s="560"/>
      <c r="B247" s="519"/>
      <c r="C247" s="597"/>
      <c r="D247" s="537"/>
      <c r="E247" s="210" t="s">
        <v>151</v>
      </c>
      <c r="F247" s="100">
        <v>58126</v>
      </c>
      <c r="G247" s="578"/>
      <c r="H247" s="119">
        <f t="shared" si="10"/>
        <v>58126</v>
      </c>
    </row>
    <row r="248" spans="1:8" ht="13.5" customHeight="1">
      <c r="A248" s="560"/>
      <c r="B248" s="519">
        <v>3</v>
      </c>
      <c r="C248" s="597" t="s">
        <v>260</v>
      </c>
      <c r="D248" s="555" t="s">
        <v>111</v>
      </c>
      <c r="E248" s="102" t="s">
        <v>261</v>
      </c>
      <c r="F248" s="102"/>
      <c r="G248" s="588"/>
      <c r="H248" s="119"/>
    </row>
    <row r="249" spans="1:8" ht="13.5" customHeight="1">
      <c r="A249" s="560"/>
      <c r="B249" s="519"/>
      <c r="C249" s="597"/>
      <c r="D249" s="555"/>
      <c r="E249" s="53" t="s">
        <v>149</v>
      </c>
      <c r="F249" s="110">
        <v>4100</v>
      </c>
      <c r="G249" s="668"/>
      <c r="H249" s="119">
        <f t="shared" si="10"/>
        <v>4100</v>
      </c>
    </row>
    <row r="250" spans="1:8" ht="13.5" customHeight="1">
      <c r="A250" s="560"/>
      <c r="B250" s="519"/>
      <c r="C250" s="597"/>
      <c r="D250" s="555"/>
      <c r="E250" s="53" t="s">
        <v>150</v>
      </c>
      <c r="F250" s="110">
        <v>4100</v>
      </c>
      <c r="G250" s="668"/>
      <c r="H250" s="119">
        <f t="shared" si="10"/>
        <v>4100</v>
      </c>
    </row>
    <row r="251" spans="1:8" ht="13.5" customHeight="1">
      <c r="A251" s="560"/>
      <c r="B251" s="519"/>
      <c r="C251" s="597"/>
      <c r="D251" s="555"/>
      <c r="E251" s="210" t="s">
        <v>151</v>
      </c>
      <c r="F251" s="110">
        <v>7629</v>
      </c>
      <c r="G251" s="668"/>
      <c r="H251" s="119">
        <f t="shared" si="10"/>
        <v>7629</v>
      </c>
    </row>
    <row r="252" spans="1:8" ht="13.5" customHeight="1">
      <c r="A252" s="560"/>
      <c r="B252" s="519">
        <v>4</v>
      </c>
      <c r="C252" s="597" t="s">
        <v>262</v>
      </c>
      <c r="D252" s="537" t="s">
        <v>110</v>
      </c>
      <c r="E252" s="110" t="s">
        <v>30</v>
      </c>
      <c r="F252" s="122"/>
      <c r="G252" s="580"/>
      <c r="H252" s="119"/>
    </row>
    <row r="253" spans="1:8" ht="13.5" customHeight="1">
      <c r="A253" s="560"/>
      <c r="B253" s="519"/>
      <c r="C253" s="597"/>
      <c r="D253" s="519"/>
      <c r="E253" s="53" t="s">
        <v>149</v>
      </c>
      <c r="F253" s="122">
        <v>300</v>
      </c>
      <c r="G253" s="580"/>
      <c r="H253" s="119">
        <f t="shared" si="10"/>
        <v>300</v>
      </c>
    </row>
    <row r="254" spans="1:8" ht="13.5" customHeight="1">
      <c r="A254" s="560"/>
      <c r="B254" s="519"/>
      <c r="C254" s="597"/>
      <c r="D254" s="519"/>
      <c r="E254" s="53" t="s">
        <v>150</v>
      </c>
      <c r="F254" s="122">
        <v>300</v>
      </c>
      <c r="G254" s="580"/>
      <c r="H254" s="119">
        <f t="shared" si="10"/>
        <v>300</v>
      </c>
    </row>
    <row r="255" spans="1:8" ht="13.5" customHeight="1">
      <c r="A255" s="583"/>
      <c r="B255" s="672"/>
      <c r="C255" s="584"/>
      <c r="D255" s="672"/>
      <c r="E255" s="740" t="s">
        <v>151</v>
      </c>
      <c r="F255" s="100">
        <v>0</v>
      </c>
      <c r="G255" s="578"/>
      <c r="H255" s="119">
        <f t="shared" si="10"/>
        <v>0</v>
      </c>
    </row>
    <row r="256" spans="1:8" ht="13.5" customHeight="1">
      <c r="A256" s="1517" t="s">
        <v>263</v>
      </c>
      <c r="B256" s="1518"/>
      <c r="C256" s="1518"/>
      <c r="D256" s="1518"/>
      <c r="E256" s="1519"/>
      <c r="F256" s="107"/>
      <c r="G256" s="128"/>
      <c r="H256" s="119"/>
    </row>
    <row r="257" spans="1:8" ht="13.5" customHeight="1">
      <c r="A257" s="586"/>
      <c r="B257" s="431"/>
      <c r="C257" s="1500" t="s">
        <v>243</v>
      </c>
      <c r="D257" s="1501"/>
      <c r="E257" s="1502"/>
      <c r="F257" s="117"/>
      <c r="G257" s="538"/>
      <c r="H257" s="119"/>
    </row>
    <row r="258" spans="1:8" ht="13.5" customHeight="1">
      <c r="A258" s="560"/>
      <c r="B258" s="537">
        <v>1</v>
      </c>
      <c r="C258" s="537" t="s">
        <v>264</v>
      </c>
      <c r="D258" s="591"/>
      <c r="E258" s="110" t="s">
        <v>808</v>
      </c>
      <c r="F258" s="122"/>
      <c r="G258" s="580"/>
      <c r="H258" s="119"/>
    </row>
    <row r="259" spans="1:8" ht="13.5" customHeight="1">
      <c r="A259" s="560"/>
      <c r="B259" s="537"/>
      <c r="C259" s="519"/>
      <c r="D259" s="597" t="s">
        <v>111</v>
      </c>
      <c r="E259" s="53" t="s">
        <v>149</v>
      </c>
      <c r="F259" s="122">
        <v>4000</v>
      </c>
      <c r="G259" s="580"/>
      <c r="H259" s="119">
        <f t="shared" si="10"/>
        <v>4000</v>
      </c>
    </row>
    <row r="260" spans="1:8" ht="13.5" customHeight="1">
      <c r="A260" s="560"/>
      <c r="B260" s="537"/>
      <c r="C260" s="519"/>
      <c r="D260" s="597"/>
      <c r="E260" s="53" t="s">
        <v>150</v>
      </c>
      <c r="F260" s="122">
        <v>4000</v>
      </c>
      <c r="G260" s="580"/>
      <c r="H260" s="119">
        <f t="shared" si="10"/>
        <v>4000</v>
      </c>
    </row>
    <row r="261" spans="1:8" ht="13.5" customHeight="1">
      <c r="A261" s="560"/>
      <c r="B261" s="537"/>
      <c r="C261" s="519"/>
      <c r="D261" s="597"/>
      <c r="E261" s="210" t="s">
        <v>151</v>
      </c>
      <c r="F261" s="122">
        <f>3014+552</f>
        <v>3566</v>
      </c>
      <c r="G261" s="580"/>
      <c r="H261" s="119">
        <f t="shared" si="10"/>
        <v>3566</v>
      </c>
    </row>
    <row r="262" spans="1:8" ht="13.5" customHeight="1">
      <c r="A262" s="560"/>
      <c r="B262" s="537"/>
      <c r="C262" s="519"/>
      <c r="D262" s="597" t="s">
        <v>110</v>
      </c>
      <c r="E262" s="737" t="s">
        <v>149</v>
      </c>
      <c r="F262" s="122">
        <v>1000</v>
      </c>
      <c r="G262" s="580"/>
      <c r="H262" s="581">
        <f>F262</f>
        <v>1000</v>
      </c>
    </row>
    <row r="263" spans="1:8" ht="13.5" customHeight="1">
      <c r="A263" s="560"/>
      <c r="B263" s="537"/>
      <c r="C263" s="519"/>
      <c r="D263" s="597"/>
      <c r="E263" s="737" t="s">
        <v>150</v>
      </c>
      <c r="F263" s="122">
        <v>1000</v>
      </c>
      <c r="G263" s="580"/>
      <c r="H263" s="581">
        <f>F263</f>
        <v>1000</v>
      </c>
    </row>
    <row r="264" spans="1:8" ht="13.5" customHeight="1">
      <c r="A264" s="560"/>
      <c r="B264" s="537"/>
      <c r="C264" s="519"/>
      <c r="D264" s="597"/>
      <c r="E264" s="53" t="s">
        <v>151</v>
      </c>
      <c r="F264" s="122">
        <f>34+18+683-1</f>
        <v>734</v>
      </c>
      <c r="G264" s="580"/>
      <c r="H264" s="581">
        <f>F264</f>
        <v>734</v>
      </c>
    </row>
    <row r="265" spans="1:8" ht="12.75" customHeight="1">
      <c r="A265" s="560"/>
      <c r="B265" s="537"/>
      <c r="C265" s="1500" t="s">
        <v>241</v>
      </c>
      <c r="D265" s="1501"/>
      <c r="E265" s="1502"/>
      <c r="F265" s="498"/>
      <c r="G265" s="589"/>
      <c r="H265" s="590"/>
    </row>
    <row r="266" spans="1:8" ht="12.75" customHeight="1">
      <c r="A266" s="560"/>
      <c r="B266" s="537"/>
      <c r="C266" s="655"/>
      <c r="D266" s="656"/>
      <c r="E266" s="53" t="s">
        <v>149</v>
      </c>
      <c r="F266" s="498">
        <f>F270+F274+F278+F282+F286</f>
        <v>2100</v>
      </c>
      <c r="G266" s="589"/>
      <c r="H266" s="581">
        <f>F266</f>
        <v>2100</v>
      </c>
    </row>
    <row r="267" spans="1:8" ht="12.75" customHeight="1">
      <c r="A267" s="560"/>
      <c r="B267" s="537"/>
      <c r="C267" s="655"/>
      <c r="D267" s="657"/>
      <c r="E267" s="53" t="s">
        <v>150</v>
      </c>
      <c r="F267" s="498">
        <f>F271+F275+F279+F283+F287</f>
        <v>2100</v>
      </c>
      <c r="G267" s="589"/>
      <c r="H267" s="581">
        <f aca="true" t="shared" si="11" ref="H267:H288">F267</f>
        <v>2100</v>
      </c>
    </row>
    <row r="268" spans="1:8" ht="12.75" customHeight="1">
      <c r="A268" s="560"/>
      <c r="B268" s="537"/>
      <c r="C268" s="655"/>
      <c r="D268" s="657"/>
      <c r="E268" s="53" t="s">
        <v>151</v>
      </c>
      <c r="F268" s="117">
        <f>F272+F276+F280+F284+F288</f>
        <v>810</v>
      </c>
      <c r="G268" s="538"/>
      <c r="H268" s="119">
        <f t="shared" si="11"/>
        <v>810</v>
      </c>
    </row>
    <row r="269" spans="1:8" ht="12.75" customHeight="1">
      <c r="A269" s="560"/>
      <c r="B269" s="537">
        <v>1</v>
      </c>
      <c r="C269" s="537" t="s">
        <v>264</v>
      </c>
      <c r="D269" s="597"/>
      <c r="E269" s="102" t="s">
        <v>265</v>
      </c>
      <c r="F269" s="100"/>
      <c r="G269" s="578"/>
      <c r="H269" s="119"/>
    </row>
    <row r="270" spans="1:8" ht="12.75" customHeight="1">
      <c r="A270" s="560"/>
      <c r="B270" s="537"/>
      <c r="C270" s="537"/>
      <c r="D270" s="537" t="s">
        <v>173</v>
      </c>
      <c r="E270" s="53" t="s">
        <v>149</v>
      </c>
      <c r="F270" s="100">
        <v>500</v>
      </c>
      <c r="G270" s="578"/>
      <c r="H270" s="581">
        <f t="shared" si="11"/>
        <v>500</v>
      </c>
    </row>
    <row r="271" spans="1:8" ht="12.75" customHeight="1">
      <c r="A271" s="560"/>
      <c r="B271" s="537"/>
      <c r="C271" s="537"/>
      <c r="D271" s="537"/>
      <c r="E271" s="53" t="s">
        <v>150</v>
      </c>
      <c r="F271" s="100">
        <v>500</v>
      </c>
      <c r="G271" s="578"/>
      <c r="H271" s="581">
        <f t="shared" si="11"/>
        <v>500</v>
      </c>
    </row>
    <row r="272" spans="1:8" ht="12.75" customHeight="1">
      <c r="A272" s="560"/>
      <c r="B272" s="537"/>
      <c r="C272" s="537"/>
      <c r="D272" s="537"/>
      <c r="E272" s="210" t="s">
        <v>151</v>
      </c>
      <c r="F272" s="100">
        <v>0</v>
      </c>
      <c r="G272" s="578"/>
      <c r="H272" s="581">
        <f t="shared" si="11"/>
        <v>0</v>
      </c>
    </row>
    <row r="273" spans="1:8" ht="12.75" customHeight="1">
      <c r="A273" s="560"/>
      <c r="B273" s="537">
        <v>2</v>
      </c>
      <c r="C273" s="537" t="s">
        <v>264</v>
      </c>
      <c r="D273" s="537" t="s">
        <v>173</v>
      </c>
      <c r="E273" s="29" t="s">
        <v>266</v>
      </c>
      <c r="F273" s="100"/>
      <c r="G273" s="578"/>
      <c r="H273" s="581"/>
    </row>
    <row r="274" spans="1:8" ht="12.75" customHeight="1">
      <c r="A274" s="560"/>
      <c r="B274" s="537"/>
      <c r="C274" s="537"/>
      <c r="D274" s="537"/>
      <c r="E274" s="53" t="s">
        <v>149</v>
      </c>
      <c r="F274" s="100">
        <v>700</v>
      </c>
      <c r="G274" s="578"/>
      <c r="H274" s="581">
        <f t="shared" si="11"/>
        <v>700</v>
      </c>
    </row>
    <row r="275" spans="1:8" ht="12.75" customHeight="1">
      <c r="A275" s="560"/>
      <c r="B275" s="537"/>
      <c r="C275" s="537"/>
      <c r="D275" s="537"/>
      <c r="E275" s="53" t="s">
        <v>150</v>
      </c>
      <c r="F275" s="100">
        <v>700</v>
      </c>
      <c r="G275" s="578"/>
      <c r="H275" s="581">
        <f t="shared" si="11"/>
        <v>700</v>
      </c>
    </row>
    <row r="276" spans="1:8" ht="12.75" customHeight="1">
      <c r="A276" s="560"/>
      <c r="B276" s="537"/>
      <c r="C276" s="537"/>
      <c r="D276" s="537"/>
      <c r="E276" s="210" t="s">
        <v>151</v>
      </c>
      <c r="F276" s="100">
        <v>0</v>
      </c>
      <c r="G276" s="578"/>
      <c r="H276" s="581">
        <f t="shared" si="11"/>
        <v>0</v>
      </c>
    </row>
    <row r="277" spans="1:8" ht="12.75" customHeight="1">
      <c r="A277" s="560"/>
      <c r="B277" s="537">
        <v>3</v>
      </c>
      <c r="C277" s="537" t="s">
        <v>264</v>
      </c>
      <c r="D277" s="537" t="s">
        <v>173</v>
      </c>
      <c r="E277" s="102" t="s">
        <v>267</v>
      </c>
      <c r="F277" s="100"/>
      <c r="G277" s="578"/>
      <c r="H277" s="581"/>
    </row>
    <row r="278" spans="1:8" ht="12.75" customHeight="1">
      <c r="A278" s="560"/>
      <c r="B278" s="537"/>
      <c r="C278" s="537"/>
      <c r="D278" s="537"/>
      <c r="E278" s="53" t="s">
        <v>149</v>
      </c>
      <c r="F278" s="100">
        <v>300</v>
      </c>
      <c r="G278" s="578"/>
      <c r="H278" s="581">
        <f t="shared" si="11"/>
        <v>300</v>
      </c>
    </row>
    <row r="279" spans="1:8" ht="12.75" customHeight="1">
      <c r="A279" s="560"/>
      <c r="B279" s="537"/>
      <c r="C279" s="537"/>
      <c r="D279" s="537"/>
      <c r="E279" s="53" t="s">
        <v>150</v>
      </c>
      <c r="F279" s="100">
        <v>300</v>
      </c>
      <c r="G279" s="578"/>
      <c r="H279" s="581">
        <f t="shared" si="11"/>
        <v>300</v>
      </c>
    </row>
    <row r="280" spans="1:8" ht="12.75" customHeight="1">
      <c r="A280" s="560"/>
      <c r="B280" s="537"/>
      <c r="C280" s="537"/>
      <c r="D280" s="537"/>
      <c r="E280" s="53" t="s">
        <v>151</v>
      </c>
      <c r="F280" s="100">
        <v>0</v>
      </c>
      <c r="G280" s="578"/>
      <c r="H280" s="119">
        <f t="shared" si="11"/>
        <v>0</v>
      </c>
    </row>
    <row r="281" spans="1:8" ht="12.75" customHeight="1">
      <c r="A281" s="560"/>
      <c r="B281" s="537">
        <v>4</v>
      </c>
      <c r="C281" s="537" t="s">
        <v>264</v>
      </c>
      <c r="D281" s="537" t="s">
        <v>173</v>
      </c>
      <c r="E281" s="113" t="s">
        <v>63</v>
      </c>
      <c r="F281" s="100"/>
      <c r="G281" s="578"/>
      <c r="H281" s="119"/>
    </row>
    <row r="282" spans="1:8" ht="12.75" customHeight="1">
      <c r="A282" s="560"/>
      <c r="B282" s="537"/>
      <c r="C282" s="537"/>
      <c r="D282" s="537"/>
      <c r="E282" s="53" t="s">
        <v>149</v>
      </c>
      <c r="F282" s="122">
        <v>200</v>
      </c>
      <c r="G282" s="580"/>
      <c r="H282" s="581">
        <f t="shared" si="11"/>
        <v>200</v>
      </c>
    </row>
    <row r="283" spans="1:8" ht="12.75" customHeight="1">
      <c r="A283" s="560"/>
      <c r="B283" s="537"/>
      <c r="C283" s="537"/>
      <c r="D283" s="537"/>
      <c r="E283" s="53" t="s">
        <v>150</v>
      </c>
      <c r="F283" s="122">
        <v>200</v>
      </c>
      <c r="G283" s="580"/>
      <c r="H283" s="581">
        <f t="shared" si="11"/>
        <v>200</v>
      </c>
    </row>
    <row r="284" spans="1:8" ht="12.75" customHeight="1">
      <c r="A284" s="560"/>
      <c r="B284" s="519"/>
      <c r="C284" s="597"/>
      <c r="D284" s="537"/>
      <c r="E284" s="210" t="s">
        <v>151</v>
      </c>
      <c r="F284" s="122">
        <v>0</v>
      </c>
      <c r="G284" s="580"/>
      <c r="H284" s="581">
        <f t="shared" si="11"/>
        <v>0</v>
      </c>
    </row>
    <row r="285" spans="1:8" ht="12.75" customHeight="1">
      <c r="A285" s="560"/>
      <c r="B285" s="519">
        <v>5</v>
      </c>
      <c r="C285" s="597" t="s">
        <v>264</v>
      </c>
      <c r="D285" s="537"/>
      <c r="E285" s="596" t="s">
        <v>108</v>
      </c>
      <c r="F285" s="122"/>
      <c r="G285" s="580"/>
      <c r="H285" s="581"/>
    </row>
    <row r="286" spans="1:8" ht="12.75" customHeight="1">
      <c r="A286" s="560"/>
      <c r="B286" s="519"/>
      <c r="C286" s="597"/>
      <c r="D286" s="597" t="s">
        <v>173</v>
      </c>
      <c r="E286" s="740" t="s">
        <v>149</v>
      </c>
      <c r="F286" s="100">
        <v>400</v>
      </c>
      <c r="G286" s="578"/>
      <c r="H286" s="581">
        <f t="shared" si="11"/>
        <v>400</v>
      </c>
    </row>
    <row r="287" spans="1:8" ht="12.75" customHeight="1">
      <c r="A287" s="560"/>
      <c r="B287" s="519"/>
      <c r="C287" s="597"/>
      <c r="D287" s="597"/>
      <c r="E287" s="53" t="s">
        <v>150</v>
      </c>
      <c r="F287" s="100">
        <v>400</v>
      </c>
      <c r="G287" s="578"/>
      <c r="H287" s="581">
        <f t="shared" si="11"/>
        <v>400</v>
      </c>
    </row>
    <row r="288" spans="1:8" ht="12.75" customHeight="1">
      <c r="A288" s="592"/>
      <c r="B288" s="670"/>
      <c r="C288" s="674"/>
      <c r="D288" s="674"/>
      <c r="E288" s="433" t="s">
        <v>151</v>
      </c>
      <c r="F288" s="122">
        <v>810</v>
      </c>
      <c r="G288" s="580"/>
      <c r="H288" s="581">
        <f t="shared" si="11"/>
        <v>810</v>
      </c>
    </row>
    <row r="289" spans="1:8" ht="17.25" customHeight="1">
      <c r="A289" s="1509" t="s">
        <v>268</v>
      </c>
      <c r="B289" s="1510"/>
      <c r="C289" s="1510"/>
      <c r="D289" s="1510"/>
      <c r="E289" s="1512"/>
      <c r="F289" s="437"/>
      <c r="G289" s="676"/>
      <c r="H289" s="573"/>
    </row>
    <row r="290" spans="1:8" ht="12.75" customHeight="1">
      <c r="A290" s="560"/>
      <c r="B290" s="593"/>
      <c r="C290" s="593"/>
      <c r="D290" s="593"/>
      <c r="E290" s="667" t="s">
        <v>149</v>
      </c>
      <c r="F290" s="107">
        <f>F294+F364+F367+F375+F378</f>
        <v>93362</v>
      </c>
      <c r="G290" s="553"/>
      <c r="H290" s="119">
        <f>F290</f>
        <v>93362</v>
      </c>
    </row>
    <row r="291" spans="1:8" ht="12.75" customHeight="1">
      <c r="A291" s="560"/>
      <c r="B291" s="593"/>
      <c r="C291" s="593"/>
      <c r="D291" s="593"/>
      <c r="E291" s="53" t="s">
        <v>150</v>
      </c>
      <c r="F291" s="107">
        <f>F295+F365+F376+F372+F383+F361+F368+F387+F379</f>
        <v>94945</v>
      </c>
      <c r="G291" s="553"/>
      <c r="H291" s="119">
        <f aca="true" t="shared" si="12" ref="H291:H350">F291</f>
        <v>94945</v>
      </c>
    </row>
    <row r="292" spans="1:8" ht="12.75" customHeight="1">
      <c r="A292" s="560"/>
      <c r="B292" s="593"/>
      <c r="C292" s="593"/>
      <c r="D292" s="593"/>
      <c r="E292" s="210" t="s">
        <v>151</v>
      </c>
      <c r="F292" s="107">
        <f>F296+F366+F377+F373+F384+F362+F369+F388+F380</f>
        <v>112691</v>
      </c>
      <c r="G292" s="553"/>
      <c r="H292" s="119">
        <f t="shared" si="12"/>
        <v>112691</v>
      </c>
    </row>
    <row r="293" spans="1:8" ht="12.75" customHeight="1">
      <c r="A293" s="560"/>
      <c r="B293" s="537"/>
      <c r="C293" s="1500" t="s">
        <v>243</v>
      </c>
      <c r="D293" s="1501"/>
      <c r="E293" s="1502"/>
      <c r="F293" s="117"/>
      <c r="G293" s="559"/>
      <c r="H293" s="119"/>
    </row>
    <row r="294" spans="1:8" ht="12.75" customHeight="1">
      <c r="A294" s="560"/>
      <c r="B294" s="537"/>
      <c r="C294" s="675"/>
      <c r="D294" s="656"/>
      <c r="E294" s="53" t="s">
        <v>149</v>
      </c>
      <c r="F294" s="117">
        <f>F298+F302+F309+F316+F319+F323+F326+F330+F337+F348+F305+F312+F333+F340+F344+F352+F355</f>
        <v>89552</v>
      </c>
      <c r="G294" s="559"/>
      <c r="H294" s="119">
        <f t="shared" si="12"/>
        <v>89552</v>
      </c>
    </row>
    <row r="295" spans="1:8" ht="12.75" customHeight="1">
      <c r="A295" s="560"/>
      <c r="B295" s="537"/>
      <c r="C295" s="675"/>
      <c r="D295" s="657"/>
      <c r="E295" s="53" t="s">
        <v>150</v>
      </c>
      <c r="F295" s="117">
        <f>F299+F303+F310+F317+F320+F324+F327+F331+F338+F349+F306+F313+F334+F341+F345+F353+F356</f>
        <v>91135</v>
      </c>
      <c r="G295" s="559"/>
      <c r="H295" s="119">
        <f t="shared" si="12"/>
        <v>91135</v>
      </c>
    </row>
    <row r="296" spans="1:8" ht="12.75" customHeight="1">
      <c r="A296" s="560"/>
      <c r="B296" s="537"/>
      <c r="C296" s="675"/>
      <c r="D296" s="657"/>
      <c r="E296" s="210" t="s">
        <v>151</v>
      </c>
      <c r="F296" s="117">
        <f>F300+F304+F311+F318+F321+F325+F328+F332+F339+F350+F307+F314+F335+F342+F346+F354+F357</f>
        <v>109200</v>
      </c>
      <c r="G296" s="559"/>
      <c r="H296" s="119">
        <f t="shared" si="12"/>
        <v>109200</v>
      </c>
    </row>
    <row r="297" spans="1:8" ht="12.75" customHeight="1">
      <c r="A297" s="595"/>
      <c r="B297" s="537">
        <v>1</v>
      </c>
      <c r="C297" s="426" t="s">
        <v>269</v>
      </c>
      <c r="D297" s="426" t="s">
        <v>111</v>
      </c>
      <c r="E297" s="596" t="s">
        <v>270</v>
      </c>
      <c r="F297" s="100"/>
      <c r="G297" s="599"/>
      <c r="H297" s="119"/>
    </row>
    <row r="298" spans="1:8" ht="12.75" customHeight="1">
      <c r="A298" s="595"/>
      <c r="B298" s="537"/>
      <c r="C298" s="99"/>
      <c r="D298" s="669"/>
      <c r="E298" s="53" t="s">
        <v>149</v>
      </c>
      <c r="F298" s="100">
        <v>0</v>
      </c>
      <c r="G298" s="565"/>
      <c r="H298" s="119">
        <f t="shared" si="12"/>
        <v>0</v>
      </c>
    </row>
    <row r="299" spans="1:8" ht="12.75" customHeight="1">
      <c r="A299" s="595"/>
      <c r="B299" s="537"/>
      <c r="C299" s="99"/>
      <c r="D299" s="669"/>
      <c r="E299" s="53" t="s">
        <v>150</v>
      </c>
      <c r="F299" s="100">
        <v>0</v>
      </c>
      <c r="G299" s="565"/>
      <c r="H299" s="119">
        <f t="shared" si="12"/>
        <v>0</v>
      </c>
    </row>
    <row r="300" spans="1:8" ht="12.75" customHeight="1">
      <c r="A300" s="595"/>
      <c r="B300" s="537"/>
      <c r="C300" s="99"/>
      <c r="D300" s="669"/>
      <c r="E300" s="53" t="s">
        <v>151</v>
      </c>
      <c r="F300" s="100">
        <v>25</v>
      </c>
      <c r="G300" s="565"/>
      <c r="H300" s="119">
        <f t="shared" si="12"/>
        <v>25</v>
      </c>
    </row>
    <row r="301" spans="1:8" ht="12.75" customHeight="1">
      <c r="A301" s="560"/>
      <c r="B301" s="537">
        <v>2</v>
      </c>
      <c r="C301" s="537" t="s">
        <v>271</v>
      </c>
      <c r="D301" s="537" t="s">
        <v>110</v>
      </c>
      <c r="E301" s="102" t="s">
        <v>320</v>
      </c>
      <c r="F301" s="100"/>
      <c r="G301" s="565"/>
      <c r="H301" s="119"/>
    </row>
    <row r="302" spans="1:8" ht="12.75" customHeight="1">
      <c r="A302" s="560"/>
      <c r="B302" s="537"/>
      <c r="C302" s="537"/>
      <c r="D302" s="537"/>
      <c r="E302" s="53" t="s">
        <v>149</v>
      </c>
      <c r="F302" s="100">
        <v>1400</v>
      </c>
      <c r="G302" s="565"/>
      <c r="H302" s="119">
        <f t="shared" si="12"/>
        <v>1400</v>
      </c>
    </row>
    <row r="303" spans="1:8" ht="12.75" customHeight="1">
      <c r="A303" s="560"/>
      <c r="B303" s="537"/>
      <c r="C303" s="537"/>
      <c r="D303" s="537"/>
      <c r="E303" s="53" t="s">
        <v>150</v>
      </c>
      <c r="F303" s="100">
        <v>1400</v>
      </c>
      <c r="G303" s="565"/>
      <c r="H303" s="119">
        <f t="shared" si="12"/>
        <v>1400</v>
      </c>
    </row>
    <row r="304" spans="1:8" ht="12.75" customHeight="1">
      <c r="A304" s="560"/>
      <c r="B304" s="537"/>
      <c r="C304" s="537"/>
      <c r="D304" s="537"/>
      <c r="E304" s="210" t="s">
        <v>151</v>
      </c>
      <c r="F304" s="100">
        <v>1536</v>
      </c>
      <c r="G304" s="565"/>
      <c r="H304" s="119">
        <f t="shared" si="12"/>
        <v>1536</v>
      </c>
    </row>
    <row r="305" spans="1:8" ht="12.75" customHeight="1">
      <c r="A305" s="560"/>
      <c r="B305" s="537"/>
      <c r="C305" s="537"/>
      <c r="D305" s="537" t="s">
        <v>111</v>
      </c>
      <c r="E305" s="53" t="s">
        <v>149</v>
      </c>
      <c r="F305" s="100">
        <v>24817</v>
      </c>
      <c r="G305" s="565"/>
      <c r="H305" s="119">
        <f t="shared" si="12"/>
        <v>24817</v>
      </c>
    </row>
    <row r="306" spans="1:8" ht="12.75" customHeight="1">
      <c r="A306" s="560"/>
      <c r="B306" s="537"/>
      <c r="C306" s="537"/>
      <c r="D306" s="537"/>
      <c r="E306" s="53" t="s">
        <v>150</v>
      </c>
      <c r="F306" s="100">
        <v>24817</v>
      </c>
      <c r="G306" s="565"/>
      <c r="H306" s="119">
        <f t="shared" si="12"/>
        <v>24817</v>
      </c>
    </row>
    <row r="307" spans="1:8" ht="12.75" customHeight="1">
      <c r="A307" s="560"/>
      <c r="B307" s="537"/>
      <c r="C307" s="537"/>
      <c r="D307" s="537"/>
      <c r="E307" s="210" t="s">
        <v>151</v>
      </c>
      <c r="F307" s="100">
        <v>27174</v>
      </c>
      <c r="G307" s="565"/>
      <c r="H307" s="119">
        <f t="shared" si="12"/>
        <v>27174</v>
      </c>
    </row>
    <row r="308" spans="1:8" ht="12.75" customHeight="1">
      <c r="A308" s="560"/>
      <c r="B308" s="537">
        <v>3</v>
      </c>
      <c r="C308" s="537" t="s">
        <v>272</v>
      </c>
      <c r="D308" s="537"/>
      <c r="E308" s="102" t="s">
        <v>740</v>
      </c>
      <c r="F308" s="100"/>
      <c r="G308" s="565"/>
      <c r="H308" s="119"/>
    </row>
    <row r="309" spans="1:8" ht="12.75" customHeight="1">
      <c r="A309" s="560"/>
      <c r="B309" s="537"/>
      <c r="C309" s="537"/>
      <c r="D309" s="537" t="s">
        <v>111</v>
      </c>
      <c r="E309" s="53" t="s">
        <v>149</v>
      </c>
      <c r="F309" s="100">
        <v>14981</v>
      </c>
      <c r="G309" s="565"/>
      <c r="H309" s="119">
        <f t="shared" si="12"/>
        <v>14981</v>
      </c>
    </row>
    <row r="310" spans="1:8" ht="12.75" customHeight="1">
      <c r="A310" s="560"/>
      <c r="B310" s="537"/>
      <c r="C310" s="537"/>
      <c r="D310" s="537"/>
      <c r="E310" s="53" t="s">
        <v>150</v>
      </c>
      <c r="F310" s="100">
        <v>14981</v>
      </c>
      <c r="G310" s="565"/>
      <c r="H310" s="119">
        <f t="shared" si="12"/>
        <v>14981</v>
      </c>
    </row>
    <row r="311" spans="1:8" ht="12.75" customHeight="1">
      <c r="A311" s="560"/>
      <c r="B311" s="537"/>
      <c r="C311" s="537"/>
      <c r="D311" s="537"/>
      <c r="E311" s="210" t="s">
        <v>151</v>
      </c>
      <c r="F311" s="100">
        <v>14614</v>
      </c>
      <c r="G311" s="565"/>
      <c r="H311" s="119">
        <f t="shared" si="12"/>
        <v>14614</v>
      </c>
    </row>
    <row r="312" spans="1:8" ht="12.75" customHeight="1">
      <c r="A312" s="560"/>
      <c r="B312" s="537"/>
      <c r="C312" s="537"/>
      <c r="D312" s="537" t="s">
        <v>110</v>
      </c>
      <c r="E312" s="53" t="s">
        <v>149</v>
      </c>
      <c r="F312" s="100">
        <v>240</v>
      </c>
      <c r="G312" s="565"/>
      <c r="H312" s="119">
        <f t="shared" si="12"/>
        <v>240</v>
      </c>
    </row>
    <row r="313" spans="1:8" ht="12.75" customHeight="1">
      <c r="A313" s="560"/>
      <c r="B313" s="537"/>
      <c r="C313" s="537"/>
      <c r="D313" s="537"/>
      <c r="E313" s="53" t="s">
        <v>150</v>
      </c>
      <c r="F313" s="100">
        <v>240</v>
      </c>
      <c r="G313" s="565"/>
      <c r="H313" s="119">
        <f t="shared" si="12"/>
        <v>240</v>
      </c>
    </row>
    <row r="314" spans="1:8" ht="12.75" customHeight="1">
      <c r="A314" s="560"/>
      <c r="B314" s="537"/>
      <c r="C314" s="537"/>
      <c r="D314" s="537"/>
      <c r="E314" s="210" t="s">
        <v>151</v>
      </c>
      <c r="F314" s="100">
        <v>1800</v>
      </c>
      <c r="G314" s="565"/>
      <c r="H314" s="119">
        <f t="shared" si="12"/>
        <v>1800</v>
      </c>
    </row>
    <row r="315" spans="1:8" ht="12.75" customHeight="1">
      <c r="A315" s="560"/>
      <c r="B315" s="537">
        <v>4</v>
      </c>
      <c r="C315" s="597" t="s">
        <v>273</v>
      </c>
      <c r="D315" s="537"/>
      <c r="E315" s="102" t="s">
        <v>329</v>
      </c>
      <c r="F315" s="100"/>
      <c r="G315" s="565"/>
      <c r="H315" s="119"/>
    </row>
    <row r="316" spans="1:8" ht="12.75" customHeight="1">
      <c r="A316" s="560"/>
      <c r="B316" s="537"/>
      <c r="C316" s="741"/>
      <c r="D316" s="537" t="s">
        <v>111</v>
      </c>
      <c r="E316" s="53" t="s">
        <v>149</v>
      </c>
      <c r="F316" s="103">
        <v>1016</v>
      </c>
      <c r="G316" s="598"/>
      <c r="H316" s="126">
        <f t="shared" si="12"/>
        <v>1016</v>
      </c>
    </row>
    <row r="317" spans="1:8" ht="12.75" customHeight="1">
      <c r="A317" s="560"/>
      <c r="B317" s="537"/>
      <c r="C317" s="741"/>
      <c r="D317" s="537"/>
      <c r="E317" s="53" t="s">
        <v>150</v>
      </c>
      <c r="F317" s="100">
        <v>1016</v>
      </c>
      <c r="G317" s="565"/>
      <c r="H317" s="119">
        <f t="shared" si="12"/>
        <v>1016</v>
      </c>
    </row>
    <row r="318" spans="1:8" ht="12.75" customHeight="1">
      <c r="A318" s="560"/>
      <c r="B318" s="537"/>
      <c r="C318" s="597"/>
      <c r="D318" s="537"/>
      <c r="E318" s="53" t="s">
        <v>151</v>
      </c>
      <c r="F318" s="100">
        <v>15661</v>
      </c>
      <c r="G318" s="565"/>
      <c r="H318" s="119">
        <f t="shared" si="12"/>
        <v>15661</v>
      </c>
    </row>
    <row r="319" spans="1:8" ht="12.75" customHeight="1">
      <c r="A319" s="560"/>
      <c r="B319" s="537"/>
      <c r="C319" s="597"/>
      <c r="D319" s="537" t="s">
        <v>110</v>
      </c>
      <c r="E319" s="740" t="s">
        <v>149</v>
      </c>
      <c r="F319" s="120">
        <v>5173</v>
      </c>
      <c r="G319" s="567"/>
      <c r="H319" s="125">
        <f t="shared" si="12"/>
        <v>5173</v>
      </c>
    </row>
    <row r="320" spans="1:8" ht="12.75" customHeight="1">
      <c r="A320" s="560"/>
      <c r="B320" s="537"/>
      <c r="C320" s="597"/>
      <c r="D320" s="537"/>
      <c r="E320" s="53" t="s">
        <v>150</v>
      </c>
      <c r="F320" s="100">
        <v>5173</v>
      </c>
      <c r="G320" s="565"/>
      <c r="H320" s="119">
        <f t="shared" si="12"/>
        <v>5173</v>
      </c>
    </row>
    <row r="321" spans="1:8" ht="12.75" customHeight="1">
      <c r="A321" s="592"/>
      <c r="B321" s="1427"/>
      <c r="C321" s="674"/>
      <c r="D321" s="1427"/>
      <c r="E321" s="155" t="s">
        <v>151</v>
      </c>
      <c r="F321" s="1428">
        <v>8264</v>
      </c>
      <c r="G321" s="1430"/>
      <c r="H321" s="501">
        <f t="shared" si="12"/>
        <v>8264</v>
      </c>
    </row>
    <row r="322" spans="1:8" ht="12.75" customHeight="1">
      <c r="A322" s="560"/>
      <c r="B322" s="537">
        <v>5</v>
      </c>
      <c r="C322" s="597" t="s">
        <v>274</v>
      </c>
      <c r="D322" s="537"/>
      <c r="E322" s="568" t="s">
        <v>741</v>
      </c>
      <c r="F322" s="120"/>
      <c r="G322" s="567"/>
      <c r="H322" s="125"/>
    </row>
    <row r="323" spans="1:8" ht="12.75" customHeight="1">
      <c r="A323" s="560"/>
      <c r="B323" s="1091"/>
      <c r="C323" s="741"/>
      <c r="D323" s="537" t="s">
        <v>111</v>
      </c>
      <c r="E323" s="53" t="s">
        <v>149</v>
      </c>
      <c r="F323" s="100">
        <v>0</v>
      </c>
      <c r="G323" s="565"/>
      <c r="H323" s="119">
        <f t="shared" si="12"/>
        <v>0</v>
      </c>
    </row>
    <row r="324" spans="1:8" ht="12.75" customHeight="1">
      <c r="A324" s="560"/>
      <c r="B324" s="1091"/>
      <c r="C324" s="741"/>
      <c r="D324" s="537"/>
      <c r="E324" s="53" t="s">
        <v>150</v>
      </c>
      <c r="F324" s="100">
        <v>0</v>
      </c>
      <c r="G324" s="565"/>
      <c r="H324" s="119">
        <f t="shared" si="12"/>
        <v>0</v>
      </c>
    </row>
    <row r="325" spans="1:8" ht="12.75" customHeight="1">
      <c r="A325" s="560"/>
      <c r="B325" s="1091"/>
      <c r="C325" s="741"/>
      <c r="D325" s="537"/>
      <c r="E325" s="210" t="s">
        <v>151</v>
      </c>
      <c r="F325" s="100">
        <v>0</v>
      </c>
      <c r="G325" s="565"/>
      <c r="H325" s="119">
        <f t="shared" si="12"/>
        <v>0</v>
      </c>
    </row>
    <row r="326" spans="1:8" ht="12.75" customHeight="1">
      <c r="A326" s="560"/>
      <c r="B326" s="1091"/>
      <c r="C326" s="741"/>
      <c r="D326" s="537" t="s">
        <v>110</v>
      </c>
      <c r="E326" s="53" t="s">
        <v>149</v>
      </c>
      <c r="F326" s="100">
        <v>17642</v>
      </c>
      <c r="G326" s="565"/>
      <c r="H326" s="119">
        <f t="shared" si="12"/>
        <v>17642</v>
      </c>
    </row>
    <row r="327" spans="1:8" ht="12.75" customHeight="1">
      <c r="A327" s="560"/>
      <c r="B327" s="537"/>
      <c r="C327" s="597"/>
      <c r="D327" s="537"/>
      <c r="E327" s="53" t="s">
        <v>150</v>
      </c>
      <c r="F327" s="100">
        <v>15010</v>
      </c>
      <c r="G327" s="565"/>
      <c r="H327" s="119">
        <f t="shared" si="12"/>
        <v>15010</v>
      </c>
    </row>
    <row r="328" spans="1:8" ht="12.75" customHeight="1">
      <c r="A328" s="560"/>
      <c r="B328" s="537"/>
      <c r="C328" s="597"/>
      <c r="D328" s="537"/>
      <c r="E328" s="53" t="s">
        <v>151</v>
      </c>
      <c r="F328" s="100">
        <v>16746</v>
      </c>
      <c r="G328" s="565"/>
      <c r="H328" s="119">
        <f t="shared" si="12"/>
        <v>16746</v>
      </c>
    </row>
    <row r="329" spans="1:8" ht="12.75" customHeight="1">
      <c r="A329" s="560"/>
      <c r="B329" s="537">
        <v>6</v>
      </c>
      <c r="C329" s="597" t="s">
        <v>994</v>
      </c>
      <c r="D329" s="537"/>
      <c r="E329" s="102" t="s">
        <v>995</v>
      </c>
      <c r="F329" s="100"/>
      <c r="G329" s="565"/>
      <c r="H329" s="119"/>
    </row>
    <row r="330" spans="1:8" ht="12.75" customHeight="1">
      <c r="A330" s="560"/>
      <c r="B330" s="537"/>
      <c r="C330" s="537"/>
      <c r="D330" s="537" t="s">
        <v>111</v>
      </c>
      <c r="E330" s="53" t="s">
        <v>149</v>
      </c>
      <c r="F330" s="100">
        <v>10745</v>
      </c>
      <c r="G330" s="565"/>
      <c r="H330" s="119">
        <f t="shared" si="12"/>
        <v>10745</v>
      </c>
    </row>
    <row r="331" spans="1:8" ht="12.75" customHeight="1">
      <c r="A331" s="560"/>
      <c r="B331" s="537"/>
      <c r="C331" s="537"/>
      <c r="D331" s="537"/>
      <c r="E331" s="53" t="s">
        <v>150</v>
      </c>
      <c r="F331" s="100">
        <v>10745</v>
      </c>
      <c r="G331" s="565"/>
      <c r="H331" s="119">
        <f t="shared" si="12"/>
        <v>10745</v>
      </c>
    </row>
    <row r="332" spans="1:8" ht="12.75" customHeight="1">
      <c r="A332" s="560"/>
      <c r="B332" s="537"/>
      <c r="C332" s="537"/>
      <c r="D332" s="537"/>
      <c r="E332" s="53" t="s">
        <v>151</v>
      </c>
      <c r="F332" s="100">
        <v>7323</v>
      </c>
      <c r="G332" s="565"/>
      <c r="H332" s="119">
        <f t="shared" si="12"/>
        <v>7323</v>
      </c>
    </row>
    <row r="333" spans="1:8" ht="12.75" customHeight="1">
      <c r="A333" s="560"/>
      <c r="B333" s="537"/>
      <c r="C333" s="537"/>
      <c r="D333" s="537" t="s">
        <v>110</v>
      </c>
      <c r="E333" s="53" t="s">
        <v>149</v>
      </c>
      <c r="F333" s="100">
        <v>6538</v>
      </c>
      <c r="G333" s="565"/>
      <c r="H333" s="119">
        <f t="shared" si="12"/>
        <v>6538</v>
      </c>
    </row>
    <row r="334" spans="1:8" ht="12.75" customHeight="1">
      <c r="A334" s="560"/>
      <c r="B334" s="537"/>
      <c r="C334" s="537"/>
      <c r="D334" s="537"/>
      <c r="E334" s="53" t="s">
        <v>150</v>
      </c>
      <c r="F334" s="100">
        <v>5658</v>
      </c>
      <c r="G334" s="565"/>
      <c r="H334" s="119">
        <f t="shared" si="12"/>
        <v>5658</v>
      </c>
    </row>
    <row r="335" spans="1:8" ht="12.75" customHeight="1">
      <c r="A335" s="560"/>
      <c r="B335" s="537"/>
      <c r="C335" s="537"/>
      <c r="D335" s="537"/>
      <c r="E335" s="210" t="s">
        <v>151</v>
      </c>
      <c r="F335" s="100">
        <f>5534+3748</f>
        <v>9282</v>
      </c>
      <c r="G335" s="565"/>
      <c r="H335" s="119">
        <f>F335</f>
        <v>9282</v>
      </c>
    </row>
    <row r="336" spans="1:8" ht="12.75" customHeight="1">
      <c r="A336" s="560"/>
      <c r="B336" s="537">
        <v>7</v>
      </c>
      <c r="C336" s="537" t="s">
        <v>275</v>
      </c>
      <c r="D336" s="537"/>
      <c r="E336" s="102" t="s">
        <v>321</v>
      </c>
      <c r="F336" s="100"/>
      <c r="G336" s="565"/>
      <c r="H336" s="119"/>
    </row>
    <row r="337" spans="1:8" ht="12.75" customHeight="1">
      <c r="A337" s="560"/>
      <c r="B337" s="537"/>
      <c r="C337" s="519"/>
      <c r="D337" s="597" t="s">
        <v>111</v>
      </c>
      <c r="E337" s="53" t="s">
        <v>149</v>
      </c>
      <c r="F337" s="100">
        <v>3000</v>
      </c>
      <c r="G337" s="565"/>
      <c r="H337" s="119">
        <f t="shared" si="12"/>
        <v>3000</v>
      </c>
    </row>
    <row r="338" spans="1:8" ht="12.75" customHeight="1">
      <c r="A338" s="560"/>
      <c r="B338" s="537"/>
      <c r="C338" s="519"/>
      <c r="D338" s="597"/>
      <c r="E338" s="53" t="s">
        <v>150</v>
      </c>
      <c r="F338" s="100">
        <v>3000</v>
      </c>
      <c r="G338" s="565"/>
      <c r="H338" s="119">
        <f t="shared" si="12"/>
        <v>3000</v>
      </c>
    </row>
    <row r="339" spans="1:8" ht="12.75" customHeight="1">
      <c r="A339" s="560"/>
      <c r="B339" s="537"/>
      <c r="C339" s="519"/>
      <c r="D339" s="597"/>
      <c r="E339" s="210" t="s">
        <v>151</v>
      </c>
      <c r="F339" s="100">
        <v>0</v>
      </c>
      <c r="G339" s="565"/>
      <c r="H339" s="119">
        <f t="shared" si="12"/>
        <v>0</v>
      </c>
    </row>
    <row r="340" spans="1:8" ht="12.75" customHeight="1">
      <c r="A340" s="560"/>
      <c r="B340" s="537"/>
      <c r="C340" s="519"/>
      <c r="D340" s="597" t="s">
        <v>110</v>
      </c>
      <c r="E340" s="53" t="s">
        <v>149</v>
      </c>
      <c r="F340" s="100">
        <v>4000</v>
      </c>
      <c r="G340" s="565"/>
      <c r="H340" s="119">
        <f t="shared" si="12"/>
        <v>4000</v>
      </c>
    </row>
    <row r="341" spans="1:8" ht="12.75" customHeight="1">
      <c r="A341" s="560"/>
      <c r="B341" s="537"/>
      <c r="C341" s="519"/>
      <c r="D341" s="597"/>
      <c r="E341" s="53" t="s">
        <v>150</v>
      </c>
      <c r="F341" s="100">
        <v>7088</v>
      </c>
      <c r="G341" s="565"/>
      <c r="H341" s="119">
        <f t="shared" si="12"/>
        <v>7088</v>
      </c>
    </row>
    <row r="342" spans="1:8" ht="12.75" customHeight="1">
      <c r="A342" s="560"/>
      <c r="B342" s="537"/>
      <c r="C342" s="519"/>
      <c r="D342" s="597"/>
      <c r="E342" s="53" t="s">
        <v>151</v>
      </c>
      <c r="F342" s="100">
        <v>4378</v>
      </c>
      <c r="G342" s="565"/>
      <c r="H342" s="119">
        <f t="shared" si="12"/>
        <v>4378</v>
      </c>
    </row>
    <row r="343" spans="1:8" ht="12.75" customHeight="1">
      <c r="A343" s="560"/>
      <c r="B343" s="537">
        <v>8</v>
      </c>
      <c r="C343" s="519" t="s">
        <v>276</v>
      </c>
      <c r="D343" s="597"/>
      <c r="E343" s="102" t="s">
        <v>277</v>
      </c>
      <c r="F343" s="100"/>
      <c r="G343" s="599"/>
      <c r="H343" s="119"/>
    </row>
    <row r="344" spans="1:8" ht="12.75" customHeight="1">
      <c r="A344" s="560"/>
      <c r="B344" s="537"/>
      <c r="C344" s="519"/>
      <c r="D344" s="597" t="s">
        <v>110</v>
      </c>
      <c r="E344" s="53" t="s">
        <v>149</v>
      </c>
      <c r="F344" s="100">
        <v>0</v>
      </c>
      <c r="G344" s="565"/>
      <c r="H344" s="119">
        <f t="shared" si="12"/>
        <v>0</v>
      </c>
    </row>
    <row r="345" spans="1:8" ht="12.75" customHeight="1">
      <c r="A345" s="560"/>
      <c r="B345" s="537"/>
      <c r="C345" s="519"/>
      <c r="D345" s="597"/>
      <c r="E345" s="53" t="s">
        <v>150</v>
      </c>
      <c r="F345" s="100">
        <v>0</v>
      </c>
      <c r="G345" s="565"/>
      <c r="H345" s="119">
        <f t="shared" si="12"/>
        <v>0</v>
      </c>
    </row>
    <row r="346" spans="1:8" ht="12.75" customHeight="1">
      <c r="A346" s="560"/>
      <c r="B346" s="537"/>
      <c r="C346" s="519"/>
      <c r="D346" s="597"/>
      <c r="E346" s="210" t="s">
        <v>151</v>
      </c>
      <c r="F346" s="100">
        <v>0</v>
      </c>
      <c r="G346" s="565"/>
      <c r="H346" s="119">
        <f>F346</f>
        <v>0</v>
      </c>
    </row>
    <row r="347" spans="1:8" ht="12.75" customHeight="1">
      <c r="A347" s="560"/>
      <c r="B347" s="537">
        <v>9</v>
      </c>
      <c r="C347" s="519" t="s">
        <v>278</v>
      </c>
      <c r="D347" s="597"/>
      <c r="E347" s="102" t="s">
        <v>809</v>
      </c>
      <c r="F347" s="100"/>
      <c r="G347" s="565"/>
      <c r="H347" s="119"/>
    </row>
    <row r="348" spans="1:8" ht="12.75" customHeight="1">
      <c r="A348" s="560"/>
      <c r="B348" s="537"/>
      <c r="C348" s="519"/>
      <c r="D348" s="597" t="s">
        <v>110</v>
      </c>
      <c r="E348" s="53" t="s">
        <v>149</v>
      </c>
      <c r="F348" s="100">
        <v>0</v>
      </c>
      <c r="G348" s="565"/>
      <c r="H348" s="119">
        <f t="shared" si="12"/>
        <v>0</v>
      </c>
    </row>
    <row r="349" spans="1:8" ht="12.75" customHeight="1">
      <c r="A349" s="560"/>
      <c r="B349" s="537"/>
      <c r="C349" s="519"/>
      <c r="D349" s="597"/>
      <c r="E349" s="53" t="s">
        <v>150</v>
      </c>
      <c r="F349" s="100">
        <v>334</v>
      </c>
      <c r="G349" s="565"/>
      <c r="H349" s="119">
        <f t="shared" si="12"/>
        <v>334</v>
      </c>
    </row>
    <row r="350" spans="1:8" ht="12.75" customHeight="1">
      <c r="A350" s="560"/>
      <c r="B350" s="537"/>
      <c r="C350" s="519"/>
      <c r="D350" s="597"/>
      <c r="E350" s="740" t="s">
        <v>151</v>
      </c>
      <c r="F350" s="100">
        <v>634</v>
      </c>
      <c r="G350" s="565"/>
      <c r="H350" s="119">
        <f t="shared" si="12"/>
        <v>634</v>
      </c>
    </row>
    <row r="351" spans="1:8" ht="12.75" customHeight="1">
      <c r="A351" s="560"/>
      <c r="B351" s="537">
        <v>10</v>
      </c>
      <c r="C351" s="519" t="s">
        <v>743</v>
      </c>
      <c r="D351" s="1092"/>
      <c r="E351" s="730" t="s">
        <v>279</v>
      </c>
      <c r="F351" s="120"/>
      <c r="G351" s="567"/>
      <c r="H351" s="125"/>
    </row>
    <row r="352" spans="1:8" ht="12.75" customHeight="1">
      <c r="A352" s="560"/>
      <c r="B352" s="537"/>
      <c r="C352" s="519"/>
      <c r="D352" s="1092" t="s">
        <v>111</v>
      </c>
      <c r="E352" s="53" t="s">
        <v>149</v>
      </c>
      <c r="F352" s="120">
        <v>0</v>
      </c>
      <c r="G352" s="567"/>
      <c r="H352" s="125">
        <f aca="true" t="shared" si="13" ref="H352:H357">SUM(F352:G352)</f>
        <v>0</v>
      </c>
    </row>
    <row r="353" spans="1:8" ht="12.75" customHeight="1">
      <c r="A353" s="560"/>
      <c r="B353" s="537"/>
      <c r="C353" s="519"/>
      <c r="D353" s="1092"/>
      <c r="E353" s="53" t="s">
        <v>150</v>
      </c>
      <c r="F353" s="120">
        <v>0</v>
      </c>
      <c r="G353" s="567"/>
      <c r="H353" s="125">
        <f t="shared" si="13"/>
        <v>0</v>
      </c>
    </row>
    <row r="354" spans="1:8" ht="12.75" customHeight="1">
      <c r="A354" s="560"/>
      <c r="B354" s="537"/>
      <c r="C354" s="519"/>
      <c r="D354" s="1092"/>
      <c r="E354" s="210" t="s">
        <v>151</v>
      </c>
      <c r="F354" s="120">
        <v>0</v>
      </c>
      <c r="G354" s="567"/>
      <c r="H354" s="125">
        <f t="shared" si="13"/>
        <v>0</v>
      </c>
    </row>
    <row r="355" spans="1:8" ht="12.75" customHeight="1">
      <c r="A355" s="560"/>
      <c r="B355" s="537"/>
      <c r="C355" s="519"/>
      <c r="D355" s="1092" t="s">
        <v>110</v>
      </c>
      <c r="E355" s="53" t="s">
        <v>149</v>
      </c>
      <c r="F355" s="120">
        <v>0</v>
      </c>
      <c r="G355" s="567"/>
      <c r="H355" s="125">
        <f t="shared" si="13"/>
        <v>0</v>
      </c>
    </row>
    <row r="356" spans="1:8" ht="12.75" customHeight="1">
      <c r="A356" s="560"/>
      <c r="B356" s="537"/>
      <c r="C356" s="519"/>
      <c r="D356" s="1092"/>
      <c r="E356" s="53" t="s">
        <v>150</v>
      </c>
      <c r="F356" s="120">
        <v>1673</v>
      </c>
      <c r="G356" s="567"/>
      <c r="H356" s="125">
        <f t="shared" si="13"/>
        <v>1673</v>
      </c>
    </row>
    <row r="357" spans="1:8" ht="12.75" customHeight="1">
      <c r="A357" s="560"/>
      <c r="B357" s="537"/>
      <c r="C357" s="519"/>
      <c r="D357" s="1093"/>
      <c r="E357" s="210" t="s">
        <v>151</v>
      </c>
      <c r="F357" s="120">
        <v>1763</v>
      </c>
      <c r="G357" s="567"/>
      <c r="H357" s="125">
        <f t="shared" si="13"/>
        <v>1763</v>
      </c>
    </row>
    <row r="358" spans="1:8" ht="12.75" customHeight="1">
      <c r="A358" s="560"/>
      <c r="B358" s="537"/>
      <c r="C358" s="1500" t="s">
        <v>241</v>
      </c>
      <c r="D358" s="1501"/>
      <c r="E358" s="1502"/>
      <c r="F358" s="446"/>
      <c r="G358" s="557"/>
      <c r="H358" s="125"/>
    </row>
    <row r="359" spans="1:8" ht="12.75" customHeight="1">
      <c r="A359" s="560"/>
      <c r="B359" s="537">
        <v>1</v>
      </c>
      <c r="C359" s="94" t="s">
        <v>269</v>
      </c>
      <c r="D359" s="426" t="s">
        <v>110</v>
      </c>
      <c r="E359" s="113" t="s">
        <v>328</v>
      </c>
      <c r="F359" s="446"/>
      <c r="G359" s="557"/>
      <c r="H359" s="125"/>
    </row>
    <row r="360" spans="1:8" ht="12.75" customHeight="1">
      <c r="A360" s="560"/>
      <c r="B360" s="537"/>
      <c r="C360" s="655"/>
      <c r="D360" s="657"/>
      <c r="E360" s="53" t="s">
        <v>149</v>
      </c>
      <c r="F360" s="120">
        <v>0</v>
      </c>
      <c r="G360" s="557"/>
      <c r="H360" s="125">
        <f>F360</f>
        <v>0</v>
      </c>
    </row>
    <row r="361" spans="1:8" ht="12.75" customHeight="1">
      <c r="A361" s="560"/>
      <c r="B361" s="537"/>
      <c r="C361" s="655"/>
      <c r="D361" s="657"/>
      <c r="E361" s="53" t="s">
        <v>150</v>
      </c>
      <c r="F361" s="120">
        <v>0</v>
      </c>
      <c r="G361" s="557"/>
      <c r="H361" s="125">
        <f aca="true" t="shared" si="14" ref="H361:H384">F361</f>
        <v>0</v>
      </c>
    </row>
    <row r="362" spans="1:8" ht="12.75" customHeight="1">
      <c r="A362" s="560"/>
      <c r="B362" s="537"/>
      <c r="C362" s="655"/>
      <c r="D362" s="657"/>
      <c r="E362" s="210" t="s">
        <v>151</v>
      </c>
      <c r="F362" s="120">
        <v>0</v>
      </c>
      <c r="G362" s="557"/>
      <c r="H362" s="125">
        <f t="shared" si="14"/>
        <v>0</v>
      </c>
    </row>
    <row r="363" spans="1:8" ht="12.75" customHeight="1">
      <c r="A363" s="560"/>
      <c r="B363" s="537">
        <v>2</v>
      </c>
      <c r="C363" s="537" t="s">
        <v>330</v>
      </c>
      <c r="D363" s="597"/>
      <c r="E363" s="110" t="s">
        <v>331</v>
      </c>
      <c r="F363" s="100"/>
      <c r="G363" s="565"/>
      <c r="H363" s="125"/>
    </row>
    <row r="364" spans="1:8" ht="12.75" customHeight="1">
      <c r="A364" s="560"/>
      <c r="B364" s="519"/>
      <c r="C364" s="597"/>
      <c r="D364" s="597" t="s">
        <v>110</v>
      </c>
      <c r="E364" s="53" t="s">
        <v>149</v>
      </c>
      <c r="F364" s="100">
        <v>2000</v>
      </c>
      <c r="G364" s="565"/>
      <c r="H364" s="125">
        <f t="shared" si="14"/>
        <v>2000</v>
      </c>
    </row>
    <row r="365" spans="1:8" ht="12.75" customHeight="1">
      <c r="A365" s="560"/>
      <c r="B365" s="519"/>
      <c r="C365" s="597"/>
      <c r="D365" s="597"/>
      <c r="E365" s="53" t="s">
        <v>150</v>
      </c>
      <c r="F365" s="100">
        <v>2000</v>
      </c>
      <c r="G365" s="565"/>
      <c r="H365" s="125">
        <f t="shared" si="14"/>
        <v>2000</v>
      </c>
    </row>
    <row r="366" spans="1:8" ht="12.75" customHeight="1">
      <c r="A366" s="560"/>
      <c r="B366" s="519"/>
      <c r="C366" s="597"/>
      <c r="D366" s="597"/>
      <c r="E366" s="210" t="s">
        <v>151</v>
      </c>
      <c r="F366" s="103">
        <f>2343+5+20</f>
        <v>2368</v>
      </c>
      <c r="G366" s="598"/>
      <c r="H366" s="125">
        <f t="shared" si="14"/>
        <v>2368</v>
      </c>
    </row>
    <row r="367" spans="1:8" ht="12.75" customHeight="1">
      <c r="A367" s="560"/>
      <c r="B367" s="519"/>
      <c r="C367" s="597"/>
      <c r="D367" s="597" t="s">
        <v>111</v>
      </c>
      <c r="E367" s="53" t="s">
        <v>149</v>
      </c>
      <c r="F367" s="100">
        <v>1000</v>
      </c>
      <c r="G367" s="599"/>
      <c r="H367" s="125">
        <f t="shared" si="14"/>
        <v>1000</v>
      </c>
    </row>
    <row r="368" spans="1:8" ht="12.75" customHeight="1">
      <c r="A368" s="560"/>
      <c r="B368" s="519"/>
      <c r="C368" s="597"/>
      <c r="D368" s="597"/>
      <c r="E368" s="53" t="s">
        <v>150</v>
      </c>
      <c r="F368" s="100">
        <v>1000</v>
      </c>
      <c r="G368" s="599"/>
      <c r="H368" s="125">
        <f t="shared" si="14"/>
        <v>1000</v>
      </c>
    </row>
    <row r="369" spans="1:8" ht="12.75" customHeight="1">
      <c r="A369" s="560"/>
      <c r="B369" s="519"/>
      <c r="C369" s="597"/>
      <c r="D369" s="597"/>
      <c r="E369" s="210" t="s">
        <v>151</v>
      </c>
      <c r="F369" s="103">
        <f>24+522</f>
        <v>546</v>
      </c>
      <c r="G369" s="598"/>
      <c r="H369" s="125">
        <f t="shared" si="14"/>
        <v>546</v>
      </c>
    </row>
    <row r="370" spans="1:8" ht="12.75" customHeight="1">
      <c r="A370" s="560"/>
      <c r="B370" s="519">
        <v>3</v>
      </c>
      <c r="C370" s="597" t="s">
        <v>273</v>
      </c>
      <c r="D370" s="597" t="s">
        <v>110</v>
      </c>
      <c r="E370" s="730" t="s">
        <v>329</v>
      </c>
      <c r="F370" s="100"/>
      <c r="G370" s="565"/>
      <c r="H370" s="125"/>
    </row>
    <row r="371" spans="1:8" ht="12.75" customHeight="1">
      <c r="A371" s="560"/>
      <c r="B371" s="519"/>
      <c r="C371" s="597"/>
      <c r="D371" s="597"/>
      <c r="E371" s="53" t="s">
        <v>149</v>
      </c>
      <c r="F371" s="100">
        <v>0</v>
      </c>
      <c r="G371" s="565"/>
      <c r="H371" s="125">
        <f t="shared" si="14"/>
        <v>0</v>
      </c>
    </row>
    <row r="372" spans="1:8" ht="12.75" customHeight="1">
      <c r="A372" s="560"/>
      <c r="B372" s="519"/>
      <c r="C372" s="597"/>
      <c r="D372" s="597"/>
      <c r="E372" s="53" t="s">
        <v>150</v>
      </c>
      <c r="F372" s="100">
        <v>0</v>
      </c>
      <c r="G372" s="565"/>
      <c r="H372" s="125">
        <f t="shared" si="14"/>
        <v>0</v>
      </c>
    </row>
    <row r="373" spans="1:8" ht="12.75" customHeight="1">
      <c r="A373" s="560"/>
      <c r="B373" s="519"/>
      <c r="C373" s="597"/>
      <c r="D373" s="597"/>
      <c r="E373" s="53" t="s">
        <v>151</v>
      </c>
      <c r="F373" s="100">
        <v>0</v>
      </c>
      <c r="G373" s="565"/>
      <c r="H373" s="125">
        <f t="shared" si="14"/>
        <v>0</v>
      </c>
    </row>
    <row r="374" spans="1:8" ht="12.75" customHeight="1">
      <c r="A374" s="560"/>
      <c r="B374" s="519">
        <v>4</v>
      </c>
      <c r="C374" s="597" t="s">
        <v>742</v>
      </c>
      <c r="D374" s="597"/>
      <c r="E374" s="730" t="s">
        <v>65</v>
      </c>
      <c r="F374" s="100"/>
      <c r="G374" s="565"/>
      <c r="H374" s="125"/>
    </row>
    <row r="375" spans="1:8" ht="12.75" customHeight="1">
      <c r="A375" s="560"/>
      <c r="B375" s="519"/>
      <c r="C375" s="597"/>
      <c r="D375" s="597" t="s">
        <v>110</v>
      </c>
      <c r="E375" s="53" t="s">
        <v>149</v>
      </c>
      <c r="F375" s="100">
        <v>540</v>
      </c>
      <c r="G375" s="565"/>
      <c r="H375" s="125">
        <f t="shared" si="14"/>
        <v>540</v>
      </c>
    </row>
    <row r="376" spans="1:8" ht="12.75" customHeight="1">
      <c r="A376" s="560"/>
      <c r="B376" s="519"/>
      <c r="C376" s="597"/>
      <c r="D376" s="597"/>
      <c r="E376" s="53" t="s">
        <v>150</v>
      </c>
      <c r="F376" s="100">
        <v>540</v>
      </c>
      <c r="G376" s="565"/>
      <c r="H376" s="125">
        <f t="shared" si="14"/>
        <v>540</v>
      </c>
    </row>
    <row r="377" spans="1:8" ht="12.75" customHeight="1">
      <c r="A377" s="560"/>
      <c r="B377" s="519"/>
      <c r="C377" s="597"/>
      <c r="D377" s="597"/>
      <c r="E377" s="53" t="s">
        <v>151</v>
      </c>
      <c r="F377" s="100">
        <f>1+367</f>
        <v>368</v>
      </c>
      <c r="G377" s="565"/>
      <c r="H377" s="119">
        <f t="shared" si="14"/>
        <v>368</v>
      </c>
    </row>
    <row r="378" spans="1:8" ht="12.75" customHeight="1">
      <c r="A378" s="560"/>
      <c r="B378" s="519"/>
      <c r="C378" s="597"/>
      <c r="D378" s="597" t="s">
        <v>111</v>
      </c>
      <c r="E378" s="53" t="s">
        <v>149</v>
      </c>
      <c r="F378" s="100">
        <v>270</v>
      </c>
      <c r="G378" s="565"/>
      <c r="H378" s="119">
        <f t="shared" si="14"/>
        <v>270</v>
      </c>
    </row>
    <row r="379" spans="1:8" ht="12.75" customHeight="1">
      <c r="A379" s="560"/>
      <c r="B379" s="519"/>
      <c r="C379" s="597"/>
      <c r="D379" s="597"/>
      <c r="E379" s="53" t="s">
        <v>150</v>
      </c>
      <c r="F379" s="100">
        <v>270</v>
      </c>
      <c r="G379" s="565"/>
      <c r="H379" s="119">
        <f t="shared" si="14"/>
        <v>270</v>
      </c>
    </row>
    <row r="380" spans="1:8" ht="12.75" customHeight="1">
      <c r="A380" s="560"/>
      <c r="B380" s="519"/>
      <c r="C380" s="597"/>
      <c r="D380" s="597"/>
      <c r="E380" s="53" t="s">
        <v>151</v>
      </c>
      <c r="F380" s="100">
        <v>147</v>
      </c>
      <c r="G380" s="565"/>
      <c r="H380" s="119">
        <f t="shared" si="14"/>
        <v>147</v>
      </c>
    </row>
    <row r="381" spans="1:8" ht="12.75" customHeight="1">
      <c r="A381" s="560"/>
      <c r="B381" s="519">
        <v>5</v>
      </c>
      <c r="C381" s="597" t="s">
        <v>324</v>
      </c>
      <c r="D381" s="597" t="s">
        <v>110</v>
      </c>
      <c r="E381" s="730" t="s">
        <v>321</v>
      </c>
      <c r="F381" s="100"/>
      <c r="G381" s="565"/>
      <c r="H381" s="119"/>
    </row>
    <row r="382" spans="1:8" ht="12.75" customHeight="1">
      <c r="A382" s="560"/>
      <c r="B382" s="519"/>
      <c r="C382" s="597"/>
      <c r="D382" s="597"/>
      <c r="E382" s="53" t="s">
        <v>149</v>
      </c>
      <c r="F382" s="100">
        <v>0</v>
      </c>
      <c r="G382" s="565"/>
      <c r="H382" s="125">
        <f t="shared" si="14"/>
        <v>0</v>
      </c>
    </row>
    <row r="383" spans="1:8" ht="12.75" customHeight="1">
      <c r="A383" s="560"/>
      <c r="B383" s="519"/>
      <c r="C383" s="597"/>
      <c r="D383" s="597"/>
      <c r="E383" s="53" t="s">
        <v>150</v>
      </c>
      <c r="F383" s="100">
        <v>0</v>
      </c>
      <c r="G383" s="565"/>
      <c r="H383" s="125">
        <f t="shared" si="14"/>
        <v>0</v>
      </c>
    </row>
    <row r="384" spans="1:8" ht="12.75" customHeight="1">
      <c r="A384" s="560"/>
      <c r="B384" s="519"/>
      <c r="C384" s="597"/>
      <c r="D384" s="597"/>
      <c r="E384" s="210" t="s">
        <v>151</v>
      </c>
      <c r="F384" s="103">
        <v>2</v>
      </c>
      <c r="G384" s="598"/>
      <c r="H384" s="125">
        <f t="shared" si="14"/>
        <v>2</v>
      </c>
    </row>
    <row r="385" spans="1:8" ht="12.75" customHeight="1">
      <c r="A385" s="560"/>
      <c r="B385" s="519">
        <v>6</v>
      </c>
      <c r="C385" s="597" t="s">
        <v>743</v>
      </c>
      <c r="D385" s="597" t="s">
        <v>110</v>
      </c>
      <c r="E385" s="730" t="s">
        <v>279</v>
      </c>
      <c r="F385" s="100"/>
      <c r="G385" s="599"/>
      <c r="H385" s="125"/>
    </row>
    <row r="386" spans="1:8" ht="12.75" customHeight="1">
      <c r="A386" s="560"/>
      <c r="B386" s="519"/>
      <c r="C386" s="597"/>
      <c r="D386" s="597"/>
      <c r="E386" s="53" t="s">
        <v>149</v>
      </c>
      <c r="F386" s="100">
        <v>0</v>
      </c>
      <c r="G386" s="599"/>
      <c r="H386" s="125">
        <v>0</v>
      </c>
    </row>
    <row r="387" spans="1:8" ht="12.75" customHeight="1">
      <c r="A387" s="560"/>
      <c r="B387" s="519"/>
      <c r="C387" s="597"/>
      <c r="D387" s="597"/>
      <c r="E387" s="53" t="s">
        <v>150</v>
      </c>
      <c r="F387" s="100">
        <v>0</v>
      </c>
      <c r="G387" s="599"/>
      <c r="H387" s="125">
        <f>F387</f>
        <v>0</v>
      </c>
    </row>
    <row r="388" spans="1:8" ht="12.75" customHeight="1">
      <c r="A388" s="560"/>
      <c r="B388" s="519"/>
      <c r="C388" s="674"/>
      <c r="D388" s="674"/>
      <c r="E388" s="736" t="s">
        <v>151</v>
      </c>
      <c r="F388" s="103">
        <v>60</v>
      </c>
      <c r="G388" s="598"/>
      <c r="H388" s="125">
        <f>F388</f>
        <v>60</v>
      </c>
    </row>
    <row r="389" spans="1:8" ht="14.25" customHeight="1">
      <c r="A389" s="1503" t="s">
        <v>280</v>
      </c>
      <c r="B389" s="1504"/>
      <c r="C389" s="1504"/>
      <c r="D389" s="1504"/>
      <c r="E389" s="1505"/>
      <c r="F389" s="600"/>
      <c r="G389" s="500"/>
      <c r="H389" s="573"/>
    </row>
    <row r="390" spans="1:8" ht="14.25" customHeight="1">
      <c r="A390" s="751"/>
      <c r="B390" s="819">
        <v>1</v>
      </c>
      <c r="C390" s="604" t="s">
        <v>812</v>
      </c>
      <c r="D390" s="757" t="s">
        <v>110</v>
      </c>
      <c r="E390" s="53" t="s">
        <v>149</v>
      </c>
      <c r="F390" s="731"/>
      <c r="G390" s="732">
        <v>0</v>
      </c>
      <c r="H390" s="125">
        <f aca="true" t="shared" si="15" ref="H390:H395">G390</f>
        <v>0</v>
      </c>
    </row>
    <row r="391" spans="1:8" ht="14.25" customHeight="1">
      <c r="A391" s="560"/>
      <c r="B391" s="593"/>
      <c r="C391" s="1256"/>
      <c r="D391" s="728"/>
      <c r="E391" s="53" t="s">
        <v>150</v>
      </c>
      <c r="F391" s="731"/>
      <c r="G391" s="732">
        <v>29913</v>
      </c>
      <c r="H391" s="125">
        <f t="shared" si="15"/>
        <v>29913</v>
      </c>
    </row>
    <row r="392" spans="1:8" ht="14.25" customHeight="1">
      <c r="A392" s="560"/>
      <c r="B392" s="593"/>
      <c r="C392" s="1256"/>
      <c r="D392" s="728"/>
      <c r="E392" s="210" t="s">
        <v>151</v>
      </c>
      <c r="F392" s="731"/>
      <c r="G392" s="732">
        <v>29914</v>
      </c>
      <c r="H392" s="125">
        <f t="shared" si="15"/>
        <v>29914</v>
      </c>
    </row>
    <row r="393" spans="1:8" ht="14.25" customHeight="1">
      <c r="A393" s="560"/>
      <c r="B393" s="593"/>
      <c r="C393" s="1256"/>
      <c r="D393" s="555" t="s">
        <v>111</v>
      </c>
      <c r="E393" s="53" t="s">
        <v>149</v>
      </c>
      <c r="F393" s="731"/>
      <c r="G393" s="732">
        <v>0</v>
      </c>
      <c r="H393" s="125">
        <f t="shared" si="15"/>
        <v>0</v>
      </c>
    </row>
    <row r="394" spans="1:8" ht="14.25" customHeight="1">
      <c r="A394" s="560"/>
      <c r="B394" s="593"/>
      <c r="C394" s="1256"/>
      <c r="D394" s="728"/>
      <c r="E394" s="53" t="s">
        <v>150</v>
      </c>
      <c r="F394" s="731"/>
      <c r="G394" s="732">
        <v>51813</v>
      </c>
      <c r="H394" s="125">
        <f t="shared" si="15"/>
        <v>51813</v>
      </c>
    </row>
    <row r="395" spans="1:8" ht="14.25" customHeight="1">
      <c r="A395" s="583"/>
      <c r="B395" s="750"/>
      <c r="C395" s="1257"/>
      <c r="D395" s="756"/>
      <c r="E395" s="210" t="s">
        <v>151</v>
      </c>
      <c r="F395" s="731"/>
      <c r="G395" s="732">
        <v>66669</v>
      </c>
      <c r="H395" s="125">
        <f t="shared" si="15"/>
        <v>66669</v>
      </c>
    </row>
    <row r="396" spans="1:8" ht="14.25" customHeight="1">
      <c r="A396" s="1506" t="s">
        <v>281</v>
      </c>
      <c r="B396" s="1507"/>
      <c r="C396" s="1507"/>
      <c r="D396" s="1507"/>
      <c r="E396" s="1508"/>
      <c r="F396" s="107">
        <v>0</v>
      </c>
      <c r="G396" s="553"/>
      <c r="H396" s="119">
        <v>0</v>
      </c>
    </row>
    <row r="397" spans="1:8" ht="14.25" customHeight="1">
      <c r="A397" s="560"/>
      <c r="B397" s="652">
        <v>1</v>
      </c>
      <c r="C397" s="604" t="s">
        <v>811</v>
      </c>
      <c r="D397" s="604" t="s">
        <v>110</v>
      </c>
      <c r="E397" s="1258" t="s">
        <v>810</v>
      </c>
      <c r="F397" s="107"/>
      <c r="G397" s="553"/>
      <c r="H397" s="119"/>
    </row>
    <row r="398" spans="1:8" ht="14.25" customHeight="1">
      <c r="A398" s="560"/>
      <c r="B398" s="593"/>
      <c r="C398" s="1256"/>
      <c r="D398" s="1256"/>
      <c r="E398" s="737" t="s">
        <v>149</v>
      </c>
      <c r="F398" s="100">
        <v>0</v>
      </c>
      <c r="G398" s="553"/>
      <c r="H398" s="119">
        <f>F398</f>
        <v>0</v>
      </c>
    </row>
    <row r="399" spans="1:8" ht="14.25" customHeight="1">
      <c r="A399" s="560"/>
      <c r="B399" s="593"/>
      <c r="C399" s="1256"/>
      <c r="D399" s="1256"/>
      <c r="E399" s="737" t="s">
        <v>150</v>
      </c>
      <c r="F399" s="100">
        <v>8324</v>
      </c>
      <c r="G399" s="553"/>
      <c r="H399" s="119">
        <f>F399</f>
        <v>8324</v>
      </c>
    </row>
    <row r="400" spans="1:8" ht="14.25" customHeight="1">
      <c r="A400" s="592"/>
      <c r="B400" s="1431"/>
      <c r="C400" s="1432"/>
      <c r="D400" s="1432"/>
      <c r="E400" s="1433" t="s">
        <v>151</v>
      </c>
      <c r="F400" s="1428">
        <v>8324</v>
      </c>
      <c r="G400" s="1426"/>
      <c r="H400" s="501">
        <f>F400</f>
        <v>8324</v>
      </c>
    </row>
    <row r="401" spans="1:8" ht="14.25" customHeight="1">
      <c r="A401" s="1509" t="s">
        <v>282</v>
      </c>
      <c r="B401" s="1510"/>
      <c r="C401" s="1507"/>
      <c r="D401" s="1507"/>
      <c r="E401" s="1511"/>
      <c r="F401" s="731"/>
      <c r="G401" s="663"/>
      <c r="H401" s="125"/>
    </row>
    <row r="402" spans="1:8" ht="13.5" customHeight="1">
      <c r="A402" s="595"/>
      <c r="B402" s="652">
        <v>1</v>
      </c>
      <c r="C402" s="604" t="s">
        <v>813</v>
      </c>
      <c r="D402" s="604"/>
      <c r="E402" s="1513" t="s">
        <v>283</v>
      </c>
      <c r="F402" s="1514"/>
      <c r="G402" s="1515"/>
      <c r="H402" s="562"/>
    </row>
    <row r="403" spans="1:8" ht="13.5" customHeight="1">
      <c r="A403" s="595"/>
      <c r="B403" s="652"/>
      <c r="C403" s="605"/>
      <c r="D403" s="652" t="s">
        <v>111</v>
      </c>
      <c r="E403" s="53" t="s">
        <v>149</v>
      </c>
      <c r="F403" s="599"/>
      <c r="G403" s="578">
        <v>600</v>
      </c>
      <c r="H403" s="566">
        <f aca="true" t="shared" si="16" ref="H403:H408">G403</f>
        <v>600</v>
      </c>
    </row>
    <row r="404" spans="1:8" ht="13.5" customHeight="1">
      <c r="A404" s="595"/>
      <c r="B404" s="652"/>
      <c r="C404" s="605"/>
      <c r="D404" s="652"/>
      <c r="E404" s="53" t="s">
        <v>150</v>
      </c>
      <c r="F404" s="599"/>
      <c r="G404" s="578">
        <v>600</v>
      </c>
      <c r="H404" s="566">
        <f t="shared" si="16"/>
        <v>600</v>
      </c>
    </row>
    <row r="405" spans="1:8" ht="13.5" customHeight="1">
      <c r="A405" s="595"/>
      <c r="B405" s="652"/>
      <c r="C405" s="605"/>
      <c r="D405" s="652"/>
      <c r="E405" s="210" t="s">
        <v>151</v>
      </c>
      <c r="F405" s="626"/>
      <c r="G405" s="627">
        <v>746</v>
      </c>
      <c r="H405" s="571">
        <f t="shared" si="16"/>
        <v>746</v>
      </c>
    </row>
    <row r="406" spans="1:8" ht="13.5" customHeight="1">
      <c r="A406" s="595"/>
      <c r="B406" s="652"/>
      <c r="C406" s="605"/>
      <c r="D406" s="652" t="s">
        <v>110</v>
      </c>
      <c r="E406" s="53" t="s">
        <v>149</v>
      </c>
      <c r="F406" s="599"/>
      <c r="G406" s="578">
        <v>400</v>
      </c>
      <c r="H406" s="566">
        <f t="shared" si="16"/>
        <v>400</v>
      </c>
    </row>
    <row r="407" spans="1:8" ht="13.5" customHeight="1">
      <c r="A407" s="595"/>
      <c r="B407" s="652"/>
      <c r="C407" s="605"/>
      <c r="D407" s="652"/>
      <c r="E407" s="53" t="s">
        <v>150</v>
      </c>
      <c r="F407" s="599"/>
      <c r="G407" s="578">
        <v>400</v>
      </c>
      <c r="H407" s="566">
        <f t="shared" si="16"/>
        <v>400</v>
      </c>
    </row>
    <row r="408" spans="1:8" ht="13.5" customHeight="1">
      <c r="A408" s="595"/>
      <c r="B408" s="652"/>
      <c r="C408" s="605"/>
      <c r="D408" s="652"/>
      <c r="E408" s="210" t="s">
        <v>151</v>
      </c>
      <c r="F408" s="626"/>
      <c r="G408" s="627">
        <v>509</v>
      </c>
      <c r="H408" s="571">
        <f t="shared" si="16"/>
        <v>509</v>
      </c>
    </row>
    <row r="409" spans="1:8" ht="30.75" customHeight="1">
      <c r="A409" s="595"/>
      <c r="B409" s="652">
        <v>2</v>
      </c>
      <c r="C409" s="605" t="s">
        <v>744</v>
      </c>
      <c r="D409" s="652" t="s">
        <v>111</v>
      </c>
      <c r="E409" s="1090" t="s">
        <v>814</v>
      </c>
      <c r="F409" s="599"/>
      <c r="G409" s="578"/>
      <c r="H409" s="566"/>
    </row>
    <row r="410" spans="1:8" ht="13.5" customHeight="1">
      <c r="A410" s="595"/>
      <c r="B410" s="652"/>
      <c r="C410" s="605"/>
      <c r="D410" s="652"/>
      <c r="E410" s="53" t="s">
        <v>149</v>
      </c>
      <c r="F410" s="599"/>
      <c r="G410" s="578">
        <v>0</v>
      </c>
      <c r="H410" s="566">
        <f>G410</f>
        <v>0</v>
      </c>
    </row>
    <row r="411" spans="1:8" ht="13.5" customHeight="1">
      <c r="A411" s="595"/>
      <c r="B411" s="652"/>
      <c r="C411" s="605"/>
      <c r="D411" s="652"/>
      <c r="E411" s="53" t="s">
        <v>150</v>
      </c>
      <c r="F411" s="599"/>
      <c r="G411" s="578">
        <v>1500</v>
      </c>
      <c r="H411" s="566">
        <f>G411</f>
        <v>1500</v>
      </c>
    </row>
    <row r="412" spans="1:8" ht="13.5" customHeight="1">
      <c r="A412" s="595"/>
      <c r="B412" s="652"/>
      <c r="C412" s="605"/>
      <c r="D412" s="652"/>
      <c r="E412" s="210" t="s">
        <v>151</v>
      </c>
      <c r="F412" s="626"/>
      <c r="G412" s="627">
        <v>1500</v>
      </c>
      <c r="H412" s="566">
        <f>G412</f>
        <v>1500</v>
      </c>
    </row>
    <row r="413" spans="1:8" ht="13.5" customHeight="1">
      <c r="A413" s="595"/>
      <c r="B413" s="652">
        <v>3</v>
      </c>
      <c r="C413" s="605" t="s">
        <v>744</v>
      </c>
      <c r="D413" s="605" t="s">
        <v>111</v>
      </c>
      <c r="E413" s="730" t="s">
        <v>815</v>
      </c>
      <c r="F413" s="599"/>
      <c r="G413" s="578"/>
      <c r="H413" s="566"/>
    </row>
    <row r="414" spans="1:8" ht="13.5" customHeight="1">
      <c r="A414" s="595"/>
      <c r="B414" s="652"/>
      <c r="C414" s="605"/>
      <c r="D414" s="605"/>
      <c r="E414" s="53" t="s">
        <v>149</v>
      </c>
      <c r="F414" s="599"/>
      <c r="G414" s="578">
        <v>1500</v>
      </c>
      <c r="H414" s="566">
        <f>SUM(G414)</f>
        <v>1500</v>
      </c>
    </row>
    <row r="415" spans="1:8" ht="13.5" customHeight="1">
      <c r="A415" s="595"/>
      <c r="B415" s="652"/>
      <c r="C415" s="605"/>
      <c r="D415" s="605"/>
      <c r="E415" s="53" t="s">
        <v>150</v>
      </c>
      <c r="F415" s="599"/>
      <c r="G415" s="578">
        <v>1500</v>
      </c>
      <c r="H415" s="566">
        <f>G415</f>
        <v>1500</v>
      </c>
    </row>
    <row r="416" spans="1:8" ht="13.5" customHeight="1">
      <c r="A416" s="602"/>
      <c r="B416" s="603"/>
      <c r="C416" s="677"/>
      <c r="D416" s="677"/>
      <c r="E416" s="433" t="s">
        <v>151</v>
      </c>
      <c r="F416" s="678"/>
      <c r="G416" s="582">
        <v>1500</v>
      </c>
      <c r="H416" s="671">
        <f>G416</f>
        <v>1500</v>
      </c>
    </row>
    <row r="417" spans="1:8" ht="14.25" customHeight="1">
      <c r="A417" s="1509" t="s">
        <v>284</v>
      </c>
      <c r="B417" s="1510"/>
      <c r="C417" s="1510"/>
      <c r="D417" s="1510"/>
      <c r="E417" s="1512"/>
      <c r="F417" s="106"/>
      <c r="G417" s="587"/>
      <c r="H417" s="126"/>
    </row>
    <row r="418" spans="1:8" ht="14.25" customHeight="1">
      <c r="A418" s="560"/>
      <c r="B418" s="555"/>
      <c r="C418" s="1556" t="s">
        <v>285</v>
      </c>
      <c r="D418" s="604"/>
      <c r="E418" s="1513" t="s">
        <v>819</v>
      </c>
      <c r="F418" s="1514"/>
      <c r="G418" s="1515"/>
      <c r="H418" s="581"/>
    </row>
    <row r="419" spans="1:8" ht="14.25" customHeight="1">
      <c r="A419" s="560"/>
      <c r="B419" s="555">
        <v>1</v>
      </c>
      <c r="C419" s="1516"/>
      <c r="D419" s="605" t="s">
        <v>110</v>
      </c>
      <c r="E419" s="53" t="s">
        <v>149</v>
      </c>
      <c r="F419" s="122">
        <v>440503</v>
      </c>
      <c r="G419" s="580">
        <v>566408</v>
      </c>
      <c r="H419" s="581">
        <f aca="true" t="shared" si="17" ref="H419:H427">F419+G419</f>
        <v>1006911</v>
      </c>
    </row>
    <row r="420" spans="1:8" ht="14.25" customHeight="1">
      <c r="A420" s="560"/>
      <c r="B420" s="555"/>
      <c r="C420" s="1516"/>
      <c r="D420" s="605"/>
      <c r="E420" s="53" t="s">
        <v>150</v>
      </c>
      <c r="F420" s="122">
        <v>440565</v>
      </c>
      <c r="G420" s="580">
        <v>566408</v>
      </c>
      <c r="H420" s="581">
        <f t="shared" si="17"/>
        <v>1006973</v>
      </c>
    </row>
    <row r="421" spans="1:8" ht="14.25" customHeight="1">
      <c r="A421" s="560"/>
      <c r="B421" s="555"/>
      <c r="C421" s="1516"/>
      <c r="D421" s="605"/>
      <c r="E421" s="210" t="s">
        <v>151</v>
      </c>
      <c r="F421" s="122">
        <v>440565</v>
      </c>
      <c r="G421" s="580">
        <v>566409</v>
      </c>
      <c r="H421" s="581">
        <f t="shared" si="17"/>
        <v>1006974</v>
      </c>
    </row>
    <row r="422" spans="1:8" ht="14.25" customHeight="1">
      <c r="A422" s="560"/>
      <c r="B422" s="555">
        <v>2</v>
      </c>
      <c r="C422" s="1516"/>
      <c r="D422" s="605" t="s">
        <v>111</v>
      </c>
      <c r="E422" s="53" t="s">
        <v>149</v>
      </c>
      <c r="F422" s="122">
        <v>0</v>
      </c>
      <c r="G422" s="580">
        <v>124176</v>
      </c>
      <c r="H422" s="581">
        <f t="shared" si="17"/>
        <v>124176</v>
      </c>
    </row>
    <row r="423" spans="1:8" ht="14.25" customHeight="1">
      <c r="A423" s="560"/>
      <c r="B423" s="652"/>
      <c r="C423" s="1516"/>
      <c r="D423" s="605"/>
      <c r="E423" s="53" t="s">
        <v>150</v>
      </c>
      <c r="F423" s="122">
        <v>0</v>
      </c>
      <c r="G423" s="580">
        <v>124176</v>
      </c>
      <c r="H423" s="581">
        <f t="shared" si="17"/>
        <v>124176</v>
      </c>
    </row>
    <row r="424" spans="1:8" ht="14.25" customHeight="1">
      <c r="A424" s="560"/>
      <c r="B424" s="652"/>
      <c r="C424" s="1516"/>
      <c r="D424" s="605"/>
      <c r="E424" s="210" t="s">
        <v>151</v>
      </c>
      <c r="F424" s="122"/>
      <c r="G424" s="580">
        <v>124176</v>
      </c>
      <c r="H424" s="581">
        <f t="shared" si="17"/>
        <v>124176</v>
      </c>
    </row>
    <row r="425" spans="1:8" ht="14.25" customHeight="1">
      <c r="A425" s="560"/>
      <c r="B425" s="652">
        <v>3</v>
      </c>
      <c r="C425" s="1516"/>
      <c r="D425" s="605" t="s">
        <v>173</v>
      </c>
      <c r="E425" s="53" t="s">
        <v>149</v>
      </c>
      <c r="F425" s="122">
        <v>60869</v>
      </c>
      <c r="G425" s="580"/>
      <c r="H425" s="581">
        <f t="shared" si="17"/>
        <v>60869</v>
      </c>
    </row>
    <row r="426" spans="1:8" ht="14.25" customHeight="1">
      <c r="A426" s="560"/>
      <c r="B426" s="652"/>
      <c r="C426" s="1516"/>
      <c r="D426" s="605"/>
      <c r="E426" s="53" t="s">
        <v>150</v>
      </c>
      <c r="F426" s="122">
        <v>60869</v>
      </c>
      <c r="G426" s="580"/>
      <c r="H426" s="581">
        <f t="shared" si="17"/>
        <v>60869</v>
      </c>
    </row>
    <row r="427" spans="1:8" ht="14.25" customHeight="1">
      <c r="A427" s="560"/>
      <c r="B427" s="652"/>
      <c r="C427" s="1516"/>
      <c r="D427" s="605"/>
      <c r="E427" s="210" t="s">
        <v>151</v>
      </c>
      <c r="F427" s="122">
        <v>60869</v>
      </c>
      <c r="G427" s="580"/>
      <c r="H427" s="581">
        <f t="shared" si="17"/>
        <v>60869</v>
      </c>
    </row>
    <row r="428" spans="1:8" ht="14.25" customHeight="1">
      <c r="A428" s="560"/>
      <c r="B428" s="652"/>
      <c r="C428" s="1516" t="s">
        <v>820</v>
      </c>
      <c r="D428" s="605"/>
      <c r="E428" s="730" t="s">
        <v>997</v>
      </c>
      <c r="F428" s="122"/>
      <c r="G428" s="580"/>
      <c r="H428" s="581"/>
    </row>
    <row r="429" spans="1:8" ht="14.25" customHeight="1">
      <c r="A429" s="560"/>
      <c r="B429" s="652">
        <v>4</v>
      </c>
      <c r="C429" s="1516"/>
      <c r="D429" s="605" t="s">
        <v>110</v>
      </c>
      <c r="E429" s="53" t="s">
        <v>149</v>
      </c>
      <c r="F429" s="122">
        <v>3000000</v>
      </c>
      <c r="G429" s="580"/>
      <c r="H429" s="581">
        <f>F429+G429</f>
        <v>3000000</v>
      </c>
    </row>
    <row r="430" spans="1:8" ht="14.25" customHeight="1">
      <c r="A430" s="560"/>
      <c r="B430" s="652"/>
      <c r="C430" s="1516"/>
      <c r="D430" s="605"/>
      <c r="E430" s="53" t="s">
        <v>150</v>
      </c>
      <c r="F430" s="122">
        <v>3002101</v>
      </c>
      <c r="G430" s="580"/>
      <c r="H430" s="581">
        <f>F430+G430</f>
        <v>3002101</v>
      </c>
    </row>
    <row r="431" spans="1:8" ht="14.25" customHeight="1">
      <c r="A431" s="560"/>
      <c r="B431" s="652"/>
      <c r="C431" s="1516"/>
      <c r="D431" s="605"/>
      <c r="E431" s="210" t="s">
        <v>151</v>
      </c>
      <c r="F431" s="122">
        <v>3002011</v>
      </c>
      <c r="G431" s="580"/>
      <c r="H431" s="581">
        <f>F431+G431</f>
        <v>3002011</v>
      </c>
    </row>
    <row r="432" spans="1:8" ht="14.25" customHeight="1">
      <c r="A432" s="560"/>
      <c r="B432" s="652"/>
      <c r="C432" s="1516"/>
      <c r="D432" s="605" t="s">
        <v>111</v>
      </c>
      <c r="E432" s="53" t="s">
        <v>149</v>
      </c>
      <c r="F432" s="122">
        <v>2000000</v>
      </c>
      <c r="G432" s="580"/>
      <c r="H432" s="581">
        <f>F432</f>
        <v>2000000</v>
      </c>
    </row>
    <row r="433" spans="1:8" ht="14.25" customHeight="1">
      <c r="A433" s="560"/>
      <c r="B433" s="652"/>
      <c r="C433" s="1516"/>
      <c r="D433" s="605"/>
      <c r="E433" s="53" t="s">
        <v>150</v>
      </c>
      <c r="F433" s="122">
        <v>2357000</v>
      </c>
      <c r="G433" s="580"/>
      <c r="H433" s="581">
        <f>F433</f>
        <v>2357000</v>
      </c>
    </row>
    <row r="434" spans="1:8" ht="14.25" customHeight="1">
      <c r="A434" s="560"/>
      <c r="B434" s="652"/>
      <c r="C434" s="1516"/>
      <c r="D434" s="605"/>
      <c r="E434" s="53" t="s">
        <v>151</v>
      </c>
      <c r="F434" s="122">
        <f>558000+574000</f>
        <v>1132000</v>
      </c>
      <c r="G434" s="580"/>
      <c r="H434" s="581">
        <f>F434</f>
        <v>1132000</v>
      </c>
    </row>
    <row r="435" spans="1:8" ht="14.25" customHeight="1">
      <c r="A435" s="560"/>
      <c r="B435" s="652">
        <v>5</v>
      </c>
      <c r="C435" s="815"/>
      <c r="D435" s="605"/>
      <c r="E435" s="730" t="s">
        <v>821</v>
      </c>
      <c r="F435" s="122"/>
      <c r="G435" s="580"/>
      <c r="H435" s="581"/>
    </row>
    <row r="436" spans="1:8" ht="14.25" customHeight="1">
      <c r="A436" s="560"/>
      <c r="B436" s="652"/>
      <c r="C436" s="605" t="s">
        <v>822</v>
      </c>
      <c r="D436" s="605" t="s">
        <v>110</v>
      </c>
      <c r="E436" s="53" t="s">
        <v>149</v>
      </c>
      <c r="F436" s="122"/>
      <c r="G436" s="580">
        <v>0</v>
      </c>
      <c r="H436" s="581">
        <f>G436</f>
        <v>0</v>
      </c>
    </row>
    <row r="437" spans="1:8" ht="14.25" customHeight="1">
      <c r="A437" s="560"/>
      <c r="B437" s="652"/>
      <c r="C437" s="815"/>
      <c r="D437" s="605"/>
      <c r="E437" s="53" t="s">
        <v>150</v>
      </c>
      <c r="F437" s="122"/>
      <c r="G437" s="580">
        <v>250000</v>
      </c>
      <c r="H437" s="581">
        <f>G437</f>
        <v>250000</v>
      </c>
    </row>
    <row r="438" spans="1:8" ht="14.25" customHeight="1">
      <c r="A438" s="560"/>
      <c r="B438" s="652"/>
      <c r="C438" s="815"/>
      <c r="D438" s="605"/>
      <c r="E438" s="53" t="s">
        <v>151</v>
      </c>
      <c r="F438" s="122"/>
      <c r="G438" s="580">
        <v>196223</v>
      </c>
      <c r="H438" s="581">
        <f>G438</f>
        <v>196223</v>
      </c>
    </row>
    <row r="439" spans="1:8" ht="14.25" customHeight="1">
      <c r="A439" s="560"/>
      <c r="B439" s="652">
        <v>6</v>
      </c>
      <c r="C439" s="815"/>
      <c r="D439" s="605"/>
      <c r="E439" s="1259" t="s">
        <v>824</v>
      </c>
      <c r="F439" s="122"/>
      <c r="G439" s="580"/>
      <c r="H439" s="581"/>
    </row>
    <row r="440" spans="1:8" ht="14.25" customHeight="1">
      <c r="A440" s="560"/>
      <c r="B440" s="652"/>
      <c r="C440" s="605" t="s">
        <v>823</v>
      </c>
      <c r="D440" s="605" t="s">
        <v>110</v>
      </c>
      <c r="E440" s="53" t="s">
        <v>149</v>
      </c>
      <c r="F440" s="122">
        <v>0</v>
      </c>
      <c r="G440" s="580"/>
      <c r="H440" s="581">
        <f>F440+G440</f>
        <v>0</v>
      </c>
    </row>
    <row r="441" spans="1:8" ht="14.25" customHeight="1">
      <c r="A441" s="560"/>
      <c r="B441" s="652"/>
      <c r="C441" s="679"/>
      <c r="D441" s="605"/>
      <c r="E441" s="53" t="s">
        <v>150</v>
      </c>
      <c r="F441" s="100">
        <v>17107</v>
      </c>
      <c r="G441" s="100"/>
      <c r="H441" s="581">
        <f>F441+G441</f>
        <v>17107</v>
      </c>
    </row>
    <row r="442" spans="1:8" ht="14.25" customHeight="1" thickBot="1">
      <c r="A442" s="560"/>
      <c r="B442" s="652"/>
      <c r="C442" s="679"/>
      <c r="D442" s="605"/>
      <c r="E442" s="210" t="s">
        <v>151</v>
      </c>
      <c r="F442" s="103">
        <v>17107</v>
      </c>
      <c r="G442" s="580"/>
      <c r="H442" s="581">
        <f>F442+G442</f>
        <v>17107</v>
      </c>
    </row>
    <row r="443" spans="1:8" ht="16.5" customHeight="1" thickBot="1" thickTop="1">
      <c r="A443" s="1458" t="s">
        <v>286</v>
      </c>
      <c r="B443" s="1459"/>
      <c r="C443" s="1459"/>
      <c r="D443" s="1459"/>
      <c r="E443" s="1460"/>
      <c r="F443" s="542"/>
      <c r="G443" s="542"/>
      <c r="H443" s="544"/>
    </row>
    <row r="444" spans="1:8" ht="16.5" customHeight="1" thickTop="1">
      <c r="A444" s="38"/>
      <c r="B444" s="39"/>
      <c r="C444" s="428"/>
      <c r="D444" s="428"/>
      <c r="E444" s="53" t="s">
        <v>149</v>
      </c>
      <c r="F444" s="486">
        <f>F50+F165+F225+F290+F403+F419+F422+F440+F429+F436+F432+F425</f>
        <v>6971912</v>
      </c>
      <c r="G444" s="486">
        <f>G50+G165+G225+G290+G403+G419+G422+G440++G410+G414+G406</f>
        <v>728610</v>
      </c>
      <c r="H444" s="487">
        <f>SUM(F444:G444)</f>
        <v>7700522</v>
      </c>
    </row>
    <row r="445" spans="1:8" ht="16.5" customHeight="1">
      <c r="A445" s="104"/>
      <c r="B445" s="105"/>
      <c r="C445" s="98"/>
      <c r="D445" s="98"/>
      <c r="E445" s="53" t="s">
        <v>150</v>
      </c>
      <c r="F445" s="107">
        <f>F51+F166+F226+F291+F404+F420+F423+F441+F430+F437+F426+F433+F399</f>
        <v>7451215</v>
      </c>
      <c r="G445" s="107">
        <f>G51+G166+G226+G291+G404+G420+G423+G441+G394+G391+G415+G407+G437+G411</f>
        <v>1177048</v>
      </c>
      <c r="H445" s="119">
        <f>F445+G445</f>
        <v>8628263</v>
      </c>
    </row>
    <row r="446" spans="1:8" ht="16.5" customHeight="1" thickBot="1">
      <c r="A446" s="108"/>
      <c r="B446" s="109"/>
      <c r="C446" s="429"/>
      <c r="D446" s="429"/>
      <c r="E446" s="76" t="s">
        <v>151</v>
      </c>
      <c r="F446" s="452">
        <f>F52+F167+F227+F292++F421+F424+F442+F431+F438+F427+F434</f>
        <v>6568897</v>
      </c>
      <c r="G446" s="452">
        <f>G52+G167+G227+G292+G405+G421+G424+G442+G395+G392+G416+G408+G412+G438</f>
        <v>1133357</v>
      </c>
      <c r="H446" s="447">
        <f>G446+F446</f>
        <v>7702254</v>
      </c>
    </row>
    <row r="447" spans="1:8" s="9" customFormat="1" ht="14.25" customHeight="1" thickTop="1">
      <c r="A447" s="1493" t="s">
        <v>125</v>
      </c>
      <c r="B447" s="1494"/>
      <c r="C447" s="1494"/>
      <c r="D447" s="1494"/>
      <c r="E447" s="1495"/>
      <c r="F447" s="124"/>
      <c r="G447" s="663"/>
      <c r="H447" s="125"/>
    </row>
    <row r="448" spans="1:8" s="9" customFormat="1" ht="14.25" customHeight="1">
      <c r="A448" s="546"/>
      <c r="B448" s="547"/>
      <c r="C448" s="547"/>
      <c r="D448" s="611"/>
      <c r="E448" s="53" t="s">
        <v>149</v>
      </c>
      <c r="F448" s="106">
        <f>F55+F109+F237+F259+F294+F165+F233+F403+F419+F422+F440+F425+F429+F432+F262</f>
        <v>6961995</v>
      </c>
      <c r="G448" s="106">
        <f>G55+G109+G237+G259+G294+G165+G233+G403+G419+G422+G440+G406+G410+G414</f>
        <v>728610</v>
      </c>
      <c r="H448" s="126">
        <f>F448+G448</f>
        <v>7690605</v>
      </c>
    </row>
    <row r="449" spans="1:8" s="9" customFormat="1" ht="14.25" customHeight="1">
      <c r="A449" s="546"/>
      <c r="B449" s="547"/>
      <c r="C449" s="547"/>
      <c r="D449" s="611"/>
      <c r="E449" s="53" t="s">
        <v>150</v>
      </c>
      <c r="F449" s="107">
        <f>F56+F80+F110+F238+F260+F295+F234+F420+F426+F423+F441+F263+F430+F437+F83+F433+F399+F89</f>
        <v>7438776</v>
      </c>
      <c r="G449" s="107">
        <f>G166+G404+G411+G420+G423+G441+G394+G391+G415+G407+G437</f>
        <v>1177048</v>
      </c>
      <c r="H449" s="119">
        <f>F449+G449</f>
        <v>8615824</v>
      </c>
    </row>
    <row r="450" spans="1:8" s="9" customFormat="1" ht="14.25" customHeight="1">
      <c r="A450" s="546"/>
      <c r="B450" s="547"/>
      <c r="C450" s="547"/>
      <c r="D450" s="611"/>
      <c r="E450" s="210" t="s">
        <v>151</v>
      </c>
      <c r="F450" s="107">
        <f>F57+F111+F239+F261+F296+F167+F235+F405+F421+F424+F442+F264+F431+F438+F84+F81+F90+F427+F434+F400</f>
        <v>6564930</v>
      </c>
      <c r="G450" s="107">
        <f>G57+G111+G261+G296+G167++G405+G421+G424+G442+G395+G392+G416+G408+G412+G438</f>
        <v>1133357</v>
      </c>
      <c r="H450" s="119">
        <f>F450+G450</f>
        <v>7698287</v>
      </c>
    </row>
    <row r="451" spans="1:8" s="608" customFormat="1" ht="14.25" customHeight="1">
      <c r="A451" s="1485" t="s">
        <v>287</v>
      </c>
      <c r="B451" s="1486"/>
      <c r="C451" s="1486"/>
      <c r="D451" s="1486"/>
      <c r="E451" s="1496"/>
      <c r="F451" s="609"/>
      <c r="G451" s="610"/>
      <c r="H451" s="119"/>
    </row>
    <row r="452" spans="1:8" s="608" customFormat="1" ht="14.25" customHeight="1">
      <c r="A452" s="1111"/>
      <c r="B452" s="1112"/>
      <c r="C452" s="1112"/>
      <c r="D452" s="1113"/>
      <c r="E452" s="53" t="s">
        <v>149</v>
      </c>
      <c r="F452" s="609">
        <f>F55-F79+F113+F117+F125+F245+F253+F262+F302+F312+F319+F326+F333+F340+F344+F348+F355+F419+F429+F436+F440</f>
        <v>4135944</v>
      </c>
      <c r="G452" s="609">
        <f>G55-G79+G113+G117+G125+G419+G429+G436+G440+G406+G390+G177+G185+G193+G197+G201+G205+G209+G213+G217</f>
        <v>572088</v>
      </c>
      <c r="H452" s="119">
        <f>F452+G452</f>
        <v>4708032</v>
      </c>
    </row>
    <row r="453" spans="1:8" s="608" customFormat="1" ht="14.25" customHeight="1">
      <c r="A453" s="1111"/>
      <c r="B453" s="1112"/>
      <c r="C453" s="1112"/>
      <c r="D453" s="1113"/>
      <c r="E453" s="53" t="s">
        <v>150</v>
      </c>
      <c r="F453" s="609">
        <f>F56+F83+F114+F118+F126+F246+F254+F263+F303+F313+F320+F327+F334+F341+F345+F349+F356+F420+F430+F437+F441+F399+F158+F89</f>
        <v>4251060</v>
      </c>
      <c r="G453" s="609">
        <f>G56-G80+G114+G118+G126+G420+G430+G437+G441+G407+G391+G178+G186+G194+G198+G202+G206+G210+G214+G218</f>
        <v>893724</v>
      </c>
      <c r="H453" s="119">
        <f>F453+G453</f>
        <v>5144784</v>
      </c>
    </row>
    <row r="454" spans="1:8" s="608" customFormat="1" ht="14.25" customHeight="1">
      <c r="A454" s="1111"/>
      <c r="B454" s="1112"/>
      <c r="C454" s="1112"/>
      <c r="D454" s="1113"/>
      <c r="E454" s="210" t="s">
        <v>151</v>
      </c>
      <c r="F454" s="609">
        <f>F57+F84+F115+F119+F127+F247+F255+F264+F304+F314+F321+F328+F335+F342+F346+F350+F357+F421+F431+F438+F442+F400+F159+F90</f>
        <v>4291070</v>
      </c>
      <c r="G454" s="609">
        <f>G57-G81+G115+G119+G127+G421+G431+G438+G442+G408+G392+G179+G187+G195+G199+G203+G207+G211+G215+G219+G223</f>
        <v>835030</v>
      </c>
      <c r="H454" s="119">
        <f>F454+G454</f>
        <v>5126100</v>
      </c>
    </row>
    <row r="455" spans="1:8" s="608" customFormat="1" ht="14.25" customHeight="1">
      <c r="A455" s="1485" t="s">
        <v>827</v>
      </c>
      <c r="B455" s="1486"/>
      <c r="C455" s="1486"/>
      <c r="D455" s="1486"/>
      <c r="E455" s="1497"/>
      <c r="F455" s="609"/>
      <c r="G455" s="610"/>
      <c r="H455" s="119"/>
    </row>
    <row r="456" spans="1:8" s="608" customFormat="1" ht="14.25" customHeight="1">
      <c r="A456" s="1111"/>
      <c r="B456" s="1112"/>
      <c r="C456" s="1112"/>
      <c r="D456" s="1113"/>
      <c r="E456" s="53" t="s">
        <v>149</v>
      </c>
      <c r="F456" s="609">
        <f>F425</f>
        <v>60869</v>
      </c>
      <c r="G456" s="610">
        <v>0</v>
      </c>
      <c r="H456" s="119">
        <f aca="true" t="shared" si="18" ref="H456:H462">F456+G456</f>
        <v>60869</v>
      </c>
    </row>
    <row r="457" spans="1:8" s="608" customFormat="1" ht="14.25" customHeight="1">
      <c r="A457" s="1111"/>
      <c r="B457" s="1112"/>
      <c r="C457" s="1112"/>
      <c r="D457" s="1113"/>
      <c r="E457" s="53" t="s">
        <v>150</v>
      </c>
      <c r="F457" s="609">
        <f>F426</f>
        <v>60869</v>
      </c>
      <c r="G457" s="610">
        <v>0</v>
      </c>
      <c r="H457" s="119">
        <f t="shared" si="18"/>
        <v>60869</v>
      </c>
    </row>
    <row r="458" spans="1:8" s="608" customFormat="1" ht="14.25" customHeight="1">
      <c r="A458" s="1111"/>
      <c r="B458" s="1112"/>
      <c r="C458" s="1112"/>
      <c r="D458" s="1113"/>
      <c r="E458" s="53" t="s">
        <v>151</v>
      </c>
      <c r="F458" s="609">
        <f>F427</f>
        <v>60869</v>
      </c>
      <c r="G458" s="610">
        <v>0</v>
      </c>
      <c r="H458" s="119">
        <f t="shared" si="18"/>
        <v>60869</v>
      </c>
    </row>
    <row r="459" spans="1:8" s="608" customFormat="1" ht="14.25" customHeight="1">
      <c r="A459" s="1485" t="s">
        <v>288</v>
      </c>
      <c r="B459" s="1486"/>
      <c r="C459" s="1486"/>
      <c r="D459" s="1486"/>
      <c r="E459" s="1498"/>
      <c r="F459" s="606"/>
      <c r="G459" s="607"/>
      <c r="H459" s="119"/>
    </row>
    <row r="460" spans="1:8" s="608" customFormat="1" ht="14.25" customHeight="1">
      <c r="A460" s="1111"/>
      <c r="B460" s="1112"/>
      <c r="C460" s="1112"/>
      <c r="D460" s="1113"/>
      <c r="E460" s="53" t="s">
        <v>149</v>
      </c>
      <c r="F460" s="609">
        <f>F79+F137+F145+F149+F153+F233+F241+F249+F259+F305+F309+F316+F323+F330+F337+F352+F422+F432+F121+F129+F133+F141</f>
        <v>2765182</v>
      </c>
      <c r="G460" s="609">
        <f>G79+G137+G145+G149+G153+G422+G432+G121+G129+G133+G141+G403+G410+G414+G393+G169+G173+G181+G189</f>
        <v>156522</v>
      </c>
      <c r="H460" s="119">
        <f t="shared" si="18"/>
        <v>2921704</v>
      </c>
    </row>
    <row r="461" spans="1:8" s="608" customFormat="1" ht="14.25" customHeight="1">
      <c r="A461" s="1111"/>
      <c r="B461" s="1112"/>
      <c r="C461" s="1112"/>
      <c r="D461" s="1113"/>
      <c r="E461" s="53" t="s">
        <v>150</v>
      </c>
      <c r="F461" s="609">
        <f>F80+F138+F146+F150+F154+F234+F242+F250+F260+F306+F310+F317+F324+F331+F338+F353+F423+F433+F122+F130+F134+F142</f>
        <v>3126847</v>
      </c>
      <c r="G461" s="609">
        <f>G80+G138+G146+G150+G154+G423+G433+G122+G130+G134+G142+G404+G411+G415+G394+G170+G174+G182+G190</f>
        <v>283324</v>
      </c>
      <c r="H461" s="119">
        <f t="shared" si="18"/>
        <v>3410171</v>
      </c>
    </row>
    <row r="462" spans="1:8" s="608" customFormat="1" ht="14.25" customHeight="1">
      <c r="A462" s="1114"/>
      <c r="B462" s="1115"/>
      <c r="C462" s="1115"/>
      <c r="D462" s="1115"/>
      <c r="E462" s="155" t="s">
        <v>151</v>
      </c>
      <c r="F462" s="690">
        <f>F81+F139+F147+F151+F155+F235+F243+F251+F261+F307+F311+F318+F325+F332+F339+F354+F424+F434+F123+F131+F135+F143+F300+F163</f>
        <v>2212991</v>
      </c>
      <c r="G462" s="690">
        <f>G81+G139+G147+G151+G155+G424+G434+G123+G131+G135+G143+G405+G412+G416+G395+G171+G175+G183+G191</f>
        <v>298327</v>
      </c>
      <c r="H462" s="501">
        <f t="shared" si="18"/>
        <v>2511318</v>
      </c>
    </row>
    <row r="463" spans="1:8" s="9" customFormat="1" ht="14.25" customHeight="1">
      <c r="A463" s="1493" t="s">
        <v>289</v>
      </c>
      <c r="B463" s="1494"/>
      <c r="C463" s="1494"/>
      <c r="D463" s="1494"/>
      <c r="E463" s="1499"/>
      <c r="F463" s="106"/>
      <c r="G463" s="106"/>
      <c r="H463" s="126"/>
    </row>
    <row r="464" spans="1:8" s="9" customFormat="1" ht="14.25" customHeight="1">
      <c r="A464" s="546"/>
      <c r="B464" s="547"/>
      <c r="C464" s="547"/>
      <c r="D464" s="547"/>
      <c r="E464" s="53" t="s">
        <v>149</v>
      </c>
      <c r="F464" s="107">
        <f>F97+F266+F364+F367+F375+F378</f>
        <v>9917</v>
      </c>
      <c r="G464" s="107">
        <f>G97+G266+G364</f>
        <v>0</v>
      </c>
      <c r="H464" s="101">
        <f>F464+G464</f>
        <v>9917</v>
      </c>
    </row>
    <row r="465" spans="1:8" s="9" customFormat="1" ht="14.25" customHeight="1">
      <c r="A465" s="546"/>
      <c r="B465" s="547"/>
      <c r="C465" s="547"/>
      <c r="D465" s="547"/>
      <c r="E465" s="53" t="s">
        <v>150</v>
      </c>
      <c r="F465" s="107">
        <f>F98+F267+F365+F376+F361+F372+F383+F368+F387+F379</f>
        <v>12439</v>
      </c>
      <c r="G465" s="107">
        <f>G98+G267+G365</f>
        <v>0</v>
      </c>
      <c r="H465" s="101">
        <f aca="true" t="shared" si="19" ref="H465:H478">F465+G465</f>
        <v>12439</v>
      </c>
    </row>
    <row r="466" spans="1:8" s="9" customFormat="1" ht="14.25" customHeight="1">
      <c r="A466" s="546"/>
      <c r="B466" s="547"/>
      <c r="C466" s="547"/>
      <c r="D466" s="547"/>
      <c r="E466" s="53" t="s">
        <v>151</v>
      </c>
      <c r="F466" s="107">
        <f>F99+F268+F366+F377+F362+F373+F384+F388+F369+F380</f>
        <v>12291</v>
      </c>
      <c r="G466" s="107">
        <f>G99+G268+G366</f>
        <v>0</v>
      </c>
      <c r="H466" s="101">
        <f t="shared" si="19"/>
        <v>12291</v>
      </c>
    </row>
    <row r="467" spans="1:8" s="9" customFormat="1" ht="14.25" customHeight="1">
      <c r="A467" s="1485" t="s">
        <v>287</v>
      </c>
      <c r="B467" s="1486"/>
      <c r="C467" s="1486"/>
      <c r="D467" s="1486"/>
      <c r="E467" s="1486"/>
      <c r="F467" s="131"/>
      <c r="G467" s="131"/>
      <c r="H467" s="101"/>
    </row>
    <row r="468" spans="1:8" s="9" customFormat="1" ht="14.25" customHeight="1">
      <c r="A468" s="554"/>
      <c r="B468" s="689"/>
      <c r="C468" s="689"/>
      <c r="D468" s="689"/>
      <c r="E468" s="53" t="s">
        <v>149</v>
      </c>
      <c r="F468" s="117">
        <f>F101+F105+F364+F375</f>
        <v>6547</v>
      </c>
      <c r="G468" s="117">
        <v>0</v>
      </c>
      <c r="H468" s="101">
        <f t="shared" si="19"/>
        <v>6547</v>
      </c>
    </row>
    <row r="469" spans="1:8" s="9" customFormat="1" ht="14.25" customHeight="1">
      <c r="A469" s="554"/>
      <c r="B469" s="689"/>
      <c r="C469" s="689"/>
      <c r="D469" s="689"/>
      <c r="E469" s="53" t="s">
        <v>150</v>
      </c>
      <c r="F469" s="117">
        <f>F102+F106+F365+F376</f>
        <v>9069</v>
      </c>
      <c r="G469" s="117">
        <v>0</v>
      </c>
      <c r="H469" s="101">
        <f t="shared" si="19"/>
        <v>9069</v>
      </c>
    </row>
    <row r="470" spans="1:8" s="9" customFormat="1" ht="14.25" customHeight="1">
      <c r="A470" s="554"/>
      <c r="B470" s="689"/>
      <c r="C470" s="689"/>
      <c r="D470" s="689"/>
      <c r="E470" s="667" t="s">
        <v>151</v>
      </c>
      <c r="F470" s="117">
        <f>F103+F107+F366+F377+F384+F388</f>
        <v>10788</v>
      </c>
      <c r="G470" s="498">
        <v>0</v>
      </c>
      <c r="H470" s="738">
        <f t="shared" si="19"/>
        <v>10788</v>
      </c>
    </row>
    <row r="471" spans="1:8" s="9" customFormat="1" ht="14.25" customHeight="1">
      <c r="A471" s="1490" t="s">
        <v>825</v>
      </c>
      <c r="B471" s="1491"/>
      <c r="C471" s="1491"/>
      <c r="D471" s="1491"/>
      <c r="E471" s="1492"/>
      <c r="F471" s="117"/>
      <c r="G471" s="117"/>
      <c r="H471" s="101"/>
    </row>
    <row r="472" spans="1:8" s="9" customFormat="1" ht="14.25" customHeight="1">
      <c r="A472" s="554"/>
      <c r="B472" s="689"/>
      <c r="C472" s="689"/>
      <c r="D472" s="689"/>
      <c r="E472" s="53" t="s">
        <v>149</v>
      </c>
      <c r="F472" s="117">
        <f>+F367+F378</f>
        <v>1270</v>
      </c>
      <c r="G472" s="117"/>
      <c r="H472" s="101">
        <f>F472+G472</f>
        <v>1270</v>
      </c>
    </row>
    <row r="473" spans="1:8" s="9" customFormat="1" ht="14.25" customHeight="1">
      <c r="A473" s="554"/>
      <c r="B473" s="689"/>
      <c r="C473" s="689"/>
      <c r="D473" s="689"/>
      <c r="E473" s="53" t="s">
        <v>150</v>
      </c>
      <c r="F473" s="117">
        <f>+F368+F379</f>
        <v>1270</v>
      </c>
      <c r="G473" s="117"/>
      <c r="H473" s="101">
        <f>F473+G473</f>
        <v>1270</v>
      </c>
    </row>
    <row r="474" spans="1:8" s="9" customFormat="1" ht="14.25" customHeight="1">
      <c r="A474" s="554"/>
      <c r="B474" s="689"/>
      <c r="C474" s="689"/>
      <c r="D474" s="689"/>
      <c r="E474" s="53" t="s">
        <v>151</v>
      </c>
      <c r="F474" s="117">
        <f>+F369+F380</f>
        <v>693</v>
      </c>
      <c r="G474" s="117"/>
      <c r="H474" s="101">
        <f>F474+G474</f>
        <v>693</v>
      </c>
    </row>
    <row r="475" spans="1:8" s="9" customFormat="1" ht="14.25" customHeight="1">
      <c r="A475" s="1485" t="s">
        <v>826</v>
      </c>
      <c r="B475" s="1486"/>
      <c r="C475" s="1486"/>
      <c r="D475" s="1486"/>
      <c r="E475" s="1486"/>
      <c r="F475" s="131"/>
      <c r="G475" s="131"/>
      <c r="H475" s="816"/>
    </row>
    <row r="476" spans="1:8" s="9" customFormat="1" ht="14.25" customHeight="1">
      <c r="A476" s="554"/>
      <c r="B476" s="689"/>
      <c r="C476" s="689"/>
      <c r="D476" s="689"/>
      <c r="E476" s="53" t="s">
        <v>149</v>
      </c>
      <c r="F476" s="117">
        <f>F266</f>
        <v>2100</v>
      </c>
      <c r="G476" s="117">
        <f>G266</f>
        <v>0</v>
      </c>
      <c r="H476" s="101">
        <f t="shared" si="19"/>
        <v>2100</v>
      </c>
    </row>
    <row r="477" spans="1:8" s="9" customFormat="1" ht="14.25" customHeight="1">
      <c r="A477" s="554"/>
      <c r="B477" s="689"/>
      <c r="C477" s="689"/>
      <c r="D477" s="689"/>
      <c r="E477" s="53" t="s">
        <v>150</v>
      </c>
      <c r="F477" s="117">
        <f>F267</f>
        <v>2100</v>
      </c>
      <c r="G477" s="117">
        <f>G267</f>
        <v>0</v>
      </c>
      <c r="H477" s="101">
        <f t="shared" si="19"/>
        <v>2100</v>
      </c>
    </row>
    <row r="478" spans="1:8" s="9" customFormat="1" ht="14.25" customHeight="1" thickBot="1">
      <c r="A478" s="722"/>
      <c r="B478" s="723"/>
      <c r="C478" s="723"/>
      <c r="D478" s="723"/>
      <c r="E478" s="313" t="s">
        <v>151</v>
      </c>
      <c r="F478" s="739">
        <f>F272+F288</f>
        <v>810</v>
      </c>
      <c r="G478" s="739">
        <f>G268</f>
        <v>0</v>
      </c>
      <c r="H478" s="691">
        <f t="shared" si="19"/>
        <v>810</v>
      </c>
    </row>
    <row r="479" spans="1:8" ht="14.25" customHeight="1" thickBot="1">
      <c r="A479" s="1487" t="s">
        <v>723</v>
      </c>
      <c r="B479" s="1488"/>
      <c r="C479" s="1488"/>
      <c r="D479" s="1488"/>
      <c r="E479" s="1489"/>
      <c r="F479" s="613"/>
      <c r="G479" s="613"/>
      <c r="H479" s="614"/>
    </row>
    <row r="480" spans="1:8" ht="14.25" customHeight="1">
      <c r="A480" s="546"/>
      <c r="B480" s="547"/>
      <c r="C480" s="547"/>
      <c r="D480" s="547"/>
      <c r="E480" s="667" t="s">
        <v>149</v>
      </c>
      <c r="F480" s="448">
        <f>F448+F464+F11+F23+F35</f>
        <v>7128102</v>
      </c>
      <c r="G480" s="448">
        <f>G448+G464+G11+G23</f>
        <v>728610</v>
      </c>
      <c r="H480" s="615">
        <f>F480+G480</f>
        <v>7856712</v>
      </c>
    </row>
    <row r="481" spans="1:8" ht="14.25" customHeight="1">
      <c r="A481" s="546"/>
      <c r="B481" s="547"/>
      <c r="C481" s="547"/>
      <c r="D481" s="547"/>
      <c r="E481" s="352" t="s">
        <v>150</v>
      </c>
      <c r="F481" s="107">
        <f>F449+F465+F12+F24+F36</f>
        <v>7620691</v>
      </c>
      <c r="G481" s="107">
        <f>G449+G465+G12+G24</f>
        <v>1178848</v>
      </c>
      <c r="H481" s="119">
        <f>F481+G481</f>
        <v>8799539</v>
      </c>
    </row>
    <row r="482" spans="1:8" ht="14.25" customHeight="1">
      <c r="A482" s="546"/>
      <c r="B482" s="547"/>
      <c r="C482" s="547"/>
      <c r="D482" s="547"/>
      <c r="E482" s="352" t="s">
        <v>151</v>
      </c>
      <c r="F482" s="107">
        <f>F450+F466+F13+F25+F37</f>
        <v>6742189</v>
      </c>
      <c r="G482" s="107">
        <f>G450+G466+G13+G25</f>
        <v>1135157</v>
      </c>
      <c r="H482" s="119">
        <f>F482+G482</f>
        <v>7877346</v>
      </c>
    </row>
    <row r="483" spans="1:8" ht="14.25" customHeight="1">
      <c r="A483" s="1468" t="s">
        <v>287</v>
      </c>
      <c r="B483" s="1469"/>
      <c r="C483" s="1469"/>
      <c r="D483" s="1469"/>
      <c r="E483" s="1469"/>
      <c r="F483" s="106"/>
      <c r="G483" s="106"/>
      <c r="H483" s="436"/>
    </row>
    <row r="484" spans="1:8" ht="14.25" customHeight="1">
      <c r="A484" s="554"/>
      <c r="B484" s="689"/>
      <c r="C484" s="689"/>
      <c r="D484" s="689"/>
      <c r="E484" s="352" t="s">
        <v>149</v>
      </c>
      <c r="F484" s="107">
        <f>F468+F452+F15+F27+F39</f>
        <v>4232560</v>
      </c>
      <c r="G484" s="107">
        <f>G468+G452+G15+G27</f>
        <v>572088</v>
      </c>
      <c r="H484" s="101">
        <f>G484+F484</f>
        <v>4804648</v>
      </c>
    </row>
    <row r="485" spans="1:8" ht="14.25" customHeight="1">
      <c r="A485" s="554"/>
      <c r="B485" s="689"/>
      <c r="C485" s="689"/>
      <c r="D485" s="689"/>
      <c r="E485" s="352" t="s">
        <v>150</v>
      </c>
      <c r="F485" s="107">
        <f>F469+F453+F16+F28+F40</f>
        <v>4360708</v>
      </c>
      <c r="G485" s="107">
        <f>G469+G453+G16+G28</f>
        <v>893724</v>
      </c>
      <c r="H485" s="101">
        <f>G485+F485</f>
        <v>5254432</v>
      </c>
    </row>
    <row r="486" spans="1:8" ht="14.25" customHeight="1">
      <c r="A486" s="554"/>
      <c r="B486" s="689"/>
      <c r="C486" s="689"/>
      <c r="D486" s="689"/>
      <c r="E486" s="352" t="s">
        <v>151</v>
      </c>
      <c r="F486" s="107">
        <f>F470+F454+F17+F29+F41</f>
        <v>4401739</v>
      </c>
      <c r="G486" s="107">
        <f>G470+G454+G17+G29</f>
        <v>835030</v>
      </c>
      <c r="H486" s="101">
        <f>G486+F486</f>
        <v>5236769</v>
      </c>
    </row>
    <row r="487" spans="1:8" ht="14.25" customHeight="1">
      <c r="A487" s="1468" t="s">
        <v>826</v>
      </c>
      <c r="B487" s="1469"/>
      <c r="C487" s="1469"/>
      <c r="D487" s="1469"/>
      <c r="E487" s="1469"/>
      <c r="F487" s="106"/>
      <c r="G487" s="106"/>
      <c r="H487" s="436"/>
    </row>
    <row r="488" spans="1:8" ht="14.25" customHeight="1">
      <c r="A488" s="554"/>
      <c r="B488" s="689"/>
      <c r="C488" s="689"/>
      <c r="D488" s="689"/>
      <c r="E488" s="352" t="s">
        <v>149</v>
      </c>
      <c r="F488" s="107">
        <f>F476+F456</f>
        <v>62969</v>
      </c>
      <c r="G488" s="107">
        <f>G476</f>
        <v>0</v>
      </c>
      <c r="H488" s="101">
        <f>G488+F488</f>
        <v>62969</v>
      </c>
    </row>
    <row r="489" spans="1:8" ht="14.25" customHeight="1">
      <c r="A489" s="554"/>
      <c r="B489" s="689"/>
      <c r="C489" s="689"/>
      <c r="D489" s="689"/>
      <c r="E489" s="352" t="s">
        <v>150</v>
      </c>
      <c r="F489" s="107">
        <f>F477+F457</f>
        <v>62969</v>
      </c>
      <c r="G489" s="107">
        <f>G477</f>
        <v>0</v>
      </c>
      <c r="H489" s="101">
        <f>G489+F489</f>
        <v>62969</v>
      </c>
    </row>
    <row r="490" spans="1:8" ht="14.25" customHeight="1">
      <c r="A490" s="554"/>
      <c r="B490" s="689"/>
      <c r="C490" s="689"/>
      <c r="D490" s="689"/>
      <c r="E490" s="352" t="s">
        <v>151</v>
      </c>
      <c r="F490" s="107">
        <f>F478+F458</f>
        <v>61679</v>
      </c>
      <c r="G490" s="107">
        <f>G478</f>
        <v>0</v>
      </c>
      <c r="H490" s="101">
        <f>G490+F490</f>
        <v>61679</v>
      </c>
    </row>
    <row r="491" spans="1:8" ht="14.25" customHeight="1">
      <c r="A491" s="1468" t="s">
        <v>288</v>
      </c>
      <c r="B491" s="1469"/>
      <c r="C491" s="1469"/>
      <c r="D491" s="1469"/>
      <c r="E491" s="1469"/>
      <c r="F491" s="106"/>
      <c r="G491" s="106"/>
      <c r="H491" s="436"/>
    </row>
    <row r="492" spans="1:8" ht="14.25" customHeight="1">
      <c r="A492" s="554"/>
      <c r="B492" s="689"/>
      <c r="C492" s="689"/>
      <c r="D492" s="689"/>
      <c r="E492" s="352" t="s">
        <v>149</v>
      </c>
      <c r="F492" s="107">
        <f>F460+F19+F31+F43+F472</f>
        <v>2832573</v>
      </c>
      <c r="G492" s="107">
        <f>G460+G19+G31</f>
        <v>156522</v>
      </c>
      <c r="H492" s="101">
        <f>F492+G492</f>
        <v>2989095</v>
      </c>
    </row>
    <row r="493" spans="1:8" ht="14.25" customHeight="1">
      <c r="A493" s="554"/>
      <c r="B493" s="689"/>
      <c r="C493" s="689"/>
      <c r="D493" s="689"/>
      <c r="E493" s="352" t="s">
        <v>150</v>
      </c>
      <c r="F493" s="107">
        <f>F461+F20+F32+F44+F473</f>
        <v>3197014</v>
      </c>
      <c r="G493" s="107">
        <f>G461+G20+G32</f>
        <v>285124</v>
      </c>
      <c r="H493" s="101">
        <f>F493+G493</f>
        <v>3482138</v>
      </c>
    </row>
    <row r="494" spans="1:8" ht="14.25" customHeight="1" thickBot="1">
      <c r="A494" s="722"/>
      <c r="B494" s="723"/>
      <c r="C494" s="723"/>
      <c r="D494" s="723"/>
      <c r="E494" s="724" t="s">
        <v>151</v>
      </c>
      <c r="F494" s="107">
        <f>F462+F21+F33+F45+F474</f>
        <v>2278771</v>
      </c>
      <c r="G494" s="107">
        <f>G462+G21+G33</f>
        <v>300127</v>
      </c>
      <c r="H494" s="725">
        <f>F494+G494</f>
        <v>2578898</v>
      </c>
    </row>
    <row r="495" spans="1:8" ht="15" customHeight="1" thickBot="1">
      <c r="A495" s="1470" t="s">
        <v>290</v>
      </c>
      <c r="B495" s="1471"/>
      <c r="C495" s="1471"/>
      <c r="D495" s="1471"/>
      <c r="E495" s="1471"/>
      <c r="F495" s="1471"/>
      <c r="G495" s="1471"/>
      <c r="H495" s="1472"/>
    </row>
    <row r="496" spans="1:8" ht="16.5" customHeight="1">
      <c r="A496" s="546"/>
      <c r="B496" s="547"/>
      <c r="C496" s="616" t="s">
        <v>291</v>
      </c>
      <c r="D496" s="127"/>
      <c r="E496" s="112"/>
      <c r="F496" s="617"/>
      <c r="G496" s="618"/>
      <c r="H496" s="619"/>
    </row>
    <row r="497" spans="1:8" ht="12.75" customHeight="1">
      <c r="A497" s="529" t="s">
        <v>4</v>
      </c>
      <c r="B497" s="519"/>
      <c r="C497" s="597" t="s">
        <v>292</v>
      </c>
      <c r="D497" s="537"/>
      <c r="E497" s="102" t="s">
        <v>13</v>
      </c>
      <c r="F497" s="100"/>
      <c r="G497" s="565"/>
      <c r="H497" s="566"/>
    </row>
    <row r="498" spans="1:8" ht="12.75" customHeight="1">
      <c r="A498" s="529"/>
      <c r="B498" s="519"/>
      <c r="C498" s="597"/>
      <c r="D498" s="537"/>
      <c r="E498" s="53" t="s">
        <v>149</v>
      </c>
      <c r="F498" s="100">
        <f>'5.kiad'!E564</f>
        <v>585068</v>
      </c>
      <c r="G498" s="565"/>
      <c r="H498" s="566">
        <f>F498</f>
        <v>585068</v>
      </c>
    </row>
    <row r="499" spans="1:8" ht="12.75" customHeight="1">
      <c r="A499" s="529"/>
      <c r="B499" s="519"/>
      <c r="C499" s="597"/>
      <c r="D499" s="537"/>
      <c r="E499" s="53" t="s">
        <v>150</v>
      </c>
      <c r="F499" s="100">
        <f>'5.kiad'!E565</f>
        <v>610392</v>
      </c>
      <c r="G499" s="565"/>
      <c r="H499" s="566">
        <f aca="true" t="shared" si="20" ref="H499:H516">F499</f>
        <v>610392</v>
      </c>
    </row>
    <row r="500" spans="1:8" ht="12.75" customHeight="1">
      <c r="A500" s="529"/>
      <c r="B500" s="519"/>
      <c r="C500" s="597"/>
      <c r="D500" s="537"/>
      <c r="E500" s="210" t="s">
        <v>151</v>
      </c>
      <c r="F500" s="100">
        <f>'5.kiad'!E566</f>
        <v>585054</v>
      </c>
      <c r="G500" s="565"/>
      <c r="H500" s="566">
        <f t="shared" si="20"/>
        <v>585054</v>
      </c>
    </row>
    <row r="501" spans="1:8" ht="12.75" customHeight="1">
      <c r="A501" s="529" t="s">
        <v>5</v>
      </c>
      <c r="B501" s="519"/>
      <c r="C501" s="597" t="s">
        <v>293</v>
      </c>
      <c r="D501" s="537"/>
      <c r="E501" s="102" t="s">
        <v>112</v>
      </c>
      <c r="F501" s="100"/>
      <c r="G501" s="565"/>
      <c r="H501" s="566"/>
    </row>
    <row r="502" spans="1:8" ht="12.75" customHeight="1">
      <c r="A502" s="529"/>
      <c r="B502" s="519"/>
      <c r="C502" s="597"/>
      <c r="D502" s="537"/>
      <c r="E502" s="53" t="s">
        <v>149</v>
      </c>
      <c r="F502" s="100">
        <f>'5.kiad'!F564</f>
        <v>155518</v>
      </c>
      <c r="G502" s="565"/>
      <c r="H502" s="566">
        <f t="shared" si="20"/>
        <v>155518</v>
      </c>
    </row>
    <row r="503" spans="1:8" ht="12.75" customHeight="1">
      <c r="A503" s="529"/>
      <c r="B503" s="519"/>
      <c r="C503" s="597"/>
      <c r="D503" s="537"/>
      <c r="E503" s="53" t="s">
        <v>150</v>
      </c>
      <c r="F503" s="100">
        <f>'5.kiad'!F565</f>
        <v>167120</v>
      </c>
      <c r="G503" s="565"/>
      <c r="H503" s="566">
        <f t="shared" si="20"/>
        <v>167120</v>
      </c>
    </row>
    <row r="504" spans="1:8" ht="12.75" customHeight="1">
      <c r="A504" s="529"/>
      <c r="B504" s="519"/>
      <c r="C504" s="597"/>
      <c r="D504" s="537"/>
      <c r="E504" s="53" t="s">
        <v>151</v>
      </c>
      <c r="F504" s="100">
        <f>'5.kiad'!F566</f>
        <v>156888</v>
      </c>
      <c r="G504" s="565"/>
      <c r="H504" s="566">
        <f t="shared" si="20"/>
        <v>156888</v>
      </c>
    </row>
    <row r="505" spans="1:8" s="9" customFormat="1" ht="12.75" customHeight="1">
      <c r="A505" s="529" t="s">
        <v>6</v>
      </c>
      <c r="B505" s="519"/>
      <c r="C505" s="597" t="s">
        <v>294</v>
      </c>
      <c r="D505" s="537"/>
      <c r="E505" s="121" t="s">
        <v>14</v>
      </c>
      <c r="F505" s="100"/>
      <c r="G505" s="565"/>
      <c r="H505" s="566"/>
    </row>
    <row r="506" spans="1:8" s="9" customFormat="1" ht="12.75" customHeight="1">
      <c r="A506" s="529"/>
      <c r="B506" s="519"/>
      <c r="C506" s="597"/>
      <c r="D506" s="537"/>
      <c r="E506" s="53" t="s">
        <v>149</v>
      </c>
      <c r="F506" s="100">
        <f>'5.kiad'!G564</f>
        <v>785713</v>
      </c>
      <c r="G506" s="565"/>
      <c r="H506" s="566">
        <f t="shared" si="20"/>
        <v>785713</v>
      </c>
    </row>
    <row r="507" spans="1:8" s="9" customFormat="1" ht="12.75" customHeight="1">
      <c r="A507" s="529"/>
      <c r="B507" s="519"/>
      <c r="C507" s="597"/>
      <c r="D507" s="537"/>
      <c r="E507" s="53" t="s">
        <v>150</v>
      </c>
      <c r="F507" s="100">
        <f>'5.kiad'!G565</f>
        <v>845653</v>
      </c>
      <c r="G507" s="565"/>
      <c r="H507" s="566">
        <f t="shared" si="20"/>
        <v>845653</v>
      </c>
    </row>
    <row r="508" spans="1:8" s="9" customFormat="1" ht="12.75" customHeight="1">
      <c r="A508" s="529"/>
      <c r="B508" s="519"/>
      <c r="C508" s="597"/>
      <c r="D508" s="537"/>
      <c r="E508" s="53" t="s">
        <v>151</v>
      </c>
      <c r="F508" s="100">
        <f>'5.kiad'!G566</f>
        <v>612094</v>
      </c>
      <c r="G508" s="565"/>
      <c r="H508" s="566">
        <f t="shared" si="20"/>
        <v>612094</v>
      </c>
    </row>
    <row r="509" spans="1:8" ht="12.75" customHeight="1">
      <c r="A509" s="529" t="s">
        <v>7</v>
      </c>
      <c r="B509" s="519"/>
      <c r="C509" s="597" t="s">
        <v>295</v>
      </c>
      <c r="D509" s="537"/>
      <c r="E509" s="102" t="s">
        <v>93</v>
      </c>
      <c r="F509" s="100"/>
      <c r="G509" s="565"/>
      <c r="H509" s="566"/>
    </row>
    <row r="510" spans="1:8" ht="12.75" customHeight="1">
      <c r="A510" s="529"/>
      <c r="B510" s="519"/>
      <c r="C510" s="597"/>
      <c r="D510" s="537"/>
      <c r="E510" s="53" t="s">
        <v>149</v>
      </c>
      <c r="F510" s="100">
        <f>'5.kiad'!H564</f>
        <v>8450</v>
      </c>
      <c r="G510" s="565"/>
      <c r="H510" s="566">
        <f t="shared" si="20"/>
        <v>8450</v>
      </c>
    </row>
    <row r="511" spans="1:8" ht="12.75" customHeight="1">
      <c r="A511" s="529"/>
      <c r="B511" s="519"/>
      <c r="C511" s="597"/>
      <c r="D511" s="537"/>
      <c r="E511" s="53" t="s">
        <v>150</v>
      </c>
      <c r="F511" s="100">
        <f>'5.kiad'!H565</f>
        <v>12500</v>
      </c>
      <c r="G511" s="565"/>
      <c r="H511" s="566">
        <f t="shared" si="20"/>
        <v>12500</v>
      </c>
    </row>
    <row r="512" spans="1:8" ht="12.75" customHeight="1">
      <c r="A512" s="529"/>
      <c r="B512" s="519"/>
      <c r="C512" s="597"/>
      <c r="D512" s="537"/>
      <c r="E512" s="53" t="s">
        <v>151</v>
      </c>
      <c r="F512" s="100">
        <f>'5.kiad'!H566</f>
        <v>7819</v>
      </c>
      <c r="G512" s="565"/>
      <c r="H512" s="566">
        <f t="shared" si="20"/>
        <v>7819</v>
      </c>
    </row>
    <row r="513" spans="1:8" s="9" customFormat="1" ht="12.75" customHeight="1">
      <c r="A513" s="529" t="s">
        <v>8</v>
      </c>
      <c r="B513" s="519"/>
      <c r="C513" s="597" t="s">
        <v>296</v>
      </c>
      <c r="D513" s="537"/>
      <c r="E513" s="29" t="s">
        <v>90</v>
      </c>
      <c r="F513" s="122"/>
      <c r="G513" s="561"/>
      <c r="H513" s="566"/>
    </row>
    <row r="514" spans="1:8" s="9" customFormat="1" ht="12.75" customHeight="1">
      <c r="A514" s="529"/>
      <c r="B514" s="519"/>
      <c r="C514" s="597"/>
      <c r="D514" s="597"/>
      <c r="E514" s="53" t="s">
        <v>149</v>
      </c>
      <c r="F514" s="100">
        <f>'5.kiad'!I564+'5.kiad'!J564+'5.kiad'!K564</f>
        <v>575046</v>
      </c>
      <c r="G514" s="565"/>
      <c r="H514" s="566">
        <f t="shared" si="20"/>
        <v>575046</v>
      </c>
    </row>
    <row r="515" spans="1:8" s="9" customFormat="1" ht="12.75" customHeight="1">
      <c r="A515" s="529"/>
      <c r="B515" s="519"/>
      <c r="C515" s="597"/>
      <c r="D515" s="597"/>
      <c r="E515" s="53" t="s">
        <v>150</v>
      </c>
      <c r="F515" s="100">
        <f>'5.kiad'!I565+'5.kiad'!J565+'5.kiad'!K565</f>
        <v>590512</v>
      </c>
      <c r="G515" s="565"/>
      <c r="H515" s="566">
        <f t="shared" si="20"/>
        <v>590512</v>
      </c>
    </row>
    <row r="516" spans="1:8" s="9" customFormat="1" ht="12.75" customHeight="1">
      <c r="A516" s="529"/>
      <c r="B516" s="519"/>
      <c r="C516" s="674"/>
      <c r="D516" s="674"/>
      <c r="E516" s="155" t="s">
        <v>151</v>
      </c>
      <c r="F516" s="100">
        <f>'5.kiad'!I566+'5.kiad'!J566+'5.kiad'!K566</f>
        <v>258919</v>
      </c>
      <c r="G516" s="598"/>
      <c r="H516" s="566">
        <f t="shared" si="20"/>
        <v>258919</v>
      </c>
    </row>
    <row r="517" spans="1:8" ht="15.75" customHeight="1" thickBot="1">
      <c r="A517" s="1473" t="s">
        <v>117</v>
      </c>
      <c r="B517" s="1474"/>
      <c r="C517" s="1474"/>
      <c r="D517" s="1474"/>
      <c r="E517" s="1475"/>
      <c r="F517" s="620"/>
      <c r="G517" s="621"/>
      <c r="H517" s="622"/>
    </row>
    <row r="518" spans="1:8" ht="15.75" customHeight="1" thickTop="1">
      <c r="A518" s="506"/>
      <c r="B518" s="507"/>
      <c r="C518" s="693"/>
      <c r="D518" s="693"/>
      <c r="E518" s="53" t="s">
        <v>149</v>
      </c>
      <c r="F518" s="486">
        <f>F498+F502+F506+F510+F514</f>
        <v>2109795</v>
      </c>
      <c r="G518" s="692"/>
      <c r="H518" s="487">
        <f>F518</f>
        <v>2109795</v>
      </c>
    </row>
    <row r="519" spans="1:8" ht="15.75" customHeight="1">
      <c r="A519" s="132"/>
      <c r="B519" s="133"/>
      <c r="C519" s="509"/>
      <c r="D519" s="509"/>
      <c r="E519" s="53" t="s">
        <v>150</v>
      </c>
      <c r="F519" s="107">
        <f>F499+F503+F507+F511+F515</f>
        <v>2226177</v>
      </c>
      <c r="G519" s="553"/>
      <c r="H519" s="119">
        <f>F519</f>
        <v>2226177</v>
      </c>
    </row>
    <row r="520" spans="1:8" ht="15.75" customHeight="1" thickBot="1">
      <c r="A520" s="134"/>
      <c r="B520" s="135"/>
      <c r="C520" s="694"/>
      <c r="D520" s="694"/>
      <c r="E520" s="76" t="s">
        <v>151</v>
      </c>
      <c r="F520" s="452">
        <f>F500+F504+F508+F512+F516</f>
        <v>1620774</v>
      </c>
      <c r="G520" s="706"/>
      <c r="H520" s="447">
        <f>F520</f>
        <v>1620774</v>
      </c>
    </row>
    <row r="521" spans="1:8" ht="17.25" customHeight="1" thickTop="1">
      <c r="A521" s="132"/>
      <c r="B521" s="133"/>
      <c r="C521" s="1476" t="s">
        <v>297</v>
      </c>
      <c r="D521" s="1477"/>
      <c r="E521" s="1478"/>
      <c r="F521" s="106"/>
      <c r="G521" s="587"/>
      <c r="H521" s="126"/>
    </row>
    <row r="522" spans="1:8" ht="12" customHeight="1">
      <c r="A522" s="623" t="s">
        <v>4</v>
      </c>
      <c r="B522" s="405"/>
      <c r="C522" s="624" t="s">
        <v>298</v>
      </c>
      <c r="D522" s="510"/>
      <c r="E522" s="508" t="s">
        <v>24</v>
      </c>
      <c r="F522" s="599"/>
      <c r="G522" s="578"/>
      <c r="H522" s="566"/>
    </row>
    <row r="523" spans="1:8" ht="12" customHeight="1">
      <c r="A523" s="623"/>
      <c r="B523" s="405"/>
      <c r="C523" s="624"/>
      <c r="D523" s="510"/>
      <c r="E523" s="53" t="s">
        <v>149</v>
      </c>
      <c r="F523" s="599"/>
      <c r="G523" s="578">
        <f>'6.mell'!D6</f>
        <v>592184</v>
      </c>
      <c r="H523" s="566">
        <f>G523</f>
        <v>592184</v>
      </c>
    </row>
    <row r="524" spans="1:8" ht="12" customHeight="1">
      <c r="A524" s="623"/>
      <c r="B524" s="405"/>
      <c r="C524" s="624"/>
      <c r="D524" s="510"/>
      <c r="E524" s="53" t="s">
        <v>150</v>
      </c>
      <c r="F524" s="599"/>
      <c r="G524" s="578">
        <f>'6.mell'!E6</f>
        <v>935157</v>
      </c>
      <c r="H524" s="566">
        <f aca="true" t="shared" si="21" ref="H524:H533">G524</f>
        <v>935157</v>
      </c>
    </row>
    <row r="525" spans="1:8" ht="12" customHeight="1">
      <c r="A525" s="623"/>
      <c r="B525" s="405"/>
      <c r="C525" s="624"/>
      <c r="D525" s="510"/>
      <c r="E525" s="53" t="s">
        <v>151</v>
      </c>
      <c r="F525" s="599"/>
      <c r="G525" s="578">
        <f>'6.mell'!F6</f>
        <v>380816</v>
      </c>
      <c r="H525" s="566">
        <f t="shared" si="21"/>
        <v>380816</v>
      </c>
    </row>
    <row r="526" spans="1:8" ht="12" customHeight="1">
      <c r="A526" s="623" t="s">
        <v>5</v>
      </c>
      <c r="B526" s="405"/>
      <c r="C526" s="624" t="s">
        <v>299</v>
      </c>
      <c r="D526" s="510"/>
      <c r="E526" s="508" t="s">
        <v>25</v>
      </c>
      <c r="F526" s="599"/>
      <c r="G526" s="578"/>
      <c r="H526" s="566"/>
    </row>
    <row r="527" spans="1:8" ht="12" customHeight="1">
      <c r="A527" s="623"/>
      <c r="B527" s="405"/>
      <c r="C527" s="624"/>
      <c r="D527" s="510"/>
      <c r="E527" s="53" t="s">
        <v>149</v>
      </c>
      <c r="F527" s="599"/>
      <c r="G527" s="578">
        <f>'6.mell'!D49</f>
        <v>117159</v>
      </c>
      <c r="H527" s="566">
        <f t="shared" si="21"/>
        <v>117159</v>
      </c>
    </row>
    <row r="528" spans="1:8" ht="12" customHeight="1">
      <c r="A528" s="623"/>
      <c r="B528" s="405"/>
      <c r="C528" s="624"/>
      <c r="D528" s="510"/>
      <c r="E528" s="53" t="s">
        <v>150</v>
      </c>
      <c r="F528" s="599"/>
      <c r="G528" s="578">
        <f>'6.mell'!E49</f>
        <v>192750</v>
      </c>
      <c r="H528" s="566">
        <f t="shared" si="21"/>
        <v>192750</v>
      </c>
    </row>
    <row r="529" spans="1:8" ht="12" customHeight="1">
      <c r="A529" s="623"/>
      <c r="B529" s="405"/>
      <c r="C529" s="624"/>
      <c r="D529" s="510"/>
      <c r="E529" s="53" t="s">
        <v>151</v>
      </c>
      <c r="F529" s="599"/>
      <c r="G529" s="578">
        <f>'6.mell'!F49</f>
        <v>46896</v>
      </c>
      <c r="H529" s="566">
        <f t="shared" si="21"/>
        <v>46896</v>
      </c>
    </row>
    <row r="530" spans="1:8" ht="12" customHeight="1">
      <c r="A530" s="623" t="s">
        <v>6</v>
      </c>
      <c r="B530" s="405"/>
      <c r="C530" s="624" t="s">
        <v>300</v>
      </c>
      <c r="D530" s="510"/>
      <c r="E530" s="695" t="s">
        <v>32</v>
      </c>
      <c r="F530" s="599"/>
      <c r="G530" s="578"/>
      <c r="H530" s="566"/>
    </row>
    <row r="531" spans="1:8" ht="12" customHeight="1">
      <c r="A531" s="623"/>
      <c r="B531" s="405"/>
      <c r="C531" s="510"/>
      <c r="D531" s="510"/>
      <c r="E531" s="53" t="s">
        <v>149</v>
      </c>
      <c r="F531" s="599"/>
      <c r="G531" s="578">
        <f>'6.mell'!D70</f>
        <v>19267</v>
      </c>
      <c r="H531" s="566">
        <f t="shared" si="21"/>
        <v>19267</v>
      </c>
    </row>
    <row r="532" spans="1:8" ht="12" customHeight="1">
      <c r="A532" s="623"/>
      <c r="B532" s="405"/>
      <c r="C532" s="510"/>
      <c r="D532" s="510"/>
      <c r="E532" s="53" t="s">
        <v>150</v>
      </c>
      <c r="F532" s="599"/>
      <c r="G532" s="578">
        <f>'6.mell'!E70</f>
        <v>50941</v>
      </c>
      <c r="H532" s="566">
        <f t="shared" si="21"/>
        <v>50941</v>
      </c>
    </row>
    <row r="533" spans="1:8" ht="12" customHeight="1">
      <c r="A533" s="623"/>
      <c r="B533" s="405"/>
      <c r="C533" s="625"/>
      <c r="D533" s="625"/>
      <c r="E533" s="53" t="s">
        <v>151</v>
      </c>
      <c r="F533" s="626"/>
      <c r="G533" s="627">
        <f>'6.mell'!F70</f>
        <v>17300</v>
      </c>
      <c r="H533" s="566">
        <f t="shared" si="21"/>
        <v>17300</v>
      </c>
    </row>
    <row r="534" spans="1:8" ht="15.75" customHeight="1">
      <c r="A534" s="1479" t="s">
        <v>119</v>
      </c>
      <c r="B534" s="1480"/>
      <c r="C534" s="1480"/>
      <c r="D534" s="1480"/>
      <c r="E534" s="1481"/>
      <c r="F534" s="704"/>
      <c r="G534" s="705"/>
      <c r="H534" s="118"/>
    </row>
    <row r="535" spans="1:8" ht="12.75" customHeight="1">
      <c r="A535" s="132"/>
      <c r="B535" s="133"/>
      <c r="C535" s="133"/>
      <c r="D535" s="133"/>
      <c r="E535" s="53" t="s">
        <v>149</v>
      </c>
      <c r="F535" s="601"/>
      <c r="G535" s="128">
        <f>G523+G527+G531</f>
        <v>728610</v>
      </c>
      <c r="H535" s="119">
        <f>G535</f>
        <v>728610</v>
      </c>
    </row>
    <row r="536" spans="1:8" ht="13.5" customHeight="1">
      <c r="A536" s="132"/>
      <c r="B536" s="133"/>
      <c r="C536" s="133"/>
      <c r="D536" s="133"/>
      <c r="E536" s="53" t="s">
        <v>150</v>
      </c>
      <c r="F536" s="601"/>
      <c r="G536" s="128">
        <f>G524+G528+G532</f>
        <v>1178848</v>
      </c>
      <c r="H536" s="119">
        <f>G536</f>
        <v>1178848</v>
      </c>
    </row>
    <row r="537" spans="1:8" ht="12" customHeight="1" thickBot="1">
      <c r="A537" s="134"/>
      <c r="B537" s="135"/>
      <c r="C537" s="135"/>
      <c r="D537" s="135"/>
      <c r="E537" s="53" t="s">
        <v>151</v>
      </c>
      <c r="F537" s="703"/>
      <c r="G537" s="128">
        <f>G525+G529+G533</f>
        <v>445012</v>
      </c>
      <c r="H537" s="488">
        <f>G537</f>
        <v>445012</v>
      </c>
    </row>
    <row r="538" spans="1:8" ht="16.5" customHeight="1" thickTop="1">
      <c r="A538" s="1482" t="s">
        <v>301</v>
      </c>
      <c r="B538" s="1483"/>
      <c r="C538" s="1483"/>
      <c r="D538" s="1483"/>
      <c r="E538" s="1484"/>
      <c r="F538" s="486"/>
      <c r="G538" s="680"/>
      <c r="H538" s="487"/>
    </row>
    <row r="539" spans="1:8" ht="14.25" customHeight="1">
      <c r="A539" s="132"/>
      <c r="B539" s="133"/>
      <c r="C539" s="133"/>
      <c r="D539" s="133"/>
      <c r="E539" s="53" t="s">
        <v>149</v>
      </c>
      <c r="F539" s="107">
        <f>'5.kiad'!G553+'5.kiad'!G556+'5.kiad'!G549</f>
        <v>5018307</v>
      </c>
      <c r="G539" s="128">
        <v>0</v>
      </c>
      <c r="H539" s="119">
        <f>G539+F539</f>
        <v>5018307</v>
      </c>
    </row>
    <row r="540" spans="1:8" ht="14.25" customHeight="1">
      <c r="A540" s="132"/>
      <c r="B540" s="133"/>
      <c r="C540" s="133"/>
      <c r="D540" s="133"/>
      <c r="E540" s="53" t="s">
        <v>150</v>
      </c>
      <c r="F540" s="107">
        <f>'5.kiad'!G554+'5.kiad'!G557+'5.kiad'!G550</f>
        <v>5394514</v>
      </c>
      <c r="G540" s="128">
        <f>'5.kiad'!N550</f>
        <v>0</v>
      </c>
      <c r="H540" s="119">
        <f>F540+G540</f>
        <v>5394514</v>
      </c>
    </row>
    <row r="541" spans="1:8" ht="13.5" customHeight="1" thickBot="1">
      <c r="A541" s="134"/>
      <c r="B541" s="135"/>
      <c r="C541" s="135"/>
      <c r="D541" s="135"/>
      <c r="E541" s="53" t="s">
        <v>151</v>
      </c>
      <c r="F541" s="107">
        <f>'5.kiad'!G555+'5.kiad'!G558+'5.kiad'!G551</f>
        <v>5377018</v>
      </c>
      <c r="G541" s="681">
        <v>0</v>
      </c>
      <c r="H541" s="488">
        <f>F541+G541</f>
        <v>5377018</v>
      </c>
    </row>
    <row r="542" spans="1:8" ht="14.25" customHeight="1" thickBot="1" thickTop="1">
      <c r="A542" s="1458" t="s">
        <v>302</v>
      </c>
      <c r="B542" s="1459"/>
      <c r="C542" s="1459"/>
      <c r="D542" s="1459"/>
      <c r="E542" s="1460"/>
      <c r="F542" s="542"/>
      <c r="G542" s="542"/>
      <c r="H542" s="544"/>
    </row>
    <row r="543" spans="1:8" ht="14.25" customHeight="1" thickTop="1">
      <c r="A543" s="38"/>
      <c r="B543" s="39"/>
      <c r="C543" s="39"/>
      <c r="D543" s="39"/>
      <c r="E543" s="667" t="s">
        <v>149</v>
      </c>
      <c r="F543" s="486">
        <f aca="true" t="shared" si="22" ref="F543:G545">F518+F535+F539</f>
        <v>7128102</v>
      </c>
      <c r="G543" s="486">
        <f t="shared" si="22"/>
        <v>728610</v>
      </c>
      <c r="H543" s="487">
        <f>F543+G543</f>
        <v>7856712</v>
      </c>
    </row>
    <row r="544" spans="1:8" ht="14.25" customHeight="1">
      <c r="A544" s="104"/>
      <c r="B544" s="105"/>
      <c r="C544" s="105"/>
      <c r="D544" s="111"/>
      <c r="E544" s="53" t="s">
        <v>150</v>
      </c>
      <c r="F544" s="107">
        <f t="shared" si="22"/>
        <v>7620691</v>
      </c>
      <c r="G544" s="107">
        <f t="shared" si="22"/>
        <v>1178848</v>
      </c>
      <c r="H544" s="119">
        <f>F544+G544</f>
        <v>8799539</v>
      </c>
    </row>
    <row r="545" spans="1:8" ht="14.25" customHeight="1">
      <c r="A545" s="104"/>
      <c r="B545" s="105"/>
      <c r="C545" s="105"/>
      <c r="D545" s="111"/>
      <c r="E545" s="53" t="s">
        <v>151</v>
      </c>
      <c r="F545" s="107">
        <f>F520+F537+F541</f>
        <v>6997792</v>
      </c>
      <c r="G545" s="107">
        <f t="shared" si="22"/>
        <v>445012</v>
      </c>
      <c r="H545" s="119">
        <f>F545+G545</f>
        <v>7442804</v>
      </c>
    </row>
    <row r="546" spans="1:8" s="21" customFormat="1" ht="13.5" customHeight="1">
      <c r="A546" s="1461" t="s">
        <v>303</v>
      </c>
      <c r="B546" s="1462"/>
      <c r="C546" s="1462"/>
      <c r="D546" s="1462"/>
      <c r="E546" s="1463"/>
      <c r="F546" s="446"/>
      <c r="G546" s="696"/>
      <c r="H546" s="558"/>
    </row>
    <row r="547" spans="1:8" s="21" customFormat="1" ht="13.5" customHeight="1">
      <c r="A547" s="698"/>
      <c r="B547" s="699"/>
      <c r="C547" s="699"/>
      <c r="D547" s="700"/>
      <c r="E547" s="53" t="s">
        <v>149</v>
      </c>
      <c r="F547" s="120">
        <f>'5.kiad'!L568</f>
        <v>4610462</v>
      </c>
      <c r="G547" s="707">
        <f>'5.kiad'!M568+'5.kiad'!N568+'5.kiad'!O568</f>
        <v>368797</v>
      </c>
      <c r="H547" s="570">
        <f>F547+G547</f>
        <v>4979259</v>
      </c>
    </row>
    <row r="548" spans="1:8" s="21" customFormat="1" ht="13.5" customHeight="1">
      <c r="A548" s="698"/>
      <c r="B548" s="699"/>
      <c r="C548" s="699"/>
      <c r="D548" s="700"/>
      <c r="E548" s="53" t="s">
        <v>150</v>
      </c>
      <c r="F548" s="120">
        <f>'5.kiad'!L569</f>
        <v>4713071</v>
      </c>
      <c r="G548" s="707">
        <f>'5.kiad'!M569+'5.kiad'!N569+'5.kiad'!O569</f>
        <v>1016383</v>
      </c>
      <c r="H548" s="570">
        <f>F548+G548</f>
        <v>5729454</v>
      </c>
    </row>
    <row r="549" spans="1:8" s="21" customFormat="1" ht="13.5" customHeight="1">
      <c r="A549" s="698"/>
      <c r="B549" s="699"/>
      <c r="C549" s="699"/>
      <c r="D549" s="700"/>
      <c r="E549" s="53" t="s">
        <v>151</v>
      </c>
      <c r="F549" s="120">
        <f>'5.kiad'!L570</f>
        <v>4196591</v>
      </c>
      <c r="G549" s="707">
        <f>'5.kiad'!M570+'5.kiad'!N570+'5.kiad'!O570</f>
        <v>426643</v>
      </c>
      <c r="H549" s="570">
        <f>F549+G549</f>
        <v>4623234</v>
      </c>
    </row>
    <row r="550" spans="1:8" s="21" customFormat="1" ht="13.5" customHeight="1">
      <c r="A550" s="1464" t="s">
        <v>304</v>
      </c>
      <c r="B550" s="1465"/>
      <c r="C550" s="1465"/>
      <c r="D550" s="1465"/>
      <c r="E550" s="1466"/>
      <c r="F550" s="100"/>
      <c r="G550" s="708"/>
      <c r="H550" s="566"/>
    </row>
    <row r="551" spans="1:8" s="21" customFormat="1" ht="13.5" customHeight="1">
      <c r="A551" s="114"/>
      <c r="B551" s="130"/>
      <c r="C551" s="130"/>
      <c r="D551" s="115"/>
      <c r="E551" s="53" t="s">
        <v>149</v>
      </c>
      <c r="F551" s="122">
        <f>'5.kiad'!L576</f>
        <v>2454671</v>
      </c>
      <c r="G551" s="709">
        <f>'5.kiad'!M576+'5.kiad'!N576+'5.kiad'!O576+'5.kiad'!P576</f>
        <v>359813</v>
      </c>
      <c r="H551" s="562">
        <f>F551+G551</f>
        <v>2814484</v>
      </c>
    </row>
    <row r="552" spans="1:8" s="21" customFormat="1" ht="13.5" customHeight="1">
      <c r="A552" s="114"/>
      <c r="B552" s="130"/>
      <c r="C552" s="130"/>
      <c r="D552" s="115"/>
      <c r="E552" s="53" t="s">
        <v>150</v>
      </c>
      <c r="F552" s="122">
        <f>'5.kiad'!L577</f>
        <v>2841402</v>
      </c>
      <c r="G552" s="709">
        <f>'5.kiad'!M577+'5.kiad'!N577+'5.kiad'!O577+'5.kiad'!P577</f>
        <v>162465</v>
      </c>
      <c r="H552" s="562">
        <f aca="true" t="shared" si="23" ref="H552:H557">F552+G552</f>
        <v>3003867</v>
      </c>
    </row>
    <row r="553" spans="1:8" s="21" customFormat="1" ht="13.5" customHeight="1">
      <c r="A553" s="114"/>
      <c r="B553" s="130"/>
      <c r="C553" s="130"/>
      <c r="D553" s="115"/>
      <c r="E553" s="53" t="s">
        <v>151</v>
      </c>
      <c r="F553" s="122">
        <f>'5.kiad'!L578</f>
        <v>2746332</v>
      </c>
      <c r="G553" s="709">
        <f>'5.kiad'!M578+'5.kiad'!N578+'5.kiad'!O578+'5.kiad'!P578</f>
        <v>18369</v>
      </c>
      <c r="H553" s="562">
        <f t="shared" si="23"/>
        <v>2764701</v>
      </c>
    </row>
    <row r="554" spans="1:8" s="21" customFormat="1" ht="15" customHeight="1">
      <c r="A554" s="1464" t="s">
        <v>305</v>
      </c>
      <c r="B554" s="1465"/>
      <c r="C554" s="1465"/>
      <c r="D554" s="1465"/>
      <c r="E554" s="1467"/>
      <c r="F554" s="122"/>
      <c r="G554" s="709"/>
      <c r="H554" s="562"/>
    </row>
    <row r="555" spans="1:8" ht="12" customHeight="1">
      <c r="A555" s="529"/>
      <c r="B555" s="519"/>
      <c r="C555" s="519"/>
      <c r="D555" s="537"/>
      <c r="E555" s="53" t="s">
        <v>149</v>
      </c>
      <c r="F555" s="100">
        <f>'5.kiad'!L572</f>
        <v>62969</v>
      </c>
      <c r="G555" s="100">
        <f>'5.kiad'!M572</f>
        <v>0</v>
      </c>
      <c r="H555" s="562">
        <f t="shared" si="23"/>
        <v>62969</v>
      </c>
    </row>
    <row r="556" spans="1:8" s="629" customFormat="1" ht="14.25" customHeight="1">
      <c r="A556" s="529"/>
      <c r="B556" s="519"/>
      <c r="C556" s="519"/>
      <c r="D556" s="519"/>
      <c r="E556" s="53" t="s">
        <v>150</v>
      </c>
      <c r="F556" s="100">
        <f>'5.kiad'!L573</f>
        <v>66218</v>
      </c>
      <c r="G556" s="100">
        <f>'5.kiad'!M573</f>
        <v>0</v>
      </c>
      <c r="H556" s="562">
        <f t="shared" si="23"/>
        <v>66218</v>
      </c>
    </row>
    <row r="557" spans="1:8" ht="12" customHeight="1" thickBot="1">
      <c r="A557" s="697"/>
      <c r="B557" s="521"/>
      <c r="C557" s="521"/>
      <c r="D557" s="521"/>
      <c r="E557" s="92" t="s">
        <v>151</v>
      </c>
      <c r="F557" s="701">
        <f>'5.kiad'!L574</f>
        <v>54869</v>
      </c>
      <c r="G557" s="701">
        <f>'5.kiad'!M574</f>
        <v>0</v>
      </c>
      <c r="H557" s="702">
        <f t="shared" si="23"/>
        <v>54869</v>
      </c>
    </row>
    <row r="558" spans="6:8" ht="12" customHeight="1">
      <c r="F558" s="628"/>
      <c r="G558" s="628"/>
      <c r="H558" s="628"/>
    </row>
    <row r="559" spans="6:8" ht="12" customHeight="1">
      <c r="F559" s="628"/>
      <c r="G559" s="628"/>
      <c r="H559" s="628"/>
    </row>
    <row r="560" spans="6:8" ht="12" customHeight="1">
      <c r="F560" s="628"/>
      <c r="G560" s="628"/>
      <c r="H560" s="628"/>
    </row>
    <row r="561" spans="6:8" ht="12" customHeight="1">
      <c r="F561" s="628"/>
      <c r="G561" s="628"/>
      <c r="H561" s="628"/>
    </row>
    <row r="562" spans="6:8" ht="12" customHeight="1">
      <c r="F562" s="628"/>
      <c r="G562" s="628"/>
      <c r="H562" s="628"/>
    </row>
    <row r="563" spans="6:8" ht="12" customHeight="1">
      <c r="F563" s="628"/>
      <c r="G563" s="628"/>
      <c r="H563" s="628"/>
    </row>
    <row r="564" spans="5:8" ht="12" customHeight="1">
      <c r="E564" s="628"/>
      <c r="F564" s="628"/>
      <c r="G564" s="628"/>
      <c r="H564" s="628"/>
    </row>
    <row r="565" spans="5:8" ht="12" customHeight="1">
      <c r="E565" s="628"/>
      <c r="F565" s="628"/>
      <c r="G565" s="628"/>
      <c r="H565" s="628"/>
    </row>
    <row r="566" spans="5:8" ht="12" customHeight="1">
      <c r="E566" s="628"/>
      <c r="F566" s="628"/>
      <c r="G566" s="628"/>
      <c r="H566" s="628"/>
    </row>
    <row r="567" spans="6:8" ht="12" customHeight="1">
      <c r="F567" s="628"/>
      <c r="G567" s="628"/>
      <c r="H567" s="628"/>
    </row>
    <row r="568" spans="6:8" ht="12" customHeight="1">
      <c r="F568" s="628"/>
      <c r="G568" s="628"/>
      <c r="H568" s="628"/>
    </row>
  </sheetData>
  <sheetProtection/>
  <mergeCells count="68">
    <mergeCell ref="E1:H1"/>
    <mergeCell ref="A164:E164"/>
    <mergeCell ref="C418:C427"/>
    <mergeCell ref="A224:E224"/>
    <mergeCell ref="C265:E265"/>
    <mergeCell ref="A289:E289"/>
    <mergeCell ref="C293:E293"/>
    <mergeCell ref="A236:E236"/>
    <mergeCell ref="A256:E256"/>
    <mergeCell ref="E200:F200"/>
    <mergeCell ref="A7:H7"/>
    <mergeCell ref="E136:F136"/>
    <mergeCell ref="E2:H2"/>
    <mergeCell ref="C5:C6"/>
    <mergeCell ref="D5:D6"/>
    <mergeCell ref="E5:E6"/>
    <mergeCell ref="F5:F6"/>
    <mergeCell ref="G5:G6"/>
    <mergeCell ref="H5:H6"/>
    <mergeCell ref="D8:H8"/>
    <mergeCell ref="A46:E46"/>
    <mergeCell ref="D47:H47"/>
    <mergeCell ref="A49:E49"/>
    <mergeCell ref="A54:E54"/>
    <mergeCell ref="C108:E108"/>
    <mergeCell ref="C96:E96"/>
    <mergeCell ref="A78:E78"/>
    <mergeCell ref="A85:E85"/>
    <mergeCell ref="A86:E86"/>
    <mergeCell ref="A91:E91"/>
    <mergeCell ref="E418:G418"/>
    <mergeCell ref="C428:C434"/>
    <mergeCell ref="A92:E92"/>
    <mergeCell ref="E148:F148"/>
    <mergeCell ref="C257:E257"/>
    <mergeCell ref="A228:E228"/>
    <mergeCell ref="A229:E229"/>
    <mergeCell ref="A230:E230"/>
    <mergeCell ref="A231:E231"/>
    <mergeCell ref="E184:G184"/>
    <mergeCell ref="C358:E358"/>
    <mergeCell ref="A389:E389"/>
    <mergeCell ref="A396:E396"/>
    <mergeCell ref="A401:E401"/>
    <mergeCell ref="A417:E417"/>
    <mergeCell ref="E402:G402"/>
    <mergeCell ref="A443:E443"/>
    <mergeCell ref="A447:E447"/>
    <mergeCell ref="A451:E451"/>
    <mergeCell ref="A455:E455"/>
    <mergeCell ref="A459:E459"/>
    <mergeCell ref="A463:E463"/>
    <mergeCell ref="A467:E467"/>
    <mergeCell ref="A475:E475"/>
    <mergeCell ref="A479:E479"/>
    <mergeCell ref="A483:E483"/>
    <mergeCell ref="A487:E487"/>
    <mergeCell ref="A471:E471"/>
    <mergeCell ref="A542:E542"/>
    <mergeCell ref="A546:E546"/>
    <mergeCell ref="A550:E550"/>
    <mergeCell ref="A554:E554"/>
    <mergeCell ref="A491:E491"/>
    <mergeCell ref="A495:H495"/>
    <mergeCell ref="A517:E517"/>
    <mergeCell ref="C521:E521"/>
    <mergeCell ref="A534:E534"/>
    <mergeCell ref="A538:E538"/>
  </mergeCells>
  <printOptions horizontalCentered="1" verticalCentered="1"/>
  <pageMargins left="0.7874015748031497" right="0.7874015748031497" top="0.3937007874015748" bottom="0.3937007874015748" header="0.5118110236220472" footer="0.11811023622047245"/>
  <pageSetup horizontalDpi="600" verticalDpi="600" orientation="portrait" paperSize="9" scale="63" r:id="rId2"/>
  <headerFooter alignWithMargins="0">
    <oddFooter>&amp;C&amp;P</oddFooter>
  </headerFooter>
  <rowBreaks count="6" manualBreakCount="6">
    <brk id="90" max="7" man="1"/>
    <brk id="167" max="7" man="1"/>
    <brk id="243" max="7" man="1"/>
    <brk id="321" max="7" man="1"/>
    <brk id="400" max="7" man="1"/>
    <brk id="478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5.00390625" style="40" customWidth="1"/>
    <col min="2" max="2" width="7.625" style="40" customWidth="1"/>
    <col min="3" max="3" width="22.00390625" style="40" customWidth="1"/>
    <col min="4" max="4" width="10.25390625" style="178" customWidth="1"/>
    <col min="5" max="5" width="11.75390625" style="178" customWidth="1"/>
    <col min="6" max="6" width="11.625" style="178" customWidth="1"/>
    <col min="7" max="7" width="7.375" style="178" customWidth="1"/>
    <col min="8" max="8" width="15.75390625" style="178" customWidth="1"/>
    <col min="9" max="9" width="16.125" style="40" customWidth="1"/>
    <col min="10" max="10" width="10.875" style="40" customWidth="1"/>
    <col min="11" max="11" width="12.25390625" style="40" customWidth="1"/>
    <col min="12" max="12" width="9.875" style="141" customWidth="1"/>
  </cols>
  <sheetData>
    <row r="1" spans="7:12" ht="12.75">
      <c r="G1" s="1929" t="s">
        <v>1075</v>
      </c>
      <c r="H1" s="1929"/>
      <c r="I1" s="1929"/>
      <c r="J1" s="1929"/>
      <c r="K1" s="1929"/>
      <c r="L1" s="1929"/>
    </row>
    <row r="2" spans="1:12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0"/>
    </row>
    <row r="4" spans="1:12" ht="14.25" customHeight="1" thickBo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563" t="s">
        <v>27</v>
      </c>
      <c r="L4" s="1563"/>
    </row>
    <row r="5" spans="1:12" s="18" customFormat="1" ht="21" customHeight="1">
      <c r="A5" s="142"/>
      <c r="B5" s="1579" t="s">
        <v>191</v>
      </c>
      <c r="C5" s="143"/>
      <c r="D5" s="1564" t="s">
        <v>323</v>
      </c>
      <c r="E5" s="1567" t="s">
        <v>213</v>
      </c>
      <c r="F5" s="1567" t="s">
        <v>214</v>
      </c>
      <c r="G5" s="1570" t="s">
        <v>102</v>
      </c>
      <c r="H5" s="1567" t="s">
        <v>215</v>
      </c>
      <c r="I5" s="1584" t="s">
        <v>217</v>
      </c>
      <c r="J5" s="1582" t="s">
        <v>785</v>
      </c>
      <c r="K5" s="1583"/>
      <c r="L5" s="144"/>
    </row>
    <row r="6" spans="1:12" s="18" customFormat="1" ht="23.25" customHeight="1">
      <c r="A6" s="145" t="s">
        <v>33</v>
      </c>
      <c r="B6" s="1580"/>
      <c r="C6" s="146" t="s">
        <v>34</v>
      </c>
      <c r="D6" s="1565"/>
      <c r="E6" s="1568"/>
      <c r="F6" s="1568"/>
      <c r="G6" s="1571"/>
      <c r="H6" s="1568"/>
      <c r="I6" s="1585"/>
      <c r="J6" s="1587" t="s">
        <v>787</v>
      </c>
      <c r="K6" s="1576" t="s">
        <v>792</v>
      </c>
      <c r="L6" s="147" t="s">
        <v>18</v>
      </c>
    </row>
    <row r="7" spans="1:12" s="18" customFormat="1" ht="14.25" customHeight="1">
      <c r="A7" s="145" t="s">
        <v>35</v>
      </c>
      <c r="B7" s="1580"/>
      <c r="C7" s="146" t="s">
        <v>36</v>
      </c>
      <c r="D7" s="1565"/>
      <c r="E7" s="1568"/>
      <c r="F7" s="1568"/>
      <c r="G7" s="1571"/>
      <c r="H7" s="1568"/>
      <c r="I7" s="1585"/>
      <c r="J7" s="1565"/>
      <c r="K7" s="1568"/>
      <c r="L7" s="147"/>
    </row>
    <row r="8" spans="1:12" s="18" customFormat="1" ht="19.5" customHeight="1" thickBot="1">
      <c r="A8" s="148"/>
      <c r="B8" s="1581"/>
      <c r="C8" s="149"/>
      <c r="D8" s="1566"/>
      <c r="E8" s="1569"/>
      <c r="F8" s="1569"/>
      <c r="G8" s="1572"/>
      <c r="H8" s="1569"/>
      <c r="I8" s="1586"/>
      <c r="J8" s="1566"/>
      <c r="K8" s="1569"/>
      <c r="L8" s="150"/>
    </row>
    <row r="9" spans="1:12" ht="15" customHeight="1">
      <c r="A9" s="151" t="s">
        <v>4</v>
      </c>
      <c r="B9" s="405"/>
      <c r="C9" s="1573" t="s">
        <v>159</v>
      </c>
      <c r="D9" s="1574"/>
      <c r="E9" s="1575"/>
      <c r="F9" s="152"/>
      <c r="G9" s="152"/>
      <c r="H9" s="152"/>
      <c r="I9" s="152"/>
      <c r="J9" s="152"/>
      <c r="K9" s="152"/>
      <c r="L9" s="153"/>
    </row>
    <row r="10" spans="1:12" s="418" customFormat="1" ht="15" customHeight="1">
      <c r="A10" s="413"/>
      <c r="B10" s="414" t="s">
        <v>110</v>
      </c>
      <c r="C10" s="1577" t="s">
        <v>189</v>
      </c>
      <c r="D10" s="1578"/>
      <c r="E10" s="415"/>
      <c r="F10" s="416"/>
      <c r="G10" s="416"/>
      <c r="H10" s="416"/>
      <c r="I10" s="416"/>
      <c r="J10" s="416"/>
      <c r="K10" s="416"/>
      <c r="L10" s="417"/>
    </row>
    <row r="11" spans="1:12" s="418" customFormat="1" ht="15" customHeight="1">
      <c r="A11" s="413"/>
      <c r="B11" s="419"/>
      <c r="C11" s="58" t="s">
        <v>149</v>
      </c>
      <c r="D11" s="416">
        <v>4830</v>
      </c>
      <c r="E11" s="416"/>
      <c r="F11" s="416">
        <v>31905</v>
      </c>
      <c r="G11" s="416">
        <v>31905</v>
      </c>
      <c r="H11" s="416">
        <v>0</v>
      </c>
      <c r="I11" s="416"/>
      <c r="J11" s="416">
        <v>64990</v>
      </c>
      <c r="K11" s="416">
        <v>13145</v>
      </c>
      <c r="L11" s="417">
        <f>SUM(D11:F11)+H11+I11+J11+K11</f>
        <v>114870</v>
      </c>
    </row>
    <row r="12" spans="1:12" s="418" customFormat="1" ht="15" customHeight="1">
      <c r="A12" s="413"/>
      <c r="B12" s="419"/>
      <c r="C12" s="58" t="s">
        <v>150</v>
      </c>
      <c r="D12" s="416">
        <v>6030</v>
      </c>
      <c r="E12" s="416"/>
      <c r="F12" s="416">
        <v>38511</v>
      </c>
      <c r="G12" s="416">
        <v>37140</v>
      </c>
      <c r="H12" s="416">
        <v>0</v>
      </c>
      <c r="I12" s="416"/>
      <c r="J12" s="416">
        <v>66269</v>
      </c>
      <c r="K12" s="416">
        <v>13145</v>
      </c>
      <c r="L12" s="417">
        <f aca="true" t="shared" si="0" ref="L12:L34">SUM(D12:F12)+H12+I12+J12+K12</f>
        <v>123955</v>
      </c>
    </row>
    <row r="13" spans="1:16" s="418" customFormat="1" ht="15" customHeight="1">
      <c r="A13" s="413"/>
      <c r="B13" s="419"/>
      <c r="C13" s="58" t="s">
        <v>151</v>
      </c>
      <c r="D13" s="416">
        <f>63700-57513</f>
        <v>6187</v>
      </c>
      <c r="E13" s="416"/>
      <c r="F13" s="416">
        <v>38603</v>
      </c>
      <c r="G13" s="416">
        <v>37231</v>
      </c>
      <c r="H13" s="416"/>
      <c r="I13" s="416"/>
      <c r="J13" s="416">
        <f>128812-J17</f>
        <v>66269</v>
      </c>
      <c r="K13" s="416">
        <v>13145</v>
      </c>
      <c r="L13" s="417">
        <f t="shared" si="0"/>
        <v>124204</v>
      </c>
      <c r="N13" s="817"/>
      <c r="P13" s="817"/>
    </row>
    <row r="14" spans="1:12" s="418" customFormat="1" ht="15" customHeight="1">
      <c r="A14" s="413"/>
      <c r="B14" s="414" t="s">
        <v>111</v>
      </c>
      <c r="C14" s="420" t="s">
        <v>190</v>
      </c>
      <c r="D14" s="416"/>
      <c r="E14" s="416"/>
      <c r="F14" s="416"/>
      <c r="G14" s="416"/>
      <c r="H14" s="416"/>
      <c r="I14" s="416"/>
      <c r="J14" s="416"/>
      <c r="K14" s="416"/>
      <c r="L14" s="417"/>
    </row>
    <row r="15" spans="1:12" s="418" customFormat="1" ht="15" customHeight="1">
      <c r="A15" s="413"/>
      <c r="B15" s="414"/>
      <c r="C15" s="58" t="s">
        <v>149</v>
      </c>
      <c r="D15" s="416">
        <v>54000</v>
      </c>
      <c r="E15" s="416"/>
      <c r="F15" s="416"/>
      <c r="G15" s="416"/>
      <c r="H15" s="416"/>
      <c r="I15" s="416"/>
      <c r="J15" s="416">
        <v>64593</v>
      </c>
      <c r="K15" s="416"/>
      <c r="L15" s="417">
        <f t="shared" si="0"/>
        <v>118593</v>
      </c>
    </row>
    <row r="16" spans="1:12" s="418" customFormat="1" ht="15" customHeight="1">
      <c r="A16" s="413"/>
      <c r="B16" s="414"/>
      <c r="C16" s="58" t="s">
        <v>150</v>
      </c>
      <c r="D16" s="416">
        <v>56000</v>
      </c>
      <c r="E16" s="416"/>
      <c r="F16" s="416"/>
      <c r="G16" s="416"/>
      <c r="H16" s="416">
        <v>560</v>
      </c>
      <c r="I16" s="416">
        <v>1800</v>
      </c>
      <c r="J16" s="416">
        <v>62543</v>
      </c>
      <c r="K16" s="416"/>
      <c r="L16" s="417">
        <f t="shared" si="0"/>
        <v>120903</v>
      </c>
    </row>
    <row r="17" spans="1:18" s="418" customFormat="1" ht="15" customHeight="1">
      <c r="A17" s="413"/>
      <c r="B17" s="414"/>
      <c r="C17" s="58" t="s">
        <v>151</v>
      </c>
      <c r="D17" s="416">
        <v>57513</v>
      </c>
      <c r="E17" s="416"/>
      <c r="F17" s="416"/>
      <c r="G17" s="416"/>
      <c r="H17" s="416">
        <v>560</v>
      </c>
      <c r="I17" s="416">
        <v>1800</v>
      </c>
      <c r="J17" s="416">
        <v>62543</v>
      </c>
      <c r="K17" s="416"/>
      <c r="L17" s="417">
        <f t="shared" si="0"/>
        <v>122416</v>
      </c>
      <c r="R17" s="817"/>
    </row>
    <row r="18" spans="1:12" ht="15" customHeight="1">
      <c r="A18" s="151" t="s">
        <v>5</v>
      </c>
      <c r="B18" s="405"/>
      <c r="C18" s="1560" t="s">
        <v>160</v>
      </c>
      <c r="D18" s="1562"/>
      <c r="E18" s="154"/>
      <c r="F18" s="154"/>
      <c r="G18" s="154"/>
      <c r="H18" s="154"/>
      <c r="I18" s="154"/>
      <c r="J18" s="154"/>
      <c r="K18" s="154"/>
      <c r="L18" s="417"/>
    </row>
    <row r="19" spans="1:12" ht="12.75" customHeight="1">
      <c r="A19" s="151"/>
      <c r="B19" s="406" t="s">
        <v>110</v>
      </c>
      <c r="C19" s="53" t="s">
        <v>149</v>
      </c>
      <c r="D19" s="154">
        <v>0</v>
      </c>
      <c r="E19" s="154"/>
      <c r="F19" s="154">
        <v>0</v>
      </c>
      <c r="G19" s="154"/>
      <c r="H19" s="154"/>
      <c r="I19" s="154"/>
      <c r="J19" s="154">
        <v>228278</v>
      </c>
      <c r="K19" s="154">
        <v>6446</v>
      </c>
      <c r="L19" s="417">
        <f t="shared" si="0"/>
        <v>234724</v>
      </c>
    </row>
    <row r="20" spans="1:12" ht="12" customHeight="1">
      <c r="A20" s="151"/>
      <c r="B20" s="406"/>
      <c r="C20" s="53" t="s">
        <v>150</v>
      </c>
      <c r="D20" s="154">
        <v>0</v>
      </c>
      <c r="E20" s="154"/>
      <c r="F20" s="154">
        <v>2504</v>
      </c>
      <c r="G20" s="154"/>
      <c r="H20" s="154"/>
      <c r="I20" s="154"/>
      <c r="J20" s="154">
        <v>233492</v>
      </c>
      <c r="K20" s="154">
        <v>6446</v>
      </c>
      <c r="L20" s="417">
        <f t="shared" si="0"/>
        <v>242442</v>
      </c>
    </row>
    <row r="21" spans="1:12" ht="11.25" customHeight="1">
      <c r="A21" s="151"/>
      <c r="B21" s="406"/>
      <c r="C21" s="53" t="s">
        <v>151</v>
      </c>
      <c r="D21" s="154">
        <v>2</v>
      </c>
      <c r="E21" s="154"/>
      <c r="F21" s="154">
        <v>1695</v>
      </c>
      <c r="G21" s="154"/>
      <c r="H21" s="154"/>
      <c r="I21" s="154"/>
      <c r="J21" s="154">
        <v>233492</v>
      </c>
      <c r="K21" s="154">
        <v>6446</v>
      </c>
      <c r="L21" s="417">
        <f t="shared" si="0"/>
        <v>241635</v>
      </c>
    </row>
    <row r="22" spans="1:12" ht="15" customHeight="1">
      <c r="A22" s="151" t="s">
        <v>6</v>
      </c>
      <c r="B22" s="406"/>
      <c r="C22" s="1560" t="s">
        <v>61</v>
      </c>
      <c r="D22" s="1561"/>
      <c r="E22" s="1562"/>
      <c r="F22" s="154"/>
      <c r="G22" s="154"/>
      <c r="H22" s="154"/>
      <c r="I22" s="154"/>
      <c r="J22" s="154"/>
      <c r="K22" s="154"/>
      <c r="L22" s="417"/>
    </row>
    <row r="23" spans="1:12" s="418" customFormat="1" ht="15" customHeight="1">
      <c r="A23" s="413"/>
      <c r="B23" s="419" t="s">
        <v>111</v>
      </c>
      <c r="C23" s="1577" t="s">
        <v>790</v>
      </c>
      <c r="D23" s="1578"/>
      <c r="E23" s="416"/>
      <c r="F23" s="416"/>
      <c r="G23" s="416"/>
      <c r="H23" s="416"/>
      <c r="I23" s="416"/>
      <c r="J23" s="416"/>
      <c r="K23" s="416"/>
      <c r="L23" s="417">
        <f t="shared" si="0"/>
        <v>0</v>
      </c>
    </row>
    <row r="24" spans="1:12" s="418" customFormat="1" ht="12" customHeight="1">
      <c r="A24" s="413"/>
      <c r="B24" s="419"/>
      <c r="C24" s="58" t="s">
        <v>149</v>
      </c>
      <c r="D24" s="416">
        <v>3100</v>
      </c>
      <c r="E24" s="416"/>
      <c r="F24" s="416">
        <v>655</v>
      </c>
      <c r="G24" s="416"/>
      <c r="H24" s="416"/>
      <c r="I24" s="416"/>
      <c r="J24" s="416">
        <v>19773</v>
      </c>
      <c r="K24" s="416">
        <v>2366</v>
      </c>
      <c r="L24" s="417">
        <f t="shared" si="0"/>
        <v>25894</v>
      </c>
    </row>
    <row r="25" spans="1:14" s="418" customFormat="1" ht="12" customHeight="1">
      <c r="A25" s="413"/>
      <c r="B25" s="419"/>
      <c r="C25" s="58" t="s">
        <v>150</v>
      </c>
      <c r="D25" s="416">
        <v>3100</v>
      </c>
      <c r="E25" s="416"/>
      <c r="F25" s="416">
        <v>871</v>
      </c>
      <c r="G25" s="416"/>
      <c r="H25" s="416"/>
      <c r="I25" s="416"/>
      <c r="J25" s="416">
        <v>20391</v>
      </c>
      <c r="K25" s="416">
        <v>2366</v>
      </c>
      <c r="L25" s="417">
        <f t="shared" si="0"/>
        <v>26728</v>
      </c>
      <c r="N25" s="817"/>
    </row>
    <row r="26" spans="1:15" s="418" customFormat="1" ht="12.75" customHeight="1">
      <c r="A26" s="413"/>
      <c r="B26" s="419"/>
      <c r="C26" s="58" t="s">
        <v>151</v>
      </c>
      <c r="D26" s="416">
        <f>3757-D30</f>
        <v>3265</v>
      </c>
      <c r="E26" s="416"/>
      <c r="F26" s="416">
        <v>891</v>
      </c>
      <c r="G26" s="416"/>
      <c r="H26" s="416"/>
      <c r="I26" s="416"/>
      <c r="J26" s="416">
        <v>20391</v>
      </c>
      <c r="K26" s="416">
        <v>2366</v>
      </c>
      <c r="L26" s="417">
        <f t="shared" si="0"/>
        <v>26913</v>
      </c>
      <c r="O26" s="817"/>
    </row>
    <row r="27" spans="1:15" s="418" customFormat="1" ht="15" customHeight="1">
      <c r="A27" s="413"/>
      <c r="B27" s="419" t="s">
        <v>111</v>
      </c>
      <c r="C27" s="1252" t="s">
        <v>791</v>
      </c>
      <c r="D27" s="416"/>
      <c r="E27" s="416"/>
      <c r="F27" s="416"/>
      <c r="G27" s="416"/>
      <c r="H27" s="416"/>
      <c r="I27" s="416"/>
      <c r="J27" s="416"/>
      <c r="K27" s="416"/>
      <c r="L27" s="417"/>
      <c r="O27" s="817"/>
    </row>
    <row r="28" spans="1:12" s="418" customFormat="1" ht="12.75" customHeight="1">
      <c r="A28" s="413"/>
      <c r="B28" s="419"/>
      <c r="C28" s="58" t="s">
        <v>149</v>
      </c>
      <c r="D28" s="416">
        <v>6000</v>
      </c>
      <c r="E28" s="416"/>
      <c r="F28" s="416"/>
      <c r="G28" s="416"/>
      <c r="H28" s="416"/>
      <c r="I28" s="416"/>
      <c r="J28" s="416">
        <v>11974</v>
      </c>
      <c r="K28" s="416"/>
      <c r="L28" s="417">
        <f t="shared" si="0"/>
        <v>17974</v>
      </c>
    </row>
    <row r="29" spans="1:12" s="418" customFormat="1" ht="12.75" customHeight="1">
      <c r="A29" s="413"/>
      <c r="B29" s="419"/>
      <c r="C29" s="58" t="s">
        <v>150</v>
      </c>
      <c r="D29" s="416">
        <v>6000</v>
      </c>
      <c r="E29" s="416"/>
      <c r="F29" s="416"/>
      <c r="G29" s="416"/>
      <c r="H29" s="416"/>
      <c r="I29" s="416"/>
      <c r="J29" s="416">
        <v>14474</v>
      </c>
      <c r="K29" s="416"/>
      <c r="L29" s="417">
        <f t="shared" si="0"/>
        <v>20474</v>
      </c>
    </row>
    <row r="30" spans="1:12" s="418" customFormat="1" ht="12.75" customHeight="1">
      <c r="A30" s="413"/>
      <c r="B30" s="419"/>
      <c r="C30" s="58" t="s">
        <v>151</v>
      </c>
      <c r="D30" s="416">
        <v>492</v>
      </c>
      <c r="E30" s="416"/>
      <c r="F30" s="416"/>
      <c r="G30" s="416"/>
      <c r="H30" s="416"/>
      <c r="I30" s="416"/>
      <c r="J30" s="416">
        <v>14474</v>
      </c>
      <c r="K30" s="416"/>
      <c r="L30" s="417">
        <f t="shared" si="0"/>
        <v>14966</v>
      </c>
    </row>
    <row r="31" spans="1:12" ht="15" customHeight="1">
      <c r="A31" s="151" t="s">
        <v>7</v>
      </c>
      <c r="B31" s="406"/>
      <c r="C31" s="1560" t="s">
        <v>60</v>
      </c>
      <c r="D31" s="1561"/>
      <c r="E31" s="1562"/>
      <c r="F31" s="154"/>
      <c r="G31" s="154"/>
      <c r="H31" s="154"/>
      <c r="I31" s="154"/>
      <c r="J31" s="154"/>
      <c r="K31" s="154"/>
      <c r="L31" s="417"/>
    </row>
    <row r="32" spans="1:17" ht="15" customHeight="1">
      <c r="A32" s="151"/>
      <c r="B32" s="406" t="s">
        <v>110</v>
      </c>
      <c r="C32" s="53" t="s">
        <v>149</v>
      </c>
      <c r="D32" s="154">
        <v>1224</v>
      </c>
      <c r="E32" s="154"/>
      <c r="F32" s="154"/>
      <c r="G32" s="154"/>
      <c r="H32" s="154"/>
      <c r="I32" s="154"/>
      <c r="J32" s="154">
        <v>27847</v>
      </c>
      <c r="K32" s="154">
        <v>3457</v>
      </c>
      <c r="L32" s="417">
        <f t="shared" si="0"/>
        <v>32528</v>
      </c>
      <c r="Q32" s="818"/>
    </row>
    <row r="33" spans="1:12" ht="15" customHeight="1">
      <c r="A33" s="151"/>
      <c r="B33" s="406"/>
      <c r="C33" s="53" t="s">
        <v>150</v>
      </c>
      <c r="D33" s="154">
        <v>1424</v>
      </c>
      <c r="E33" s="154"/>
      <c r="F33" s="154"/>
      <c r="G33" s="154"/>
      <c r="H33" s="154"/>
      <c r="I33" s="154"/>
      <c r="J33" s="154">
        <v>34674</v>
      </c>
      <c r="K33" s="154">
        <v>3457</v>
      </c>
      <c r="L33" s="417">
        <f t="shared" si="0"/>
        <v>39555</v>
      </c>
    </row>
    <row r="34" spans="1:12" ht="15" customHeight="1" thickBot="1">
      <c r="A34" s="151"/>
      <c r="B34" s="406"/>
      <c r="C34" s="53" t="s">
        <v>151</v>
      </c>
      <c r="D34" s="154">
        <v>1285</v>
      </c>
      <c r="E34" s="154"/>
      <c r="F34" s="154"/>
      <c r="G34" s="154"/>
      <c r="H34" s="154"/>
      <c r="I34" s="154"/>
      <c r="J34" s="154">
        <v>34674</v>
      </c>
      <c r="K34" s="154">
        <v>3457</v>
      </c>
      <c r="L34" s="417">
        <f t="shared" si="0"/>
        <v>39416</v>
      </c>
    </row>
    <row r="35" spans="1:12" ht="16.5" customHeight="1" thickBot="1">
      <c r="A35" s="425"/>
      <c r="B35" s="421"/>
      <c r="C35" s="422" t="s">
        <v>786</v>
      </c>
      <c r="D35" s="423"/>
      <c r="E35" s="423"/>
      <c r="F35" s="423"/>
      <c r="G35" s="423"/>
      <c r="H35" s="423"/>
      <c r="I35" s="423"/>
      <c r="J35" s="423"/>
      <c r="K35" s="423"/>
      <c r="L35" s="424"/>
    </row>
    <row r="36" spans="1:12" ht="14.25" customHeight="1">
      <c r="A36" s="156"/>
      <c r="B36" s="407"/>
      <c r="C36" s="157" t="s">
        <v>149</v>
      </c>
      <c r="D36" s="158">
        <f>D11+D15+D19+D24+D28+D32</f>
        <v>69154</v>
      </c>
      <c r="E36" s="158">
        <f aca="true" t="shared" si="1" ref="E36:L36">E11+E15+E19+E24+E28+E32</f>
        <v>0</v>
      </c>
      <c r="F36" s="158">
        <f t="shared" si="1"/>
        <v>32560</v>
      </c>
      <c r="G36" s="158">
        <f t="shared" si="1"/>
        <v>31905</v>
      </c>
      <c r="H36" s="158">
        <f t="shared" si="1"/>
        <v>0</v>
      </c>
      <c r="I36" s="158">
        <f t="shared" si="1"/>
        <v>0</v>
      </c>
      <c r="J36" s="158">
        <f t="shared" si="1"/>
        <v>417455</v>
      </c>
      <c r="K36" s="158">
        <f t="shared" si="1"/>
        <v>25414</v>
      </c>
      <c r="L36" s="158">
        <f t="shared" si="1"/>
        <v>544583</v>
      </c>
    </row>
    <row r="37" spans="1:12" ht="14.25" customHeight="1">
      <c r="A37" s="159"/>
      <c r="B37" s="408"/>
      <c r="C37" s="157" t="s">
        <v>150</v>
      </c>
      <c r="D37" s="160">
        <f>D12+D16+D20+D25+D29+D33</f>
        <v>72554</v>
      </c>
      <c r="E37" s="160">
        <f aca="true" t="shared" si="2" ref="E37:L37">E12+E16+E20+E25+E29+E33</f>
        <v>0</v>
      </c>
      <c r="F37" s="160">
        <f t="shared" si="2"/>
        <v>41886</v>
      </c>
      <c r="G37" s="160">
        <f t="shared" si="2"/>
        <v>37140</v>
      </c>
      <c r="H37" s="160">
        <f t="shared" si="2"/>
        <v>560</v>
      </c>
      <c r="I37" s="160">
        <f t="shared" si="2"/>
        <v>1800</v>
      </c>
      <c r="J37" s="160">
        <f t="shared" si="2"/>
        <v>431843</v>
      </c>
      <c r="K37" s="160">
        <f t="shared" si="2"/>
        <v>25414</v>
      </c>
      <c r="L37" s="160">
        <f t="shared" si="2"/>
        <v>574057</v>
      </c>
    </row>
    <row r="38" spans="1:16" ht="14.25" customHeight="1" thickBot="1">
      <c r="A38" s="156"/>
      <c r="B38" s="407"/>
      <c r="C38" s="136" t="s">
        <v>151</v>
      </c>
      <c r="D38" s="158">
        <f>D13+D17+D21+D26+D30+D34</f>
        <v>68744</v>
      </c>
      <c r="E38" s="158">
        <f aca="true" t="shared" si="3" ref="E38:L38">E13+E17+E21+E26+E30+E34</f>
        <v>0</v>
      </c>
      <c r="F38" s="158">
        <f t="shared" si="3"/>
        <v>41189</v>
      </c>
      <c r="G38" s="158">
        <f t="shared" si="3"/>
        <v>37231</v>
      </c>
      <c r="H38" s="158">
        <f t="shared" si="3"/>
        <v>560</v>
      </c>
      <c r="I38" s="158">
        <f t="shared" si="3"/>
        <v>1800</v>
      </c>
      <c r="J38" s="158">
        <f t="shared" si="3"/>
        <v>431843</v>
      </c>
      <c r="K38" s="158">
        <f t="shared" si="3"/>
        <v>25414</v>
      </c>
      <c r="L38" s="158">
        <f t="shared" si="3"/>
        <v>569550</v>
      </c>
      <c r="P38" s="818"/>
    </row>
    <row r="39" spans="1:12" s="18" customFormat="1" ht="12.75" customHeight="1" thickBot="1" thickTop="1">
      <c r="A39" s="161" t="s">
        <v>4</v>
      </c>
      <c r="B39" s="409"/>
      <c r="C39" s="162" t="s">
        <v>132</v>
      </c>
      <c r="D39" s="163"/>
      <c r="E39" s="163"/>
      <c r="F39" s="163"/>
      <c r="G39" s="163"/>
      <c r="H39" s="163"/>
      <c r="I39" s="164"/>
      <c r="J39" s="164"/>
      <c r="K39" s="164"/>
      <c r="L39" s="165"/>
    </row>
    <row r="40" spans="1:14" ht="12.75">
      <c r="A40" s="166"/>
      <c r="B40" s="410"/>
      <c r="C40" s="90" t="s">
        <v>149</v>
      </c>
      <c r="D40" s="167">
        <v>5910</v>
      </c>
      <c r="E40" s="167"/>
      <c r="F40" s="167">
        <v>4007</v>
      </c>
      <c r="G40" s="167"/>
      <c r="H40" s="167"/>
      <c r="I40" s="168"/>
      <c r="J40" s="168">
        <v>213220</v>
      </c>
      <c r="K40" s="168">
        <v>29062</v>
      </c>
      <c r="L40" s="169">
        <f>SUM(D40:K40)</f>
        <v>252199</v>
      </c>
      <c r="N40" s="818"/>
    </row>
    <row r="41" spans="1:12" ht="12.75">
      <c r="A41" s="170"/>
      <c r="B41" s="411"/>
      <c r="C41" s="53" t="s">
        <v>150</v>
      </c>
      <c r="D41" s="171">
        <v>5910</v>
      </c>
      <c r="E41" s="171"/>
      <c r="F41" s="171">
        <v>6529</v>
      </c>
      <c r="G41" s="171"/>
      <c r="H41" s="171"/>
      <c r="I41" s="172"/>
      <c r="J41" s="172">
        <v>225726</v>
      </c>
      <c r="K41" s="172">
        <v>29062</v>
      </c>
      <c r="L41" s="173">
        <f>SUM(D41:K41)</f>
        <v>267227</v>
      </c>
    </row>
    <row r="42" spans="1:12" ht="13.5" thickBot="1">
      <c r="A42" s="174"/>
      <c r="B42" s="412"/>
      <c r="C42" s="92" t="s">
        <v>151</v>
      </c>
      <c r="D42" s="175">
        <f>810+3491</f>
        <v>4301</v>
      </c>
      <c r="E42" s="175"/>
      <c r="F42" s="175">
        <v>7990</v>
      </c>
      <c r="G42" s="175"/>
      <c r="H42" s="175"/>
      <c r="I42" s="176"/>
      <c r="J42" s="176">
        <v>225726</v>
      </c>
      <c r="K42" s="176">
        <v>29061</v>
      </c>
      <c r="L42" s="177">
        <f>SUM(D42:K42)</f>
        <v>267078</v>
      </c>
    </row>
    <row r="44" ht="12.75">
      <c r="J44" s="742"/>
    </row>
    <row r="45" ht="12.75">
      <c r="G45" s="755"/>
    </row>
    <row r="46" spans="6:10" ht="12.75">
      <c r="F46" s="755"/>
      <c r="J46" s="742"/>
    </row>
    <row r="47" ht="12.75">
      <c r="J47" s="742"/>
    </row>
    <row r="49" ht="12.75">
      <c r="D49" s="755"/>
    </row>
    <row r="50" ht="12.75">
      <c r="J50" s="742"/>
    </row>
  </sheetData>
  <sheetProtection/>
  <mergeCells count="18">
    <mergeCell ref="G1:L1"/>
    <mergeCell ref="C22:E22"/>
    <mergeCell ref="C10:D10"/>
    <mergeCell ref="C23:D23"/>
    <mergeCell ref="B5:B8"/>
    <mergeCell ref="J5:K5"/>
    <mergeCell ref="I5:I8"/>
    <mergeCell ref="J6:J8"/>
    <mergeCell ref="C31:E31"/>
    <mergeCell ref="K4:L4"/>
    <mergeCell ref="D5:D8"/>
    <mergeCell ref="F5:F8"/>
    <mergeCell ref="G5:G8"/>
    <mergeCell ref="C18:D18"/>
    <mergeCell ref="C9:E9"/>
    <mergeCell ref="H5:H8"/>
    <mergeCell ref="E5:E8"/>
    <mergeCell ref="K6:K8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9"/>
  <sheetViews>
    <sheetView view="pageBreakPreview" zoomScaleNormal="114" zoomScaleSheetLayoutView="100" workbookViewId="0" topLeftCell="A1">
      <selection activeCell="L1" sqref="L1:R1"/>
    </sheetView>
  </sheetViews>
  <sheetFormatPr defaultColWidth="9.00390625" defaultRowHeight="12.75" customHeight="1"/>
  <cols>
    <col min="1" max="1" width="4.00390625" style="181" customWidth="1"/>
    <col min="2" max="2" width="3.375" style="182" customWidth="1"/>
    <col min="3" max="3" width="6.00390625" style="183" customWidth="1"/>
    <col min="4" max="4" width="37.75390625" style="182" customWidth="1"/>
    <col min="5" max="5" width="8.125" style="184" customWidth="1"/>
    <col min="6" max="6" width="8.875" style="184" customWidth="1"/>
    <col min="7" max="7" width="8.625" style="182" customWidth="1"/>
    <col min="8" max="8" width="7.25390625" style="184" customWidth="1"/>
    <col min="9" max="9" width="10.00390625" style="184" customWidth="1"/>
    <col min="10" max="10" width="8.875" style="184" customWidth="1"/>
    <col min="11" max="11" width="7.875" style="184" customWidth="1"/>
    <col min="12" max="12" width="9.875" style="314" bestFit="1" customWidth="1"/>
    <col min="13" max="13" width="8.875" style="184" bestFit="1" customWidth="1"/>
    <col min="14" max="14" width="9.875" style="184" customWidth="1"/>
    <col min="15" max="15" width="9.25390625" style="184" customWidth="1"/>
    <col min="16" max="16" width="7.625" style="184" customWidth="1"/>
    <col min="17" max="17" width="9.75390625" style="314" customWidth="1"/>
    <col min="18" max="18" width="7.375" style="485" bestFit="1" customWidth="1"/>
    <col min="19" max="16384" width="9.125" style="15" customWidth="1"/>
  </cols>
  <sheetData>
    <row r="1" spans="12:18" ht="12.75" customHeight="1">
      <c r="L1" s="1931" t="s">
        <v>1076</v>
      </c>
      <c r="M1" s="1930"/>
      <c r="N1" s="1930"/>
      <c r="O1" s="1930"/>
      <c r="P1" s="1930"/>
      <c r="Q1" s="1930"/>
      <c r="R1" s="1930"/>
    </row>
    <row r="2" spans="12:18" ht="12.75" customHeight="1">
      <c r="L2" s="185"/>
      <c r="M2" s="1640"/>
      <c r="N2" s="1640"/>
      <c r="O2" s="1640"/>
      <c r="P2" s="1640"/>
      <c r="Q2" s="1640"/>
      <c r="R2" s="1640"/>
    </row>
    <row r="3" spans="12:18" ht="12.75" customHeight="1">
      <c r="L3" s="185"/>
      <c r="M3" s="186"/>
      <c r="N3" s="186"/>
      <c r="O3" s="186"/>
      <c r="P3" s="186"/>
      <c r="Q3" s="185"/>
      <c r="R3" s="470"/>
    </row>
    <row r="4" spans="12:18" ht="5.25" customHeight="1">
      <c r="L4" s="185"/>
      <c r="M4" s="186"/>
      <c r="N4" s="186"/>
      <c r="O4" s="186"/>
      <c r="P4" s="186"/>
      <c r="Q4" s="185"/>
      <c r="R4" s="470"/>
    </row>
    <row r="5" spans="12:18" ht="12.75" customHeight="1" thickBot="1">
      <c r="L5" s="185"/>
      <c r="M5" s="186"/>
      <c r="N5" s="186"/>
      <c r="O5" s="186"/>
      <c r="P5" s="186"/>
      <c r="Q5" s="1049" t="s">
        <v>2</v>
      </c>
      <c r="R5" s="471"/>
    </row>
    <row r="6" spans="1:18" s="315" customFormat="1" ht="32.25" customHeight="1">
      <c r="A6" s="1622" t="s">
        <v>34</v>
      </c>
      <c r="B6" s="1623"/>
      <c r="C6" s="1579" t="s">
        <v>192</v>
      </c>
      <c r="D6" s="32" t="s">
        <v>37</v>
      </c>
      <c r="E6" s="32" t="s">
        <v>38</v>
      </c>
      <c r="F6" s="34" t="s">
        <v>155</v>
      </c>
      <c r="G6" s="32" t="s">
        <v>39</v>
      </c>
      <c r="H6" s="511" t="s">
        <v>40</v>
      </c>
      <c r="I6" s="1641" t="s">
        <v>90</v>
      </c>
      <c r="J6" s="1642"/>
      <c r="K6" s="1643"/>
      <c r="L6" s="32" t="s">
        <v>16</v>
      </c>
      <c r="M6" s="32" t="s">
        <v>41</v>
      </c>
      <c r="N6" s="1607" t="s">
        <v>32</v>
      </c>
      <c r="O6" s="1608"/>
      <c r="P6" s="1609"/>
      <c r="Q6" s="32" t="s">
        <v>23</v>
      </c>
      <c r="R6" s="472" t="s">
        <v>42</v>
      </c>
    </row>
    <row r="7" spans="1:18" s="315" customFormat="1" ht="32.25" customHeight="1">
      <c r="A7" s="1624" t="s">
        <v>43</v>
      </c>
      <c r="B7" s="1625"/>
      <c r="C7" s="1580"/>
      <c r="D7" s="36" t="s">
        <v>44</v>
      </c>
      <c r="E7" s="36" t="s">
        <v>91</v>
      </c>
      <c r="F7" s="35" t="s">
        <v>118</v>
      </c>
      <c r="G7" s="36" t="s">
        <v>45</v>
      </c>
      <c r="H7" s="512" t="s">
        <v>46</v>
      </c>
      <c r="I7" s="1634" t="s">
        <v>203</v>
      </c>
      <c r="J7" s="1598" t="s">
        <v>204</v>
      </c>
      <c r="K7" s="1634" t="s">
        <v>154</v>
      </c>
      <c r="L7" s="35" t="s">
        <v>47</v>
      </c>
      <c r="M7" s="36" t="s">
        <v>48</v>
      </c>
      <c r="N7" s="1598" t="s">
        <v>203</v>
      </c>
      <c r="O7" s="1598" t="s">
        <v>204</v>
      </c>
      <c r="P7" s="1598" t="s">
        <v>154</v>
      </c>
      <c r="Q7" s="36" t="s">
        <v>3</v>
      </c>
      <c r="R7" s="473" t="s">
        <v>49</v>
      </c>
    </row>
    <row r="8" spans="1:18" s="315" customFormat="1" ht="21" customHeight="1" thickBot="1">
      <c r="A8" s="1626" t="s">
        <v>50</v>
      </c>
      <c r="B8" s="1627"/>
      <c r="C8" s="1581"/>
      <c r="D8" s="33"/>
      <c r="E8" s="33"/>
      <c r="F8" s="37" t="s">
        <v>153</v>
      </c>
      <c r="G8" s="33" t="s">
        <v>55</v>
      </c>
      <c r="H8" s="513" t="s">
        <v>92</v>
      </c>
      <c r="I8" s="1610"/>
      <c r="J8" s="1599"/>
      <c r="K8" s="1599"/>
      <c r="L8" s="33" t="s">
        <v>3</v>
      </c>
      <c r="M8" s="33" t="s">
        <v>51</v>
      </c>
      <c r="N8" s="1610"/>
      <c r="O8" s="1599"/>
      <c r="P8" s="1599"/>
      <c r="Q8" s="33"/>
      <c r="R8" s="474"/>
    </row>
    <row r="9" spans="1:18" ht="11.25" customHeight="1">
      <c r="A9" s="193" t="s">
        <v>4</v>
      </c>
      <c r="B9" s="194"/>
      <c r="C9" s="195"/>
      <c r="D9" s="196" t="s">
        <v>159</v>
      </c>
      <c r="E9" s="356"/>
      <c r="F9" s="356"/>
      <c r="G9" s="194"/>
      <c r="H9" s="356"/>
      <c r="I9" s="356"/>
      <c r="J9" s="356"/>
      <c r="K9" s="356"/>
      <c r="L9" s="284"/>
      <c r="M9" s="357"/>
      <c r="N9" s="357"/>
      <c r="O9" s="357"/>
      <c r="P9" s="357"/>
      <c r="Q9" s="200"/>
      <c r="R9" s="365"/>
    </row>
    <row r="10" spans="1:18" ht="11.25" customHeight="1">
      <c r="A10" s="193"/>
      <c r="B10" s="194"/>
      <c r="C10" s="195"/>
      <c r="D10" s="155" t="s">
        <v>149</v>
      </c>
      <c r="E10" s="194">
        <f aca="true" t="shared" si="0" ref="E10:K12">E14+E18</f>
        <v>127011</v>
      </c>
      <c r="F10" s="194">
        <f t="shared" si="0"/>
        <v>35944</v>
      </c>
      <c r="G10" s="194">
        <f t="shared" si="0"/>
        <v>57312</v>
      </c>
      <c r="H10" s="194">
        <f t="shared" si="0"/>
        <v>150</v>
      </c>
      <c r="I10" s="194">
        <f>I14+I18</f>
        <v>0</v>
      </c>
      <c r="J10" s="194">
        <f>J14+J18</f>
        <v>13046</v>
      </c>
      <c r="K10" s="194">
        <f t="shared" si="0"/>
        <v>0</v>
      </c>
      <c r="L10" s="220">
        <f>SUM(E10:K10)</f>
        <v>233463</v>
      </c>
      <c r="M10" s="194">
        <f aca="true" t="shared" si="1" ref="M10:R12">M14+M18</f>
        <v>0</v>
      </c>
      <c r="N10" s="194">
        <f t="shared" si="1"/>
        <v>0</v>
      </c>
      <c r="O10" s="194">
        <f t="shared" si="1"/>
        <v>0</v>
      </c>
      <c r="P10" s="194">
        <f t="shared" si="1"/>
        <v>0</v>
      </c>
      <c r="Q10" s="200">
        <f t="shared" si="1"/>
        <v>233463</v>
      </c>
      <c r="R10" s="365">
        <f t="shared" si="1"/>
        <v>59.25</v>
      </c>
    </row>
    <row r="11" spans="1:18" ht="11.25" customHeight="1">
      <c r="A11" s="193"/>
      <c r="B11" s="194"/>
      <c r="C11" s="195"/>
      <c r="D11" s="155" t="s">
        <v>150</v>
      </c>
      <c r="E11" s="194">
        <f t="shared" si="0"/>
        <v>134160</v>
      </c>
      <c r="F11" s="194">
        <f t="shared" si="0"/>
        <v>38317</v>
      </c>
      <c r="G11" s="194">
        <f t="shared" si="0"/>
        <v>59155</v>
      </c>
      <c r="H11" s="194">
        <f t="shared" si="0"/>
        <v>180</v>
      </c>
      <c r="I11" s="194">
        <f t="shared" si="0"/>
        <v>0</v>
      </c>
      <c r="J11" s="194">
        <f t="shared" si="0"/>
        <v>13046</v>
      </c>
      <c r="K11" s="194">
        <f t="shared" si="0"/>
        <v>0</v>
      </c>
      <c r="L11" s="220">
        <f>SUM(E11:K11)</f>
        <v>244858</v>
      </c>
      <c r="M11" s="194">
        <f t="shared" si="1"/>
        <v>0</v>
      </c>
      <c r="N11" s="194">
        <f t="shared" si="1"/>
        <v>0</v>
      </c>
      <c r="O11" s="194">
        <f t="shared" si="1"/>
        <v>0</v>
      </c>
      <c r="P11" s="194">
        <f t="shared" si="1"/>
        <v>0</v>
      </c>
      <c r="Q11" s="200">
        <f t="shared" si="1"/>
        <v>244858</v>
      </c>
      <c r="R11" s="365">
        <f t="shared" si="1"/>
        <v>56.25</v>
      </c>
    </row>
    <row r="12" spans="1:18" ht="11.25" customHeight="1">
      <c r="A12" s="193"/>
      <c r="B12" s="194"/>
      <c r="C12" s="195"/>
      <c r="D12" s="155" t="s">
        <v>151</v>
      </c>
      <c r="E12" s="194">
        <f t="shared" si="0"/>
        <v>132387</v>
      </c>
      <c r="F12" s="194">
        <f t="shared" si="0"/>
        <v>37654</v>
      </c>
      <c r="G12" s="194">
        <f>G16+G20</f>
        <v>56545</v>
      </c>
      <c r="H12" s="194">
        <f t="shared" si="0"/>
        <v>180</v>
      </c>
      <c r="I12" s="194">
        <f t="shared" si="0"/>
        <v>0</v>
      </c>
      <c r="J12" s="194">
        <f t="shared" si="0"/>
        <v>13046</v>
      </c>
      <c r="K12" s="194">
        <f t="shared" si="0"/>
        <v>0</v>
      </c>
      <c r="L12" s="220">
        <f>SUM(E12:K12)</f>
        <v>239812</v>
      </c>
      <c r="M12" s="194">
        <f t="shared" si="1"/>
        <v>0</v>
      </c>
      <c r="N12" s="194">
        <f t="shared" si="1"/>
        <v>0</v>
      </c>
      <c r="O12" s="194">
        <f t="shared" si="1"/>
        <v>0</v>
      </c>
      <c r="P12" s="194">
        <f t="shared" si="1"/>
        <v>0</v>
      </c>
      <c r="Q12" s="200">
        <f t="shared" si="1"/>
        <v>239812</v>
      </c>
      <c r="R12" s="365">
        <f t="shared" si="1"/>
        <v>53</v>
      </c>
    </row>
    <row r="13" spans="1:18" s="20" customFormat="1" ht="12.75" customHeight="1">
      <c r="A13" s="384"/>
      <c r="B13" s="385" t="s">
        <v>4</v>
      </c>
      <c r="C13" s="386" t="s">
        <v>110</v>
      </c>
      <c r="D13" s="379" t="s">
        <v>174</v>
      </c>
      <c r="E13" s="387"/>
      <c r="F13" s="388"/>
      <c r="G13" s="387"/>
      <c r="H13" s="388"/>
      <c r="I13" s="388"/>
      <c r="J13" s="388"/>
      <c r="K13" s="388"/>
      <c r="L13" s="381"/>
      <c r="M13" s="388"/>
      <c r="N13" s="388"/>
      <c r="O13" s="388"/>
      <c r="P13" s="388"/>
      <c r="Q13" s="389"/>
      <c r="R13" s="391"/>
    </row>
    <row r="14" spans="1:18" s="20" customFormat="1" ht="10.5" customHeight="1">
      <c r="A14" s="384"/>
      <c r="B14" s="385"/>
      <c r="C14" s="386"/>
      <c r="D14" s="382" t="s">
        <v>149</v>
      </c>
      <c r="E14" s="387">
        <v>67779</v>
      </c>
      <c r="F14" s="388">
        <v>19098</v>
      </c>
      <c r="G14" s="387">
        <v>14947</v>
      </c>
      <c r="H14" s="388"/>
      <c r="I14" s="388"/>
      <c r="J14" s="388">
        <v>13046</v>
      </c>
      <c r="K14" s="388"/>
      <c r="L14" s="380">
        <f>SUM(E14:K14)</f>
        <v>114870</v>
      </c>
      <c r="M14" s="388"/>
      <c r="N14" s="388"/>
      <c r="O14" s="388"/>
      <c r="P14" s="388"/>
      <c r="Q14" s="387">
        <f>SUM(L14:P14)</f>
        <v>114870</v>
      </c>
      <c r="R14" s="391">
        <v>35.5</v>
      </c>
    </row>
    <row r="15" spans="1:18" s="20" customFormat="1" ht="10.5" customHeight="1">
      <c r="A15" s="384"/>
      <c r="B15" s="385"/>
      <c r="C15" s="386"/>
      <c r="D15" s="382" t="s">
        <v>150</v>
      </c>
      <c r="E15" s="387">
        <v>73542</v>
      </c>
      <c r="F15" s="388">
        <v>21137</v>
      </c>
      <c r="G15" s="387">
        <v>16230</v>
      </c>
      <c r="H15" s="388"/>
      <c r="I15" s="388"/>
      <c r="J15" s="388">
        <v>13046</v>
      </c>
      <c r="K15" s="388"/>
      <c r="L15" s="380">
        <f>SUM(E15:K15)</f>
        <v>123955</v>
      </c>
      <c r="M15" s="388"/>
      <c r="N15" s="388"/>
      <c r="O15" s="388"/>
      <c r="P15" s="388"/>
      <c r="Q15" s="387">
        <f aca="true" t="shared" si="2" ref="Q15:Q36">SUM(L15:P15)</f>
        <v>123955</v>
      </c>
      <c r="R15" s="391">
        <v>32.5</v>
      </c>
    </row>
    <row r="16" spans="1:18" s="20" customFormat="1" ht="10.5" customHeight="1">
      <c r="A16" s="384"/>
      <c r="B16" s="385"/>
      <c r="C16" s="386"/>
      <c r="D16" s="382" t="s">
        <v>151</v>
      </c>
      <c r="E16" s="387">
        <f>132387-E20</f>
        <v>72758</v>
      </c>
      <c r="F16" s="388">
        <f>37654-F20</f>
        <v>20779</v>
      </c>
      <c r="G16" s="387">
        <f>56545-G20</f>
        <v>14289</v>
      </c>
      <c r="H16" s="388"/>
      <c r="I16" s="388"/>
      <c r="J16" s="388">
        <v>13046</v>
      </c>
      <c r="K16" s="388"/>
      <c r="L16" s="380">
        <f>SUM(E16:K16)</f>
        <v>120872</v>
      </c>
      <c r="M16" s="388"/>
      <c r="N16" s="388"/>
      <c r="O16" s="388"/>
      <c r="P16" s="388"/>
      <c r="Q16" s="387">
        <f t="shared" si="2"/>
        <v>120872</v>
      </c>
      <c r="R16" s="391">
        <v>29.25</v>
      </c>
    </row>
    <row r="17" spans="1:18" s="20" customFormat="1" ht="11.25" customHeight="1">
      <c r="A17" s="384"/>
      <c r="B17" s="385" t="s">
        <v>5</v>
      </c>
      <c r="C17" s="386" t="s">
        <v>111</v>
      </c>
      <c r="D17" s="390" t="s">
        <v>152</v>
      </c>
      <c r="E17" s="387"/>
      <c r="F17" s="388"/>
      <c r="G17" s="387"/>
      <c r="H17" s="388"/>
      <c r="I17" s="388"/>
      <c r="J17" s="388"/>
      <c r="K17" s="388"/>
      <c r="L17" s="380"/>
      <c r="M17" s="388"/>
      <c r="N17" s="388"/>
      <c r="O17" s="388"/>
      <c r="P17" s="388"/>
      <c r="Q17" s="387"/>
      <c r="R17" s="391"/>
    </row>
    <row r="18" spans="1:18" s="20" customFormat="1" ht="11.25" customHeight="1">
      <c r="A18" s="384"/>
      <c r="B18" s="385"/>
      <c r="C18" s="386"/>
      <c r="D18" s="382" t="s">
        <v>149</v>
      </c>
      <c r="E18" s="387">
        <v>59232</v>
      </c>
      <c r="F18" s="388">
        <v>16846</v>
      </c>
      <c r="G18" s="387">
        <v>42365</v>
      </c>
      <c r="H18" s="388">
        <v>150</v>
      </c>
      <c r="I18" s="388"/>
      <c r="J18" s="388">
        <v>0</v>
      </c>
      <c r="K18" s="388"/>
      <c r="L18" s="380">
        <f>SUM(E18:K18)</f>
        <v>118593</v>
      </c>
      <c r="M18" s="388"/>
      <c r="N18" s="388"/>
      <c r="O18" s="388"/>
      <c r="P18" s="388"/>
      <c r="Q18" s="387">
        <f t="shared" si="2"/>
        <v>118593</v>
      </c>
      <c r="R18" s="391">
        <v>23.75</v>
      </c>
    </row>
    <row r="19" spans="1:18" s="20" customFormat="1" ht="11.25" customHeight="1">
      <c r="A19" s="384"/>
      <c r="B19" s="385"/>
      <c r="C19" s="386"/>
      <c r="D19" s="382" t="s">
        <v>150</v>
      </c>
      <c r="E19" s="387">
        <v>60618</v>
      </c>
      <c r="F19" s="388">
        <v>17180</v>
      </c>
      <c r="G19" s="387">
        <v>42925</v>
      </c>
      <c r="H19" s="388">
        <v>180</v>
      </c>
      <c r="I19" s="388"/>
      <c r="J19" s="388">
        <v>0</v>
      </c>
      <c r="K19" s="388"/>
      <c r="L19" s="380">
        <f>SUM(E19:K19)</f>
        <v>120903</v>
      </c>
      <c r="M19" s="388"/>
      <c r="N19" s="388"/>
      <c r="O19" s="388"/>
      <c r="P19" s="388"/>
      <c r="Q19" s="387">
        <f t="shared" si="2"/>
        <v>120903</v>
      </c>
      <c r="R19" s="391">
        <v>23.75</v>
      </c>
    </row>
    <row r="20" spans="1:18" s="20" customFormat="1" ht="11.25" customHeight="1">
      <c r="A20" s="384"/>
      <c r="B20" s="385"/>
      <c r="C20" s="386"/>
      <c r="D20" s="382" t="s">
        <v>151</v>
      </c>
      <c r="E20" s="387">
        <v>59629</v>
      </c>
      <c r="F20" s="388">
        <v>16875</v>
      </c>
      <c r="G20" s="387">
        <v>42256</v>
      </c>
      <c r="H20" s="388">
        <v>180</v>
      </c>
      <c r="I20" s="388"/>
      <c r="J20" s="388"/>
      <c r="K20" s="388"/>
      <c r="L20" s="380">
        <f>SUM(E20:K20)</f>
        <v>118940</v>
      </c>
      <c r="M20" s="388"/>
      <c r="N20" s="388"/>
      <c r="O20" s="388"/>
      <c r="P20" s="388"/>
      <c r="Q20" s="387">
        <f t="shared" si="2"/>
        <v>118940</v>
      </c>
      <c r="R20" s="391">
        <v>23.75</v>
      </c>
    </row>
    <row r="21" spans="1:18" ht="11.25" customHeight="1">
      <c r="A21" s="193" t="s">
        <v>5</v>
      </c>
      <c r="B21" s="199"/>
      <c r="C21" s="195" t="s">
        <v>110</v>
      </c>
      <c r="D21" s="196" t="s">
        <v>160</v>
      </c>
      <c r="E21" s="198"/>
      <c r="F21" s="198"/>
      <c r="G21" s="194"/>
      <c r="H21" s="198"/>
      <c r="I21" s="198"/>
      <c r="J21" s="198"/>
      <c r="K21" s="198"/>
      <c r="L21" s="220"/>
      <c r="M21" s="198"/>
      <c r="N21" s="198"/>
      <c r="O21" s="198"/>
      <c r="P21" s="198"/>
      <c r="Q21" s="200"/>
      <c r="R21" s="364"/>
    </row>
    <row r="22" spans="1:18" ht="11.25" customHeight="1">
      <c r="A22" s="193"/>
      <c r="B22" s="199"/>
      <c r="C22" s="195"/>
      <c r="D22" s="155" t="s">
        <v>149</v>
      </c>
      <c r="E22" s="198">
        <v>166851</v>
      </c>
      <c r="F22" s="198">
        <v>47939</v>
      </c>
      <c r="G22" s="194">
        <v>16260</v>
      </c>
      <c r="H22" s="198"/>
      <c r="I22" s="198"/>
      <c r="J22" s="198">
        <v>3674</v>
      </c>
      <c r="K22" s="198"/>
      <c r="L22" s="220">
        <f>SUM(E22:K22)</f>
        <v>234724</v>
      </c>
      <c r="M22" s="198"/>
      <c r="N22" s="198"/>
      <c r="O22" s="198"/>
      <c r="P22" s="198"/>
      <c r="Q22" s="200">
        <f t="shared" si="2"/>
        <v>234724</v>
      </c>
      <c r="R22" s="364">
        <v>55</v>
      </c>
    </row>
    <row r="23" spans="1:18" ht="11.25" customHeight="1">
      <c r="A23" s="193"/>
      <c r="B23" s="199"/>
      <c r="C23" s="195"/>
      <c r="D23" s="155" t="s">
        <v>150</v>
      </c>
      <c r="E23" s="198">
        <v>171212</v>
      </c>
      <c r="F23" s="198">
        <v>49055</v>
      </c>
      <c r="G23" s="194">
        <v>18501</v>
      </c>
      <c r="H23" s="198"/>
      <c r="I23" s="198"/>
      <c r="J23" s="198">
        <v>3674</v>
      </c>
      <c r="K23" s="198"/>
      <c r="L23" s="220">
        <f>SUM(E23:K23)</f>
        <v>242442</v>
      </c>
      <c r="M23" s="198"/>
      <c r="N23" s="198"/>
      <c r="O23" s="198"/>
      <c r="P23" s="198"/>
      <c r="Q23" s="200">
        <f t="shared" si="2"/>
        <v>242442</v>
      </c>
      <c r="R23" s="364">
        <v>55</v>
      </c>
    </row>
    <row r="24" spans="1:18" ht="11.25" customHeight="1">
      <c r="A24" s="193"/>
      <c r="B24" s="199"/>
      <c r="C24" s="195"/>
      <c r="D24" s="155" t="s">
        <v>151</v>
      </c>
      <c r="E24" s="198">
        <v>166986</v>
      </c>
      <c r="F24" s="198">
        <v>47783</v>
      </c>
      <c r="G24" s="194">
        <v>14085</v>
      </c>
      <c r="H24" s="198"/>
      <c r="I24" s="198"/>
      <c r="J24" s="198">
        <v>3673</v>
      </c>
      <c r="K24" s="198"/>
      <c r="L24" s="220">
        <f>SUM(E24:K24)</f>
        <v>232527</v>
      </c>
      <c r="M24" s="198"/>
      <c r="N24" s="198"/>
      <c r="O24" s="198"/>
      <c r="P24" s="198"/>
      <c r="Q24" s="200">
        <f t="shared" si="2"/>
        <v>232527</v>
      </c>
      <c r="R24" s="364">
        <v>56</v>
      </c>
    </row>
    <row r="25" spans="1:18" ht="11.25" customHeight="1">
      <c r="A25" s="193" t="s">
        <v>6</v>
      </c>
      <c r="B25" s="199"/>
      <c r="C25" s="195"/>
      <c r="D25" s="196" t="s">
        <v>61</v>
      </c>
      <c r="E25" s="198"/>
      <c r="F25" s="198"/>
      <c r="G25" s="198"/>
      <c r="H25" s="198"/>
      <c r="I25" s="198"/>
      <c r="J25" s="198"/>
      <c r="K25" s="198"/>
      <c r="L25" s="220"/>
      <c r="M25" s="198"/>
      <c r="N25" s="198"/>
      <c r="O25" s="198"/>
      <c r="P25" s="198"/>
      <c r="Q25" s="200"/>
      <c r="R25" s="364"/>
    </row>
    <row r="26" spans="1:18" ht="11.25" customHeight="1">
      <c r="A26" s="193"/>
      <c r="B26" s="199"/>
      <c r="C26" s="195"/>
      <c r="D26" s="155" t="s">
        <v>149</v>
      </c>
      <c r="E26" s="198">
        <f aca="true" t="shared" si="3" ref="E26:J26">E30+E34</f>
        <v>24259</v>
      </c>
      <c r="F26" s="198">
        <f t="shared" si="3"/>
        <v>6517</v>
      </c>
      <c r="G26" s="198">
        <f t="shared" si="3"/>
        <v>11217</v>
      </c>
      <c r="H26" s="198">
        <f t="shared" si="3"/>
        <v>0</v>
      </c>
      <c r="I26" s="198">
        <f t="shared" si="3"/>
        <v>0</v>
      </c>
      <c r="J26" s="198">
        <f t="shared" si="3"/>
        <v>1875</v>
      </c>
      <c r="K26" s="198">
        <f aca="true" t="shared" si="4" ref="K26:P26">K30+K34</f>
        <v>0</v>
      </c>
      <c r="L26" s="272">
        <f t="shared" si="4"/>
        <v>43868</v>
      </c>
      <c r="M26" s="198">
        <f t="shared" si="4"/>
        <v>0</v>
      </c>
      <c r="N26" s="198">
        <f t="shared" si="4"/>
        <v>0</v>
      </c>
      <c r="O26" s="198"/>
      <c r="P26" s="198">
        <f t="shared" si="4"/>
        <v>0</v>
      </c>
      <c r="Q26" s="200">
        <f t="shared" si="2"/>
        <v>43868</v>
      </c>
      <c r="R26" s="364">
        <f>R30+R34</f>
        <v>11</v>
      </c>
    </row>
    <row r="27" spans="1:18" ht="11.25" customHeight="1">
      <c r="A27" s="193"/>
      <c r="B27" s="199"/>
      <c r="C27" s="195"/>
      <c r="D27" s="155" t="s">
        <v>150</v>
      </c>
      <c r="E27" s="198">
        <f aca="true" t="shared" si="5" ref="E27:P28">E31+E35</f>
        <v>24554</v>
      </c>
      <c r="F27" s="198">
        <f t="shared" si="5"/>
        <v>6725</v>
      </c>
      <c r="G27" s="198">
        <f t="shared" si="5"/>
        <v>11548</v>
      </c>
      <c r="H27" s="198">
        <f t="shared" si="5"/>
        <v>0</v>
      </c>
      <c r="I27" s="198">
        <f t="shared" si="5"/>
        <v>0</v>
      </c>
      <c r="J27" s="198">
        <f>J31</f>
        <v>1875</v>
      </c>
      <c r="K27" s="198">
        <f t="shared" si="5"/>
        <v>0</v>
      </c>
      <c r="L27" s="272">
        <f t="shared" si="5"/>
        <v>44702</v>
      </c>
      <c r="M27" s="198">
        <f t="shared" si="5"/>
        <v>2500</v>
      </c>
      <c r="N27" s="198">
        <f t="shared" si="5"/>
        <v>0</v>
      </c>
      <c r="O27" s="198"/>
      <c r="P27" s="198">
        <f t="shared" si="5"/>
        <v>0</v>
      </c>
      <c r="Q27" s="200">
        <f t="shared" si="2"/>
        <v>47202</v>
      </c>
      <c r="R27" s="364">
        <f>R31+R35</f>
        <v>11</v>
      </c>
    </row>
    <row r="28" spans="1:18" ht="11.25" customHeight="1">
      <c r="A28" s="193"/>
      <c r="B28" s="199"/>
      <c r="C28" s="195"/>
      <c r="D28" s="155" t="s">
        <v>151</v>
      </c>
      <c r="E28" s="198">
        <f>E32+E36</f>
        <v>22542</v>
      </c>
      <c r="F28" s="198">
        <f aca="true" t="shared" si="6" ref="F28:K28">F32+F36</f>
        <v>5925</v>
      </c>
      <c r="G28" s="198">
        <f t="shared" si="6"/>
        <v>6966</v>
      </c>
      <c r="H28" s="198">
        <f t="shared" si="6"/>
        <v>0</v>
      </c>
      <c r="I28" s="198">
        <f t="shared" si="6"/>
        <v>0</v>
      </c>
      <c r="J28" s="198">
        <f t="shared" si="6"/>
        <v>1875</v>
      </c>
      <c r="K28" s="198">
        <f t="shared" si="6"/>
        <v>0</v>
      </c>
      <c r="L28" s="272">
        <f>L32+L36</f>
        <v>37308</v>
      </c>
      <c r="M28" s="198">
        <f>M32+M36</f>
        <v>2477</v>
      </c>
      <c r="N28" s="198">
        <f t="shared" si="5"/>
        <v>0</v>
      </c>
      <c r="O28" s="198"/>
      <c r="P28" s="198">
        <f t="shared" si="5"/>
        <v>0</v>
      </c>
      <c r="Q28" s="200">
        <f t="shared" si="2"/>
        <v>39785</v>
      </c>
      <c r="R28" s="364">
        <f>R32+R36</f>
        <v>11</v>
      </c>
    </row>
    <row r="29" spans="1:18" s="20" customFormat="1" ht="11.25" customHeight="1">
      <c r="A29" s="384"/>
      <c r="B29" s="385" t="s">
        <v>4</v>
      </c>
      <c r="C29" s="386" t="s">
        <v>111</v>
      </c>
      <c r="D29" s="379" t="s">
        <v>828</v>
      </c>
      <c r="E29" s="388"/>
      <c r="F29" s="388"/>
      <c r="G29" s="387"/>
      <c r="H29" s="388"/>
      <c r="I29" s="388"/>
      <c r="J29" s="388"/>
      <c r="K29" s="388"/>
      <c r="L29" s="381"/>
      <c r="M29" s="388"/>
      <c r="N29" s="388"/>
      <c r="O29" s="388"/>
      <c r="P29" s="388"/>
      <c r="Q29" s="389"/>
      <c r="R29" s="391"/>
    </row>
    <row r="30" spans="1:18" s="20" customFormat="1" ht="11.25" customHeight="1">
      <c r="A30" s="384"/>
      <c r="B30" s="385"/>
      <c r="C30" s="386"/>
      <c r="D30" s="382" t="s">
        <v>149</v>
      </c>
      <c r="E30" s="388">
        <v>14852</v>
      </c>
      <c r="F30" s="388">
        <v>3950</v>
      </c>
      <c r="G30" s="387">
        <v>5217</v>
      </c>
      <c r="H30" s="388"/>
      <c r="I30" s="388"/>
      <c r="J30" s="388">
        <v>1875</v>
      </c>
      <c r="K30" s="388"/>
      <c r="L30" s="380">
        <f>SUM(E30:K30)</f>
        <v>25894</v>
      </c>
      <c r="M30" s="388"/>
      <c r="N30" s="388"/>
      <c r="O30" s="388"/>
      <c r="P30" s="388"/>
      <c r="Q30" s="387">
        <f t="shared" si="2"/>
        <v>25894</v>
      </c>
      <c r="R30" s="391">
        <v>5</v>
      </c>
    </row>
    <row r="31" spans="1:18" s="20" customFormat="1" ht="11.25" customHeight="1">
      <c r="A31" s="384"/>
      <c r="B31" s="385"/>
      <c r="C31" s="386"/>
      <c r="D31" s="382" t="s">
        <v>150</v>
      </c>
      <c r="E31" s="388">
        <v>15147</v>
      </c>
      <c r="F31" s="388">
        <v>4158</v>
      </c>
      <c r="G31" s="387">
        <v>5548</v>
      </c>
      <c r="H31" s="388"/>
      <c r="I31" s="388"/>
      <c r="J31" s="388">
        <v>1875</v>
      </c>
      <c r="K31" s="388"/>
      <c r="L31" s="380">
        <f>SUM(E31:K31)</f>
        <v>26728</v>
      </c>
      <c r="M31" s="388"/>
      <c r="N31" s="388"/>
      <c r="O31" s="388"/>
      <c r="P31" s="388"/>
      <c r="Q31" s="387">
        <f t="shared" si="2"/>
        <v>26728</v>
      </c>
      <c r="R31" s="391">
        <v>5</v>
      </c>
    </row>
    <row r="32" spans="1:18" s="20" customFormat="1" ht="11.25" customHeight="1">
      <c r="A32" s="384"/>
      <c r="B32" s="385"/>
      <c r="C32" s="386"/>
      <c r="D32" s="382" t="s">
        <v>151</v>
      </c>
      <c r="E32" s="388">
        <f>22542-E36</f>
        <v>14538</v>
      </c>
      <c r="F32" s="388">
        <f>5925-F36</f>
        <v>3754</v>
      </c>
      <c r="G32" s="387">
        <f>6966-G36</f>
        <v>5251</v>
      </c>
      <c r="H32" s="388"/>
      <c r="I32" s="388"/>
      <c r="J32" s="388">
        <v>1875</v>
      </c>
      <c r="K32" s="388"/>
      <c r="L32" s="380">
        <f>SUM(E32:K32)</f>
        <v>25418</v>
      </c>
      <c r="M32" s="388"/>
      <c r="N32" s="388"/>
      <c r="O32" s="388"/>
      <c r="P32" s="388"/>
      <c r="Q32" s="387">
        <f t="shared" si="2"/>
        <v>25418</v>
      </c>
      <c r="R32" s="391">
        <v>5</v>
      </c>
    </row>
    <row r="33" spans="1:18" s="20" customFormat="1" ht="11.25" customHeight="1">
      <c r="A33" s="384"/>
      <c r="B33" s="385" t="s">
        <v>5</v>
      </c>
      <c r="C33" s="386" t="s">
        <v>111</v>
      </c>
      <c r="D33" s="390" t="s">
        <v>829</v>
      </c>
      <c r="E33" s="388"/>
      <c r="F33" s="388"/>
      <c r="G33" s="387"/>
      <c r="H33" s="388"/>
      <c r="I33" s="388"/>
      <c r="J33" s="388"/>
      <c r="K33" s="388"/>
      <c r="L33" s="380"/>
      <c r="M33" s="388"/>
      <c r="N33" s="388"/>
      <c r="O33" s="388"/>
      <c r="P33" s="388"/>
      <c r="Q33" s="387"/>
      <c r="R33" s="391"/>
    </row>
    <row r="34" spans="1:18" s="20" customFormat="1" ht="11.25" customHeight="1">
      <c r="A34" s="384"/>
      <c r="B34" s="385"/>
      <c r="C34" s="386"/>
      <c r="D34" s="382" t="s">
        <v>149</v>
      </c>
      <c r="E34" s="388">
        <v>9407</v>
      </c>
      <c r="F34" s="388">
        <v>2567</v>
      </c>
      <c r="G34" s="387">
        <v>6000</v>
      </c>
      <c r="H34" s="388"/>
      <c r="I34" s="388"/>
      <c r="J34" s="388">
        <v>0</v>
      </c>
      <c r="K34" s="388"/>
      <c r="L34" s="380">
        <f>SUM(E34:K34)</f>
        <v>17974</v>
      </c>
      <c r="M34" s="388">
        <v>0</v>
      </c>
      <c r="N34" s="388"/>
      <c r="O34" s="388"/>
      <c r="P34" s="388"/>
      <c r="Q34" s="387">
        <f t="shared" si="2"/>
        <v>17974</v>
      </c>
      <c r="R34" s="391">
        <v>6</v>
      </c>
    </row>
    <row r="35" spans="1:18" s="20" customFormat="1" ht="11.25" customHeight="1">
      <c r="A35" s="384"/>
      <c r="B35" s="385"/>
      <c r="C35" s="386"/>
      <c r="D35" s="382" t="s">
        <v>150</v>
      </c>
      <c r="E35" s="388">
        <v>9407</v>
      </c>
      <c r="F35" s="388">
        <v>2567</v>
      </c>
      <c r="G35" s="387">
        <v>6000</v>
      </c>
      <c r="H35" s="388"/>
      <c r="I35" s="388"/>
      <c r="J35" s="388">
        <v>0</v>
      </c>
      <c r="K35" s="388"/>
      <c r="L35" s="380">
        <f>SUM(E35:K35)</f>
        <v>17974</v>
      </c>
      <c r="M35" s="388">
        <v>2500</v>
      </c>
      <c r="N35" s="388"/>
      <c r="O35" s="388"/>
      <c r="P35" s="388"/>
      <c r="Q35" s="387">
        <f t="shared" si="2"/>
        <v>20474</v>
      </c>
      <c r="R35" s="391">
        <v>6</v>
      </c>
    </row>
    <row r="36" spans="1:18" s="20" customFormat="1" ht="11.25" customHeight="1">
      <c r="A36" s="384"/>
      <c r="B36" s="385"/>
      <c r="C36" s="386"/>
      <c r="D36" s="382" t="s">
        <v>151</v>
      </c>
      <c r="E36" s="388">
        <v>8004</v>
      </c>
      <c r="F36" s="388">
        <v>2171</v>
      </c>
      <c r="G36" s="387">
        <v>1715</v>
      </c>
      <c r="H36" s="388"/>
      <c r="I36" s="388"/>
      <c r="J36" s="388">
        <v>0</v>
      </c>
      <c r="K36" s="388"/>
      <c r="L36" s="380">
        <f>SUM(E36:K36)</f>
        <v>11890</v>
      </c>
      <c r="M36" s="388">
        <v>2477</v>
      </c>
      <c r="N36" s="388"/>
      <c r="O36" s="388"/>
      <c r="P36" s="388">
        <v>0</v>
      </c>
      <c r="Q36" s="387">
        <f t="shared" si="2"/>
        <v>14367</v>
      </c>
      <c r="R36" s="391">
        <v>6</v>
      </c>
    </row>
    <row r="37" spans="1:18" ht="11.25" customHeight="1">
      <c r="A37" s="193" t="s">
        <v>7</v>
      </c>
      <c r="B37" s="199"/>
      <c r="C37" s="195" t="s">
        <v>110</v>
      </c>
      <c r="D37" s="196" t="s">
        <v>60</v>
      </c>
      <c r="E37" s="198"/>
      <c r="F37" s="198"/>
      <c r="G37" s="198"/>
      <c r="H37" s="198"/>
      <c r="I37" s="198"/>
      <c r="J37" s="198"/>
      <c r="K37" s="198"/>
      <c r="L37" s="220"/>
      <c r="M37" s="198"/>
      <c r="N37" s="198"/>
      <c r="O37" s="198"/>
      <c r="P37" s="197"/>
      <c r="Q37" s="243"/>
      <c r="R37" s="453"/>
    </row>
    <row r="38" spans="1:18" ht="11.25" customHeight="1">
      <c r="A38" s="193"/>
      <c r="B38" s="199"/>
      <c r="C38" s="195"/>
      <c r="D38" s="155" t="s">
        <v>149</v>
      </c>
      <c r="E38" s="198">
        <v>16872</v>
      </c>
      <c r="F38" s="198">
        <v>4514</v>
      </c>
      <c r="G38" s="198">
        <v>9757</v>
      </c>
      <c r="H38" s="198">
        <v>0</v>
      </c>
      <c r="I38" s="198">
        <v>0</v>
      </c>
      <c r="J38" s="198">
        <v>1385</v>
      </c>
      <c r="K38" s="198">
        <v>0</v>
      </c>
      <c r="L38" s="272">
        <f>SUM(E38:K38)</f>
        <v>32528</v>
      </c>
      <c r="M38" s="198"/>
      <c r="N38" s="198">
        <v>0</v>
      </c>
      <c r="O38" s="198"/>
      <c r="P38" s="198">
        <v>0</v>
      </c>
      <c r="Q38" s="272">
        <f>SUM(L38:P38)</f>
        <v>32528</v>
      </c>
      <c r="R38" s="364">
        <v>7</v>
      </c>
    </row>
    <row r="39" spans="1:18" ht="11.25" customHeight="1">
      <c r="A39" s="193"/>
      <c r="B39" s="199"/>
      <c r="C39" s="195"/>
      <c r="D39" s="155" t="s">
        <v>150</v>
      </c>
      <c r="E39" s="198">
        <v>17678</v>
      </c>
      <c r="F39" s="198">
        <v>4964</v>
      </c>
      <c r="G39" s="198">
        <v>15528</v>
      </c>
      <c r="H39" s="198">
        <v>0</v>
      </c>
      <c r="I39" s="198">
        <v>0</v>
      </c>
      <c r="J39" s="198">
        <v>1385</v>
      </c>
      <c r="K39" s="198">
        <v>0</v>
      </c>
      <c r="L39" s="272">
        <f>SUM(E39:K39)</f>
        <v>39555</v>
      </c>
      <c r="M39" s="198"/>
      <c r="N39" s="198">
        <v>0</v>
      </c>
      <c r="O39" s="198"/>
      <c r="P39" s="198">
        <v>0</v>
      </c>
      <c r="Q39" s="272">
        <f>SUM(L39:P39)</f>
        <v>39555</v>
      </c>
      <c r="R39" s="364">
        <v>8</v>
      </c>
    </row>
    <row r="40" spans="1:18" ht="11.25" customHeight="1" thickBot="1">
      <c r="A40" s="193"/>
      <c r="B40" s="199"/>
      <c r="C40" s="195"/>
      <c r="D40" s="155" t="s">
        <v>151</v>
      </c>
      <c r="E40" s="198">
        <v>17460</v>
      </c>
      <c r="F40" s="198">
        <v>4759</v>
      </c>
      <c r="G40" s="198">
        <v>13341</v>
      </c>
      <c r="H40" s="198"/>
      <c r="I40" s="198"/>
      <c r="J40" s="198">
        <v>1385</v>
      </c>
      <c r="K40" s="198"/>
      <c r="L40" s="272">
        <f>SUM(E40:K40)</f>
        <v>36945</v>
      </c>
      <c r="M40" s="198"/>
      <c r="N40" s="198">
        <v>0</v>
      </c>
      <c r="O40" s="198"/>
      <c r="P40" s="198">
        <v>0</v>
      </c>
      <c r="Q40" s="220">
        <f>SUM(L40:P40)</f>
        <v>36945</v>
      </c>
      <c r="R40" s="453">
        <v>7</v>
      </c>
    </row>
    <row r="41" spans="1:18" s="16" customFormat="1" ht="12.75" customHeight="1" thickBot="1" thickTop="1">
      <c r="A41" s="1645" t="s">
        <v>830</v>
      </c>
      <c r="B41" s="1646"/>
      <c r="C41" s="1646"/>
      <c r="D41" s="1647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475"/>
    </row>
    <row r="42" spans="1:18" s="16" customFormat="1" ht="12.75" customHeight="1">
      <c r="A42" s="214"/>
      <c r="B42" s="187"/>
      <c r="C42" s="215"/>
      <c r="D42" s="372" t="s">
        <v>149</v>
      </c>
      <c r="E42" s="216">
        <f>E10+E22+E26+E38</f>
        <v>334993</v>
      </c>
      <c r="F42" s="216">
        <f aca="true" t="shared" si="7" ref="F42:R42">F10+F22+F26+F38</f>
        <v>94914</v>
      </c>
      <c r="G42" s="216">
        <f t="shared" si="7"/>
        <v>94546</v>
      </c>
      <c r="H42" s="216">
        <f t="shared" si="7"/>
        <v>150</v>
      </c>
      <c r="I42" s="216">
        <f t="shared" si="7"/>
        <v>0</v>
      </c>
      <c r="J42" s="216">
        <f t="shared" si="7"/>
        <v>19980</v>
      </c>
      <c r="K42" s="216">
        <f t="shared" si="7"/>
        <v>0</v>
      </c>
      <c r="L42" s="216">
        <f t="shared" si="7"/>
        <v>544583</v>
      </c>
      <c r="M42" s="216">
        <f t="shared" si="7"/>
        <v>0</v>
      </c>
      <c r="N42" s="216">
        <f t="shared" si="7"/>
        <v>0</v>
      </c>
      <c r="O42" s="216">
        <f t="shared" si="7"/>
        <v>0</v>
      </c>
      <c r="P42" s="216">
        <f t="shared" si="7"/>
        <v>0</v>
      </c>
      <c r="Q42" s="216">
        <f t="shared" si="7"/>
        <v>544583</v>
      </c>
      <c r="R42" s="366">
        <f t="shared" si="7"/>
        <v>132.25</v>
      </c>
    </row>
    <row r="43" spans="1:18" s="16" customFormat="1" ht="12.75" customHeight="1">
      <c r="A43" s="217"/>
      <c r="B43" s="218"/>
      <c r="C43" s="219"/>
      <c r="D43" s="375" t="s">
        <v>150</v>
      </c>
      <c r="E43" s="220">
        <f>E11+E23+E27+E39</f>
        <v>347604</v>
      </c>
      <c r="F43" s="220">
        <f aca="true" t="shared" si="8" ref="F43:R44">F11+F23+F27+F39</f>
        <v>99061</v>
      </c>
      <c r="G43" s="220">
        <f t="shared" si="8"/>
        <v>104732</v>
      </c>
      <c r="H43" s="220">
        <f t="shared" si="8"/>
        <v>180</v>
      </c>
      <c r="I43" s="220">
        <f t="shared" si="8"/>
        <v>0</v>
      </c>
      <c r="J43" s="220">
        <f t="shared" si="8"/>
        <v>19980</v>
      </c>
      <c r="K43" s="220">
        <f t="shared" si="8"/>
        <v>0</v>
      </c>
      <c r="L43" s="220">
        <f t="shared" si="8"/>
        <v>571557</v>
      </c>
      <c r="M43" s="220">
        <f t="shared" si="8"/>
        <v>2500</v>
      </c>
      <c r="N43" s="220">
        <f t="shared" si="8"/>
        <v>0</v>
      </c>
      <c r="O43" s="220">
        <f t="shared" si="8"/>
        <v>0</v>
      </c>
      <c r="P43" s="220">
        <f t="shared" si="8"/>
        <v>0</v>
      </c>
      <c r="Q43" s="220">
        <f t="shared" si="8"/>
        <v>574057</v>
      </c>
      <c r="R43" s="453">
        <f t="shared" si="8"/>
        <v>130.25</v>
      </c>
    </row>
    <row r="44" spans="1:18" s="16" customFormat="1" ht="12.75" customHeight="1" thickBot="1">
      <c r="A44" s="301"/>
      <c r="B44" s="260"/>
      <c r="C44" s="302"/>
      <c r="D44" s="454" t="s">
        <v>151</v>
      </c>
      <c r="E44" s="222">
        <f>E12+E24+E28+E40</f>
        <v>339375</v>
      </c>
      <c r="F44" s="222">
        <f t="shared" si="8"/>
        <v>96121</v>
      </c>
      <c r="G44" s="222">
        <f t="shared" si="8"/>
        <v>90937</v>
      </c>
      <c r="H44" s="222">
        <f t="shared" si="8"/>
        <v>180</v>
      </c>
      <c r="I44" s="222">
        <f t="shared" si="8"/>
        <v>0</v>
      </c>
      <c r="J44" s="222">
        <f t="shared" si="8"/>
        <v>19979</v>
      </c>
      <c r="K44" s="222">
        <f t="shared" si="8"/>
        <v>0</v>
      </c>
      <c r="L44" s="222">
        <f t="shared" si="8"/>
        <v>546592</v>
      </c>
      <c r="M44" s="222">
        <f t="shared" si="8"/>
        <v>2477</v>
      </c>
      <c r="N44" s="222">
        <f t="shared" si="8"/>
        <v>0</v>
      </c>
      <c r="O44" s="222">
        <f t="shared" si="8"/>
        <v>0</v>
      </c>
      <c r="P44" s="222">
        <f t="shared" si="8"/>
        <v>0</v>
      </c>
      <c r="Q44" s="222">
        <f t="shared" si="8"/>
        <v>549069</v>
      </c>
      <c r="R44" s="465">
        <f t="shared" si="8"/>
        <v>127</v>
      </c>
    </row>
    <row r="45" spans="1:18" s="22" customFormat="1" ht="11.25" customHeight="1">
      <c r="A45" s="1644" t="s">
        <v>158</v>
      </c>
      <c r="B45" s="1636"/>
      <c r="C45" s="1636"/>
      <c r="D45" s="1637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466"/>
    </row>
    <row r="46" spans="1:18" s="22" customFormat="1" ht="11.25" customHeight="1">
      <c r="A46" s="205"/>
      <c r="B46" s="218"/>
      <c r="C46" s="218"/>
      <c r="D46" s="370" t="s">
        <v>149</v>
      </c>
      <c r="E46" s="222">
        <f>E14+E22+E38</f>
        <v>251502</v>
      </c>
      <c r="F46" s="222">
        <f aca="true" t="shared" si="9" ref="F46:R46">F14+F22+F38</f>
        <v>71551</v>
      </c>
      <c r="G46" s="222">
        <f t="shared" si="9"/>
        <v>40964</v>
      </c>
      <c r="H46" s="222">
        <f t="shared" si="9"/>
        <v>0</v>
      </c>
      <c r="I46" s="222">
        <f t="shared" si="9"/>
        <v>0</v>
      </c>
      <c r="J46" s="222">
        <f t="shared" si="9"/>
        <v>18105</v>
      </c>
      <c r="K46" s="222">
        <f t="shared" si="9"/>
        <v>0</v>
      </c>
      <c r="L46" s="222">
        <f t="shared" si="9"/>
        <v>382122</v>
      </c>
      <c r="M46" s="222">
        <f t="shared" si="9"/>
        <v>0</v>
      </c>
      <c r="N46" s="222">
        <f t="shared" si="9"/>
        <v>0</v>
      </c>
      <c r="O46" s="222">
        <f t="shared" si="9"/>
        <v>0</v>
      </c>
      <c r="P46" s="222">
        <f t="shared" si="9"/>
        <v>0</v>
      </c>
      <c r="Q46" s="222">
        <f t="shared" si="9"/>
        <v>382122</v>
      </c>
      <c r="R46" s="465">
        <f t="shared" si="9"/>
        <v>97.5</v>
      </c>
    </row>
    <row r="47" spans="1:18" s="22" customFormat="1" ht="11.25" customHeight="1">
      <c r="A47" s="205"/>
      <c r="B47" s="218"/>
      <c r="C47" s="218"/>
      <c r="D47" s="370" t="s">
        <v>150</v>
      </c>
      <c r="E47" s="220">
        <f aca="true" t="shared" si="10" ref="E47:R48">E15+E23+E39</f>
        <v>262432</v>
      </c>
      <c r="F47" s="220">
        <f t="shared" si="10"/>
        <v>75156</v>
      </c>
      <c r="G47" s="220">
        <f t="shared" si="10"/>
        <v>50259</v>
      </c>
      <c r="H47" s="220">
        <f t="shared" si="10"/>
        <v>0</v>
      </c>
      <c r="I47" s="220">
        <f t="shared" si="10"/>
        <v>0</v>
      </c>
      <c r="J47" s="220">
        <f t="shared" si="10"/>
        <v>18105</v>
      </c>
      <c r="K47" s="220">
        <f t="shared" si="10"/>
        <v>0</v>
      </c>
      <c r="L47" s="220">
        <f t="shared" si="10"/>
        <v>405952</v>
      </c>
      <c r="M47" s="220">
        <f t="shared" si="10"/>
        <v>0</v>
      </c>
      <c r="N47" s="220">
        <f t="shared" si="10"/>
        <v>0</v>
      </c>
      <c r="O47" s="220">
        <f t="shared" si="10"/>
        <v>0</v>
      </c>
      <c r="P47" s="220">
        <f t="shared" si="10"/>
        <v>0</v>
      </c>
      <c r="Q47" s="220">
        <f t="shared" si="10"/>
        <v>405952</v>
      </c>
      <c r="R47" s="453">
        <f t="shared" si="10"/>
        <v>95.5</v>
      </c>
    </row>
    <row r="48" spans="1:18" s="22" customFormat="1" ht="11.25" customHeight="1" thickBot="1">
      <c r="A48" s="244"/>
      <c r="B48" s="260"/>
      <c r="C48" s="260"/>
      <c r="D48" s="372" t="s">
        <v>151</v>
      </c>
      <c r="E48" s="222">
        <f t="shared" si="10"/>
        <v>257204</v>
      </c>
      <c r="F48" s="222">
        <f t="shared" si="10"/>
        <v>73321</v>
      </c>
      <c r="G48" s="222">
        <f t="shared" si="10"/>
        <v>41715</v>
      </c>
      <c r="H48" s="222">
        <f t="shared" si="10"/>
        <v>0</v>
      </c>
      <c r="I48" s="222">
        <f t="shared" si="10"/>
        <v>0</v>
      </c>
      <c r="J48" s="222">
        <f t="shared" si="10"/>
        <v>18104</v>
      </c>
      <c r="K48" s="222">
        <f t="shared" si="10"/>
        <v>0</v>
      </c>
      <c r="L48" s="222">
        <f t="shared" si="10"/>
        <v>390344</v>
      </c>
      <c r="M48" s="222">
        <f t="shared" si="10"/>
        <v>0</v>
      </c>
      <c r="N48" s="222">
        <f t="shared" si="10"/>
        <v>0</v>
      </c>
      <c r="O48" s="222">
        <f t="shared" si="10"/>
        <v>0</v>
      </c>
      <c r="P48" s="222">
        <f t="shared" si="10"/>
        <v>0</v>
      </c>
      <c r="Q48" s="222">
        <f t="shared" si="10"/>
        <v>390344</v>
      </c>
      <c r="R48" s="465">
        <f t="shared" si="10"/>
        <v>92.25</v>
      </c>
    </row>
    <row r="49" spans="1:18" s="22" customFormat="1" ht="10.5" customHeight="1">
      <c r="A49" s="1635" t="s">
        <v>156</v>
      </c>
      <c r="B49" s="1636"/>
      <c r="C49" s="1636"/>
      <c r="D49" s="1637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466"/>
    </row>
    <row r="50" spans="1:18" s="22" customFormat="1" ht="10.5" customHeight="1">
      <c r="A50" s="217"/>
      <c r="B50" s="218"/>
      <c r="C50" s="219"/>
      <c r="D50" s="375" t="s">
        <v>149</v>
      </c>
      <c r="E50" s="220">
        <f>E18+E26</f>
        <v>83491</v>
      </c>
      <c r="F50" s="220">
        <f aca="true" t="shared" si="11" ref="F50:R50">F18+F26</f>
        <v>23363</v>
      </c>
      <c r="G50" s="220">
        <f t="shared" si="11"/>
        <v>53582</v>
      </c>
      <c r="H50" s="220">
        <f t="shared" si="11"/>
        <v>150</v>
      </c>
      <c r="I50" s="220">
        <f t="shared" si="11"/>
        <v>0</v>
      </c>
      <c r="J50" s="220">
        <f t="shared" si="11"/>
        <v>1875</v>
      </c>
      <c r="K50" s="220">
        <f t="shared" si="11"/>
        <v>0</v>
      </c>
      <c r="L50" s="220">
        <f t="shared" si="11"/>
        <v>162461</v>
      </c>
      <c r="M50" s="220">
        <f t="shared" si="11"/>
        <v>0</v>
      </c>
      <c r="N50" s="220">
        <f t="shared" si="11"/>
        <v>0</v>
      </c>
      <c r="O50" s="220">
        <f t="shared" si="11"/>
        <v>0</v>
      </c>
      <c r="P50" s="220">
        <f t="shared" si="11"/>
        <v>0</v>
      </c>
      <c r="Q50" s="220">
        <f t="shared" si="11"/>
        <v>162461</v>
      </c>
      <c r="R50" s="453">
        <f t="shared" si="11"/>
        <v>34.75</v>
      </c>
    </row>
    <row r="51" spans="1:18" s="22" customFormat="1" ht="10.5" customHeight="1">
      <c r="A51" s="217"/>
      <c r="B51" s="218"/>
      <c r="C51" s="219"/>
      <c r="D51" s="375" t="s">
        <v>150</v>
      </c>
      <c r="E51" s="220">
        <f aca="true" t="shared" si="12" ref="E51:R52">E19+E27</f>
        <v>85172</v>
      </c>
      <c r="F51" s="220">
        <f t="shared" si="12"/>
        <v>23905</v>
      </c>
      <c r="G51" s="220">
        <f t="shared" si="12"/>
        <v>54473</v>
      </c>
      <c r="H51" s="220">
        <f t="shared" si="12"/>
        <v>180</v>
      </c>
      <c r="I51" s="220">
        <f t="shared" si="12"/>
        <v>0</v>
      </c>
      <c r="J51" s="220">
        <f t="shared" si="12"/>
        <v>1875</v>
      </c>
      <c r="K51" s="220">
        <f t="shared" si="12"/>
        <v>0</v>
      </c>
      <c r="L51" s="220">
        <f t="shared" si="12"/>
        <v>165605</v>
      </c>
      <c r="M51" s="220">
        <f t="shared" si="12"/>
        <v>2500</v>
      </c>
      <c r="N51" s="220">
        <f t="shared" si="12"/>
        <v>0</v>
      </c>
      <c r="O51" s="220">
        <f t="shared" si="12"/>
        <v>0</v>
      </c>
      <c r="P51" s="220">
        <f t="shared" si="12"/>
        <v>0</v>
      </c>
      <c r="Q51" s="220">
        <f t="shared" si="12"/>
        <v>168105</v>
      </c>
      <c r="R51" s="453">
        <f t="shared" si="12"/>
        <v>34.75</v>
      </c>
    </row>
    <row r="52" spans="1:18" s="22" customFormat="1" ht="10.5" customHeight="1" thickBot="1">
      <c r="A52" s="462"/>
      <c r="B52" s="459"/>
      <c r="C52" s="463"/>
      <c r="D52" s="460" t="s">
        <v>151</v>
      </c>
      <c r="E52" s="252">
        <f t="shared" si="12"/>
        <v>82171</v>
      </c>
      <c r="F52" s="252">
        <f t="shared" si="12"/>
        <v>22800</v>
      </c>
      <c r="G52" s="252">
        <f t="shared" si="12"/>
        <v>49222</v>
      </c>
      <c r="H52" s="252">
        <f t="shared" si="12"/>
        <v>180</v>
      </c>
      <c r="I52" s="252">
        <f t="shared" si="12"/>
        <v>0</v>
      </c>
      <c r="J52" s="252">
        <f t="shared" si="12"/>
        <v>1875</v>
      </c>
      <c r="K52" s="252">
        <f t="shared" si="12"/>
        <v>0</v>
      </c>
      <c r="L52" s="252">
        <f t="shared" si="12"/>
        <v>156248</v>
      </c>
      <c r="M52" s="252">
        <f t="shared" si="12"/>
        <v>2477</v>
      </c>
      <c r="N52" s="252">
        <f t="shared" si="12"/>
        <v>0</v>
      </c>
      <c r="O52" s="252">
        <f t="shared" si="12"/>
        <v>0</v>
      </c>
      <c r="P52" s="252">
        <f t="shared" si="12"/>
        <v>0</v>
      </c>
      <c r="Q52" s="252">
        <f t="shared" si="12"/>
        <v>158725</v>
      </c>
      <c r="R52" s="461">
        <f t="shared" si="12"/>
        <v>34.75</v>
      </c>
    </row>
    <row r="53" spans="1:18" ht="12.75" customHeight="1" thickTop="1">
      <c r="A53" s="228" t="s">
        <v>8</v>
      </c>
      <c r="B53" s="229"/>
      <c r="C53" s="230"/>
      <c r="D53" s="231" t="s">
        <v>133</v>
      </c>
      <c r="E53" s="285"/>
      <c r="F53" s="285"/>
      <c r="G53" s="222"/>
      <c r="H53" s="285"/>
      <c r="I53" s="285"/>
      <c r="J53" s="285"/>
      <c r="K53" s="285"/>
      <c r="L53" s="285"/>
      <c r="M53" s="285"/>
      <c r="N53" s="285"/>
      <c r="O53" s="285"/>
      <c r="P53" s="285"/>
      <c r="Q53" s="222"/>
      <c r="R53" s="476"/>
    </row>
    <row r="54" spans="1:18" ht="12.75" customHeight="1">
      <c r="A54" s="205"/>
      <c r="B54" s="232"/>
      <c r="C54" s="233"/>
      <c r="D54" s="157" t="s">
        <v>149</v>
      </c>
      <c r="E54" s="220">
        <f aca="true" t="shared" si="13" ref="E54:J54">E58+E70+E74+E90+E102+E78</f>
        <v>143426</v>
      </c>
      <c r="F54" s="220">
        <f t="shared" si="13"/>
        <v>40011</v>
      </c>
      <c r="G54" s="220">
        <f t="shared" si="13"/>
        <v>40000</v>
      </c>
      <c r="H54" s="220">
        <f t="shared" si="13"/>
        <v>700</v>
      </c>
      <c r="I54" s="220">
        <f t="shared" si="13"/>
        <v>0</v>
      </c>
      <c r="J54" s="220">
        <f t="shared" si="13"/>
        <v>28062</v>
      </c>
      <c r="K54" s="220">
        <f>K58+K70+K74+K90+K102</f>
        <v>0</v>
      </c>
      <c r="L54" s="220">
        <f>SUM(E54:K54)</f>
        <v>252199</v>
      </c>
      <c r="M54" s="220">
        <f>M58+M70+M74+M90+M102</f>
        <v>0</v>
      </c>
      <c r="N54" s="220">
        <f>N58+N62+N74+N90</f>
        <v>0</v>
      </c>
      <c r="O54" s="220"/>
      <c r="P54" s="220">
        <f>P58+P62+P74+P90</f>
        <v>0</v>
      </c>
      <c r="Q54" s="220">
        <f>SUM(L54:P54)</f>
        <v>252199</v>
      </c>
      <c r="R54" s="453">
        <f>R58+R70+R74+R90+R102</f>
        <v>45</v>
      </c>
    </row>
    <row r="55" spans="1:18" ht="12.75" customHeight="1">
      <c r="A55" s="205"/>
      <c r="B55" s="232"/>
      <c r="C55" s="233"/>
      <c r="D55" s="155" t="s">
        <v>150</v>
      </c>
      <c r="E55" s="220">
        <f aca="true" t="shared" si="14" ref="E55:J55">E59+E71+E75+E91+E103+E79+E83+E87</f>
        <v>148872</v>
      </c>
      <c r="F55" s="220">
        <f t="shared" si="14"/>
        <v>43472</v>
      </c>
      <c r="G55" s="220">
        <f t="shared" si="14"/>
        <v>45121</v>
      </c>
      <c r="H55" s="220">
        <f t="shared" si="14"/>
        <v>700</v>
      </c>
      <c r="I55" s="220">
        <f t="shared" si="14"/>
        <v>0</v>
      </c>
      <c r="J55" s="220">
        <f t="shared" si="14"/>
        <v>29062</v>
      </c>
      <c r="K55" s="220">
        <f>K59+K71+K75+K91+K103</f>
        <v>0</v>
      </c>
      <c r="L55" s="220">
        <f>SUM(E55:K55)</f>
        <v>267227</v>
      </c>
      <c r="M55" s="220">
        <f>M59+M71+M75+M91+M103</f>
        <v>0</v>
      </c>
      <c r="N55" s="220">
        <f>N59+N63+N75+N91</f>
        <v>0</v>
      </c>
      <c r="O55" s="220"/>
      <c r="P55" s="220">
        <f>P59+P63+P75+P91</f>
        <v>0</v>
      </c>
      <c r="Q55" s="220">
        <f>SUM(L55:P55)</f>
        <v>267227</v>
      </c>
      <c r="R55" s="453">
        <f>R59+R71+R75+R91+R103</f>
        <v>45</v>
      </c>
    </row>
    <row r="56" spans="1:18" ht="12.75" customHeight="1">
      <c r="A56" s="205"/>
      <c r="B56" s="232"/>
      <c r="C56" s="233"/>
      <c r="D56" s="155" t="s">
        <v>151</v>
      </c>
      <c r="E56" s="220">
        <f>E60+E72+E76+E92+E104+E80+E84+E88</f>
        <v>138753</v>
      </c>
      <c r="F56" s="220">
        <f aca="true" t="shared" si="15" ref="F56:K56">F60+F72+F76+F92+F104+F80+F84+F88</f>
        <v>39608</v>
      </c>
      <c r="G56" s="220">
        <f t="shared" si="15"/>
        <v>33571</v>
      </c>
      <c r="H56" s="220">
        <f t="shared" si="15"/>
        <v>0</v>
      </c>
      <c r="I56" s="220">
        <f t="shared" si="15"/>
        <v>0</v>
      </c>
      <c r="J56" s="220">
        <f t="shared" si="15"/>
        <v>29062</v>
      </c>
      <c r="K56" s="220">
        <f t="shared" si="15"/>
        <v>0</v>
      </c>
      <c r="L56" s="220">
        <f>SUM(E56:K56)</f>
        <v>240994</v>
      </c>
      <c r="M56" s="220">
        <f>M60+M72+M76+M92+M104</f>
        <v>0</v>
      </c>
      <c r="N56" s="220">
        <f>N60+N64+N76+N92</f>
        <v>0</v>
      </c>
      <c r="O56" s="220"/>
      <c r="P56" s="220">
        <f>P60+P64+P76+P92</f>
        <v>0</v>
      </c>
      <c r="Q56" s="220">
        <f>SUM(L56:P56)</f>
        <v>240994</v>
      </c>
      <c r="R56" s="453">
        <f>R60+R72+R76+R92+R104</f>
        <v>42</v>
      </c>
    </row>
    <row r="57" spans="1:18" ht="11.25" customHeight="1">
      <c r="A57" s="234"/>
      <c r="B57" s="157" t="s">
        <v>162</v>
      </c>
      <c r="C57" s="207"/>
      <c r="D57" s="235" t="s">
        <v>68</v>
      </c>
      <c r="E57" s="197"/>
      <c r="F57" s="197"/>
      <c r="G57" s="197"/>
      <c r="H57" s="197"/>
      <c r="I57" s="197"/>
      <c r="J57" s="197"/>
      <c r="K57" s="197"/>
      <c r="L57" s="220"/>
      <c r="M57" s="197"/>
      <c r="N57" s="197"/>
      <c r="O57" s="197"/>
      <c r="P57" s="197"/>
      <c r="Q57" s="220"/>
      <c r="R57" s="453"/>
    </row>
    <row r="58" spans="1:18" ht="11.25" customHeight="1">
      <c r="A58" s="234"/>
      <c r="B58" s="206"/>
      <c r="C58" s="207"/>
      <c r="D58" s="155" t="s">
        <v>149</v>
      </c>
      <c r="E58" s="197">
        <f aca="true" t="shared" si="16" ref="E58:K58">E62+E66</f>
        <v>128440</v>
      </c>
      <c r="F58" s="197">
        <f t="shared" si="16"/>
        <v>35916</v>
      </c>
      <c r="G58" s="197">
        <f t="shared" si="16"/>
        <v>31700</v>
      </c>
      <c r="H58" s="197">
        <f t="shared" si="16"/>
        <v>0</v>
      </c>
      <c r="I58" s="197">
        <f t="shared" si="16"/>
        <v>0</v>
      </c>
      <c r="J58" s="197">
        <f t="shared" si="16"/>
        <v>28062</v>
      </c>
      <c r="K58" s="197">
        <f t="shared" si="16"/>
        <v>0</v>
      </c>
      <c r="L58" s="220">
        <f>SUM(E58:K58)</f>
        <v>224118</v>
      </c>
      <c r="M58" s="197"/>
      <c r="N58" s="197"/>
      <c r="O58" s="197"/>
      <c r="P58" s="197"/>
      <c r="Q58" s="220">
        <f>SUM(L58:P58)</f>
        <v>224118</v>
      </c>
      <c r="R58" s="477">
        <f>R62+R66</f>
        <v>40.599999999999994</v>
      </c>
    </row>
    <row r="59" spans="1:18" ht="11.25" customHeight="1">
      <c r="A59" s="234"/>
      <c r="B59" s="206"/>
      <c r="C59" s="207"/>
      <c r="D59" s="155" t="s">
        <v>150</v>
      </c>
      <c r="E59" s="197">
        <f>E63+E67</f>
        <v>130992</v>
      </c>
      <c r="F59" s="197">
        <f aca="true" t="shared" si="17" ref="E59:K60">F63+F67</f>
        <v>38405</v>
      </c>
      <c r="G59" s="197">
        <f t="shared" si="17"/>
        <v>35700</v>
      </c>
      <c r="H59" s="197">
        <f t="shared" si="17"/>
        <v>0</v>
      </c>
      <c r="I59" s="197">
        <f t="shared" si="17"/>
        <v>0</v>
      </c>
      <c r="J59" s="197">
        <f>J63+J67</f>
        <v>29062</v>
      </c>
      <c r="K59" s="197">
        <f t="shared" si="17"/>
        <v>0</v>
      </c>
      <c r="L59" s="220">
        <f>SUM(E59:K59)</f>
        <v>234159</v>
      </c>
      <c r="M59" s="197"/>
      <c r="N59" s="197"/>
      <c r="O59" s="197"/>
      <c r="P59" s="197"/>
      <c r="Q59" s="220">
        <f>SUM(L59:P59)</f>
        <v>234159</v>
      </c>
      <c r="R59" s="477">
        <f>R63+R67</f>
        <v>40.599999999999994</v>
      </c>
    </row>
    <row r="60" spans="1:18" ht="11.25" customHeight="1">
      <c r="A60" s="234"/>
      <c r="B60" s="206"/>
      <c r="C60" s="207"/>
      <c r="D60" s="155" t="s">
        <v>151</v>
      </c>
      <c r="E60" s="197">
        <f t="shared" si="17"/>
        <v>122435</v>
      </c>
      <c r="F60" s="197">
        <f t="shared" si="17"/>
        <v>35090</v>
      </c>
      <c r="G60" s="197">
        <f t="shared" si="17"/>
        <v>27677</v>
      </c>
      <c r="H60" s="197">
        <f t="shared" si="17"/>
        <v>0</v>
      </c>
      <c r="I60" s="197">
        <f t="shared" si="17"/>
        <v>0</v>
      </c>
      <c r="J60" s="197">
        <f>J64+J68</f>
        <v>29062</v>
      </c>
      <c r="K60" s="197">
        <f t="shared" si="17"/>
        <v>0</v>
      </c>
      <c r="L60" s="220">
        <f>SUM(E60:K60)</f>
        <v>214264</v>
      </c>
      <c r="M60" s="197"/>
      <c r="N60" s="197"/>
      <c r="O60" s="197"/>
      <c r="P60" s="197"/>
      <c r="Q60" s="220">
        <f>SUM(L60:P60)</f>
        <v>214264</v>
      </c>
      <c r="R60" s="477">
        <f>R64+R68</f>
        <v>37.599999999999994</v>
      </c>
    </row>
    <row r="61" spans="1:18" s="20" customFormat="1" ht="11.25" customHeight="1">
      <c r="A61" s="376"/>
      <c r="B61" s="377"/>
      <c r="C61" s="378" t="s">
        <v>110</v>
      </c>
      <c r="D61" s="379" t="s">
        <v>174</v>
      </c>
      <c r="E61" s="380"/>
      <c r="F61" s="380"/>
      <c r="G61" s="380"/>
      <c r="H61" s="380"/>
      <c r="I61" s="380"/>
      <c r="J61" s="380"/>
      <c r="K61" s="380"/>
      <c r="L61" s="381"/>
      <c r="M61" s="380"/>
      <c r="N61" s="380"/>
      <c r="O61" s="380"/>
      <c r="P61" s="380"/>
      <c r="Q61" s="381"/>
      <c r="R61" s="478"/>
    </row>
    <row r="62" spans="1:18" s="20" customFormat="1" ht="11.25" customHeight="1">
      <c r="A62" s="376"/>
      <c r="B62" s="377"/>
      <c r="C62" s="378"/>
      <c r="D62" s="382" t="s">
        <v>149</v>
      </c>
      <c r="E62" s="380">
        <v>83829</v>
      </c>
      <c r="F62" s="380">
        <v>23758</v>
      </c>
      <c r="G62" s="380">
        <v>25500</v>
      </c>
      <c r="H62" s="380"/>
      <c r="I62" s="380"/>
      <c r="J62" s="380">
        <v>28062</v>
      </c>
      <c r="K62" s="380"/>
      <c r="L62" s="381">
        <f>SUM(E62:K62)</f>
        <v>161149</v>
      </c>
      <c r="M62" s="380"/>
      <c r="N62" s="380"/>
      <c r="O62" s="380"/>
      <c r="P62" s="380"/>
      <c r="Q62" s="381">
        <f>SUM(L62:P62)</f>
        <v>161149</v>
      </c>
      <c r="R62" s="479">
        <v>28.4</v>
      </c>
    </row>
    <row r="63" spans="1:18" s="20" customFormat="1" ht="11.25" customHeight="1">
      <c r="A63" s="376"/>
      <c r="B63" s="377"/>
      <c r="C63" s="378"/>
      <c r="D63" s="382" t="s">
        <v>150</v>
      </c>
      <c r="E63" s="380">
        <v>85791</v>
      </c>
      <c r="F63" s="380">
        <v>25588</v>
      </c>
      <c r="G63" s="380">
        <v>27500</v>
      </c>
      <c r="H63" s="380"/>
      <c r="I63" s="380"/>
      <c r="J63" s="380">
        <v>29062</v>
      </c>
      <c r="K63" s="380"/>
      <c r="L63" s="381">
        <f aca="true" t="shared" si="18" ref="L63:L72">SUM(E63:K63)</f>
        <v>167941</v>
      </c>
      <c r="M63" s="380"/>
      <c r="N63" s="380"/>
      <c r="O63" s="380"/>
      <c r="P63" s="380"/>
      <c r="Q63" s="381">
        <f>SUM(L63:P63)</f>
        <v>167941</v>
      </c>
      <c r="R63" s="479">
        <v>28.4</v>
      </c>
    </row>
    <row r="64" spans="1:18" s="20" customFormat="1" ht="11.25" customHeight="1">
      <c r="A64" s="376"/>
      <c r="B64" s="377"/>
      <c r="C64" s="378"/>
      <c r="D64" s="383" t="s">
        <v>151</v>
      </c>
      <c r="E64" s="380">
        <v>82598</v>
      </c>
      <c r="F64" s="380">
        <v>23862</v>
      </c>
      <c r="G64" s="380">
        <v>23873</v>
      </c>
      <c r="H64" s="380"/>
      <c r="I64" s="380"/>
      <c r="J64" s="380">
        <v>29062</v>
      </c>
      <c r="K64" s="380"/>
      <c r="L64" s="381">
        <f>SUM(E64:K64)</f>
        <v>159395</v>
      </c>
      <c r="M64" s="380"/>
      <c r="N64" s="380"/>
      <c r="O64" s="380"/>
      <c r="P64" s="380"/>
      <c r="Q64" s="381">
        <f>SUM(L64:P64)</f>
        <v>159395</v>
      </c>
      <c r="R64" s="479">
        <v>27.4</v>
      </c>
    </row>
    <row r="65" spans="1:18" s="20" customFormat="1" ht="11.25" customHeight="1">
      <c r="A65" s="376"/>
      <c r="B65" s="377"/>
      <c r="C65" s="378" t="s">
        <v>173</v>
      </c>
      <c r="D65" s="377" t="s">
        <v>170</v>
      </c>
      <c r="E65" s="380"/>
      <c r="F65" s="380"/>
      <c r="G65" s="380"/>
      <c r="H65" s="380"/>
      <c r="I65" s="380"/>
      <c r="J65" s="380"/>
      <c r="K65" s="380"/>
      <c r="L65" s="381"/>
      <c r="M65" s="380"/>
      <c r="N65" s="380"/>
      <c r="O65" s="380"/>
      <c r="P65" s="380"/>
      <c r="Q65" s="381"/>
      <c r="R65" s="479"/>
    </row>
    <row r="66" spans="1:18" s="20" customFormat="1" ht="11.25" customHeight="1">
      <c r="A66" s="376"/>
      <c r="B66" s="377"/>
      <c r="C66" s="378"/>
      <c r="D66" s="382" t="s">
        <v>149</v>
      </c>
      <c r="E66" s="380">
        <v>44611</v>
      </c>
      <c r="F66" s="380">
        <v>12158</v>
      </c>
      <c r="G66" s="380">
        <v>6200</v>
      </c>
      <c r="H66" s="380"/>
      <c r="I66" s="380"/>
      <c r="J66" s="380"/>
      <c r="K66" s="380"/>
      <c r="L66" s="381">
        <f t="shared" si="18"/>
        <v>62969</v>
      </c>
      <c r="M66" s="380"/>
      <c r="N66" s="380"/>
      <c r="O66" s="380"/>
      <c r="P66" s="380"/>
      <c r="Q66" s="381">
        <f>SUM(L66:P66)</f>
        <v>62969</v>
      </c>
      <c r="R66" s="479">
        <v>12.2</v>
      </c>
    </row>
    <row r="67" spans="1:18" s="20" customFormat="1" ht="11.25" customHeight="1">
      <c r="A67" s="376"/>
      <c r="B67" s="377"/>
      <c r="C67" s="378"/>
      <c r="D67" s="382" t="s">
        <v>150</v>
      </c>
      <c r="E67" s="380">
        <v>45201</v>
      </c>
      <c r="F67" s="380">
        <v>12817</v>
      </c>
      <c r="G67" s="380">
        <v>8200</v>
      </c>
      <c r="H67" s="380"/>
      <c r="I67" s="380"/>
      <c r="J67" s="380"/>
      <c r="K67" s="380"/>
      <c r="L67" s="381">
        <f t="shared" si="18"/>
        <v>66218</v>
      </c>
      <c r="M67" s="380"/>
      <c r="N67" s="380"/>
      <c r="O67" s="380"/>
      <c r="P67" s="380"/>
      <c r="Q67" s="381">
        <f aca="true" t="shared" si="19" ref="Q67:Q72">SUM(L67:P67)</f>
        <v>66218</v>
      </c>
      <c r="R67" s="479">
        <v>12.2</v>
      </c>
    </row>
    <row r="68" spans="1:18" s="20" customFormat="1" ht="11.25" customHeight="1">
      <c r="A68" s="376"/>
      <c r="B68" s="377"/>
      <c r="C68" s="378"/>
      <c r="D68" s="382" t="s">
        <v>151</v>
      </c>
      <c r="E68" s="380">
        <v>39837</v>
      </c>
      <c r="F68" s="380">
        <v>11228</v>
      </c>
      <c r="G68" s="380">
        <v>3804</v>
      </c>
      <c r="H68" s="380"/>
      <c r="I68" s="380"/>
      <c r="J68" s="380"/>
      <c r="K68" s="380"/>
      <c r="L68" s="381">
        <f t="shared" si="18"/>
        <v>54869</v>
      </c>
      <c r="M68" s="380"/>
      <c r="N68" s="380"/>
      <c r="O68" s="380"/>
      <c r="P68" s="380"/>
      <c r="Q68" s="381">
        <f t="shared" si="19"/>
        <v>54869</v>
      </c>
      <c r="R68" s="479">
        <v>10.2</v>
      </c>
    </row>
    <row r="69" spans="1:18" ht="11.25" customHeight="1">
      <c r="A69" s="234"/>
      <c r="B69" s="157" t="s">
        <v>163</v>
      </c>
      <c r="C69" s="207" t="s">
        <v>110</v>
      </c>
      <c r="D69" s="367" t="s">
        <v>161</v>
      </c>
      <c r="E69" s="197"/>
      <c r="F69" s="197"/>
      <c r="G69" s="197"/>
      <c r="H69" s="197"/>
      <c r="I69" s="197"/>
      <c r="J69" s="197"/>
      <c r="K69" s="197"/>
      <c r="L69" s="220"/>
      <c r="M69" s="197"/>
      <c r="N69" s="197"/>
      <c r="O69" s="197"/>
      <c r="P69" s="197"/>
      <c r="Q69" s="220"/>
      <c r="R69" s="453"/>
    </row>
    <row r="70" spans="1:18" ht="11.25" customHeight="1">
      <c r="A70" s="234"/>
      <c r="B70" s="206"/>
      <c r="C70" s="207"/>
      <c r="D70" s="155" t="s">
        <v>149</v>
      </c>
      <c r="E70" s="197">
        <v>1359</v>
      </c>
      <c r="F70" s="197">
        <v>370</v>
      </c>
      <c r="G70" s="197"/>
      <c r="H70" s="197"/>
      <c r="I70" s="197"/>
      <c r="J70" s="197"/>
      <c r="K70" s="197"/>
      <c r="L70" s="220">
        <f t="shared" si="18"/>
        <v>1729</v>
      </c>
      <c r="M70" s="197"/>
      <c r="N70" s="197"/>
      <c r="O70" s="197"/>
      <c r="P70" s="197"/>
      <c r="Q70" s="220">
        <f t="shared" si="19"/>
        <v>1729</v>
      </c>
      <c r="R70" s="453">
        <v>0.2</v>
      </c>
    </row>
    <row r="71" spans="1:18" ht="11.25" customHeight="1">
      <c r="A71" s="234"/>
      <c r="B71" s="206"/>
      <c r="C71" s="207"/>
      <c r="D71" s="155" t="s">
        <v>150</v>
      </c>
      <c r="E71" s="197">
        <v>1359</v>
      </c>
      <c r="F71" s="197">
        <v>370</v>
      </c>
      <c r="G71" s="197"/>
      <c r="H71" s="197"/>
      <c r="I71" s="197"/>
      <c r="J71" s="197"/>
      <c r="K71" s="197"/>
      <c r="L71" s="220">
        <f t="shared" si="18"/>
        <v>1729</v>
      </c>
      <c r="M71" s="197"/>
      <c r="N71" s="197"/>
      <c r="O71" s="197"/>
      <c r="P71" s="197"/>
      <c r="Q71" s="220">
        <f t="shared" si="19"/>
        <v>1729</v>
      </c>
      <c r="R71" s="453">
        <v>0.2</v>
      </c>
    </row>
    <row r="72" spans="1:18" ht="11.25" customHeight="1">
      <c r="A72" s="234"/>
      <c r="B72" s="206"/>
      <c r="C72" s="207"/>
      <c r="D72" s="155" t="s">
        <v>151</v>
      </c>
      <c r="E72" s="197">
        <v>1359</v>
      </c>
      <c r="F72" s="197">
        <v>368</v>
      </c>
      <c r="G72" s="197"/>
      <c r="H72" s="197"/>
      <c r="I72" s="197"/>
      <c r="J72" s="197"/>
      <c r="K72" s="197"/>
      <c r="L72" s="220">
        <f t="shared" si="18"/>
        <v>1727</v>
      </c>
      <c r="M72" s="197"/>
      <c r="N72" s="197"/>
      <c r="O72" s="197"/>
      <c r="P72" s="197"/>
      <c r="Q72" s="220">
        <f t="shared" si="19"/>
        <v>1727</v>
      </c>
      <c r="R72" s="453">
        <v>0.2</v>
      </c>
    </row>
    <row r="73" spans="1:18" ht="11.25" customHeight="1">
      <c r="A73" s="234"/>
      <c r="B73" s="157" t="s">
        <v>164</v>
      </c>
      <c r="C73" s="207" t="s">
        <v>111</v>
      </c>
      <c r="D73" s="235" t="s">
        <v>69</v>
      </c>
      <c r="E73" s="197"/>
      <c r="F73" s="197"/>
      <c r="G73" s="197"/>
      <c r="H73" s="197"/>
      <c r="I73" s="197"/>
      <c r="J73" s="197"/>
      <c r="K73" s="197"/>
      <c r="L73" s="220"/>
      <c r="M73" s="197"/>
      <c r="N73" s="197"/>
      <c r="O73" s="197"/>
      <c r="P73" s="197"/>
      <c r="Q73" s="220"/>
      <c r="R73" s="453"/>
    </row>
    <row r="74" spans="1:18" ht="11.25" customHeight="1">
      <c r="A74" s="234"/>
      <c r="B74" s="206"/>
      <c r="C74" s="207"/>
      <c r="D74" s="155" t="s">
        <v>149</v>
      </c>
      <c r="E74" s="197">
        <v>11587</v>
      </c>
      <c r="F74" s="197">
        <v>3174</v>
      </c>
      <c r="G74" s="197">
        <v>0</v>
      </c>
      <c r="H74" s="197"/>
      <c r="I74" s="197"/>
      <c r="J74" s="197"/>
      <c r="K74" s="197"/>
      <c r="L74" s="220">
        <f>SUM(E74:K74)</f>
        <v>14761</v>
      </c>
      <c r="M74" s="197"/>
      <c r="N74" s="197"/>
      <c r="O74" s="197"/>
      <c r="P74" s="197"/>
      <c r="Q74" s="220">
        <f>SUM(L74:P74)</f>
        <v>14761</v>
      </c>
      <c r="R74" s="453">
        <v>4.2</v>
      </c>
    </row>
    <row r="75" spans="1:18" ht="11.25" customHeight="1">
      <c r="A75" s="234"/>
      <c r="B75" s="206"/>
      <c r="C75" s="207"/>
      <c r="D75" s="155" t="s">
        <v>150</v>
      </c>
      <c r="E75" s="197">
        <v>12355</v>
      </c>
      <c r="F75" s="197">
        <v>3381</v>
      </c>
      <c r="G75" s="197">
        <v>1000</v>
      </c>
      <c r="H75" s="197"/>
      <c r="I75" s="197"/>
      <c r="J75" s="197"/>
      <c r="K75" s="197"/>
      <c r="L75" s="220">
        <f>SUM(E75:K75)</f>
        <v>16736</v>
      </c>
      <c r="M75" s="197"/>
      <c r="N75" s="197"/>
      <c r="O75" s="197"/>
      <c r="P75" s="197"/>
      <c r="Q75" s="220">
        <f>SUM(L75:P75)</f>
        <v>16736</v>
      </c>
      <c r="R75" s="453">
        <v>4.2</v>
      </c>
    </row>
    <row r="76" spans="1:18" ht="11.25" customHeight="1">
      <c r="A76" s="234"/>
      <c r="B76" s="206"/>
      <c r="C76" s="207"/>
      <c r="D76" s="155" t="s">
        <v>151</v>
      </c>
      <c r="E76" s="197">
        <f>11228-274</f>
        <v>10954</v>
      </c>
      <c r="F76" s="197">
        <f>3049-215</f>
        <v>2834</v>
      </c>
      <c r="G76" s="197">
        <v>728</v>
      </c>
      <c r="H76" s="197"/>
      <c r="I76" s="197"/>
      <c r="J76" s="197"/>
      <c r="K76" s="197"/>
      <c r="L76" s="220">
        <f>SUM(E76:K76)</f>
        <v>14516</v>
      </c>
      <c r="M76" s="197"/>
      <c r="N76" s="197"/>
      <c r="O76" s="197"/>
      <c r="P76" s="197"/>
      <c r="Q76" s="220">
        <f>SUM(L76:P76)</f>
        <v>14516</v>
      </c>
      <c r="R76" s="453">
        <v>4.2</v>
      </c>
    </row>
    <row r="77" spans="1:18" ht="11.25" customHeight="1">
      <c r="A77" s="234"/>
      <c r="B77" s="157" t="s">
        <v>317</v>
      </c>
      <c r="C77" s="207" t="s">
        <v>110</v>
      </c>
      <c r="D77" s="516" t="s">
        <v>205</v>
      </c>
      <c r="E77" s="197"/>
      <c r="F77" s="197"/>
      <c r="G77" s="197"/>
      <c r="H77" s="197"/>
      <c r="I77" s="197"/>
      <c r="J77" s="197"/>
      <c r="K77" s="197"/>
      <c r="L77" s="220"/>
      <c r="M77" s="197"/>
      <c r="N77" s="197"/>
      <c r="O77" s="197"/>
      <c r="P77" s="197"/>
      <c r="Q77" s="220"/>
      <c r="R77" s="453"/>
    </row>
    <row r="78" spans="1:18" ht="11.25" customHeight="1">
      <c r="A78" s="234"/>
      <c r="B78" s="206"/>
      <c r="C78" s="207"/>
      <c r="D78" s="155" t="s">
        <v>149</v>
      </c>
      <c r="E78" s="197">
        <v>2040</v>
      </c>
      <c r="F78" s="197">
        <v>551</v>
      </c>
      <c r="G78" s="197"/>
      <c r="H78" s="197"/>
      <c r="I78" s="197"/>
      <c r="J78" s="197"/>
      <c r="K78" s="197"/>
      <c r="L78" s="220">
        <f>SUM(E78:K78)</f>
        <v>2591</v>
      </c>
      <c r="M78" s="197"/>
      <c r="N78" s="197"/>
      <c r="O78" s="197"/>
      <c r="P78" s="197"/>
      <c r="Q78" s="220">
        <f>SUM(L78:O78)</f>
        <v>2591</v>
      </c>
      <c r="R78" s="453"/>
    </row>
    <row r="79" spans="1:18" ht="11.25" customHeight="1">
      <c r="A79" s="234"/>
      <c r="B79" s="206"/>
      <c r="C79" s="207"/>
      <c r="D79" s="155" t="s">
        <v>150</v>
      </c>
      <c r="E79" s="197">
        <v>2040</v>
      </c>
      <c r="F79" s="197">
        <v>551</v>
      </c>
      <c r="G79" s="197"/>
      <c r="H79" s="197"/>
      <c r="I79" s="197"/>
      <c r="J79" s="197"/>
      <c r="K79" s="197"/>
      <c r="L79" s="220">
        <f>SUM(E79:K79)</f>
        <v>2591</v>
      </c>
      <c r="M79" s="197"/>
      <c r="N79" s="197"/>
      <c r="O79" s="197"/>
      <c r="P79" s="197"/>
      <c r="Q79" s="220">
        <f>SUM(L79:O79)</f>
        <v>2591</v>
      </c>
      <c r="R79" s="453"/>
    </row>
    <row r="80" spans="1:18" ht="11.25" customHeight="1">
      <c r="A80" s="234"/>
      <c r="B80" s="206"/>
      <c r="C80" s="207"/>
      <c r="D80" s="155" t="s">
        <v>151</v>
      </c>
      <c r="E80" s="197">
        <v>1880</v>
      </c>
      <c r="F80" s="197">
        <v>551</v>
      </c>
      <c r="G80" s="197"/>
      <c r="H80" s="197"/>
      <c r="I80" s="197"/>
      <c r="J80" s="197"/>
      <c r="K80" s="197"/>
      <c r="L80" s="220">
        <f>SUM(E80:K80)</f>
        <v>2431</v>
      </c>
      <c r="M80" s="197"/>
      <c r="N80" s="197"/>
      <c r="O80" s="197"/>
      <c r="P80" s="197"/>
      <c r="Q80" s="220">
        <f>SUM(L80:O80)</f>
        <v>2431</v>
      </c>
      <c r="R80" s="453"/>
    </row>
    <row r="81" spans="1:18" ht="15" customHeight="1">
      <c r="A81" s="234"/>
      <c r="B81" s="157" t="s">
        <v>724</v>
      </c>
      <c r="C81" s="207" t="s">
        <v>111</v>
      </c>
      <c r="D81" s="1617" t="s">
        <v>726</v>
      </c>
      <c r="E81" s="1618"/>
      <c r="F81" s="1618"/>
      <c r="G81" s="1618"/>
      <c r="H81" s="1619"/>
      <c r="I81" s="197"/>
      <c r="J81" s="197"/>
      <c r="K81" s="197"/>
      <c r="L81" s="220"/>
      <c r="M81" s="197"/>
      <c r="N81" s="197"/>
      <c r="O81" s="197"/>
      <c r="P81" s="197"/>
      <c r="Q81" s="220"/>
      <c r="R81" s="453"/>
    </row>
    <row r="82" spans="1:18" ht="11.25" customHeight="1">
      <c r="A82" s="234"/>
      <c r="B82" s="206"/>
      <c r="C82" s="207"/>
      <c r="D82" s="155" t="s">
        <v>149</v>
      </c>
      <c r="E82" s="197">
        <v>0</v>
      </c>
      <c r="F82" s="197">
        <v>0</v>
      </c>
      <c r="G82" s="197"/>
      <c r="H82" s="197"/>
      <c r="I82" s="197"/>
      <c r="J82" s="197"/>
      <c r="K82" s="197"/>
      <c r="L82" s="220">
        <f>SUM(E82:K82)</f>
        <v>0</v>
      </c>
      <c r="M82" s="197"/>
      <c r="N82" s="197"/>
      <c r="O82" s="197"/>
      <c r="P82" s="197"/>
      <c r="Q82" s="220">
        <f>SUM(L82:P82)</f>
        <v>0</v>
      </c>
      <c r="R82" s="453"/>
    </row>
    <row r="83" spans="1:18" ht="11.25" customHeight="1">
      <c r="A83" s="234"/>
      <c r="B83" s="206"/>
      <c r="C83" s="207"/>
      <c r="D83" s="155" t="s">
        <v>150</v>
      </c>
      <c r="E83" s="197">
        <v>275</v>
      </c>
      <c r="F83" s="197">
        <v>215</v>
      </c>
      <c r="G83" s="197"/>
      <c r="H83" s="197"/>
      <c r="I83" s="197"/>
      <c r="J83" s="197"/>
      <c r="K83" s="197"/>
      <c r="L83" s="220">
        <f aca="true" t="shared" si="20" ref="L83:L88">SUM(E83:K83)</f>
        <v>490</v>
      </c>
      <c r="M83" s="197"/>
      <c r="N83" s="197"/>
      <c r="O83" s="197"/>
      <c r="P83" s="197"/>
      <c r="Q83" s="220">
        <f aca="true" t="shared" si="21" ref="Q83:Q88">SUM(L83:P83)</f>
        <v>490</v>
      </c>
      <c r="R83" s="453"/>
    </row>
    <row r="84" spans="1:18" ht="11.25" customHeight="1">
      <c r="A84" s="234"/>
      <c r="B84" s="206"/>
      <c r="C84" s="207"/>
      <c r="D84" s="155" t="s">
        <v>151</v>
      </c>
      <c r="E84" s="197">
        <v>274</v>
      </c>
      <c r="F84" s="197">
        <v>215</v>
      </c>
      <c r="G84" s="197"/>
      <c r="H84" s="197"/>
      <c r="I84" s="197"/>
      <c r="J84" s="197"/>
      <c r="K84" s="197"/>
      <c r="L84" s="220">
        <f t="shared" si="20"/>
        <v>489</v>
      </c>
      <c r="M84" s="197"/>
      <c r="N84" s="197"/>
      <c r="O84" s="197"/>
      <c r="P84" s="197"/>
      <c r="Q84" s="220">
        <f t="shared" si="21"/>
        <v>489</v>
      </c>
      <c r="R84" s="453"/>
    </row>
    <row r="85" spans="1:18" ht="12" customHeight="1">
      <c r="A85" s="234"/>
      <c r="B85" s="157" t="s">
        <v>725</v>
      </c>
      <c r="C85" s="207" t="s">
        <v>110</v>
      </c>
      <c r="D85" s="1588" t="s">
        <v>795</v>
      </c>
      <c r="E85" s="1589"/>
      <c r="F85" s="197"/>
      <c r="G85" s="197"/>
      <c r="H85" s="197"/>
      <c r="I85" s="197"/>
      <c r="J85" s="197"/>
      <c r="K85" s="197"/>
      <c r="L85" s="220"/>
      <c r="M85" s="197"/>
      <c r="N85" s="197"/>
      <c r="O85" s="197"/>
      <c r="P85" s="197"/>
      <c r="Q85" s="220"/>
      <c r="R85" s="453"/>
    </row>
    <row r="86" spans="1:18" ht="11.25" customHeight="1">
      <c r="A86" s="234"/>
      <c r="B86" s="206"/>
      <c r="C86" s="207"/>
      <c r="D86" s="155" t="s">
        <v>149</v>
      </c>
      <c r="E86" s="197">
        <v>0</v>
      </c>
      <c r="F86" s="197">
        <v>0</v>
      </c>
      <c r="G86" s="197">
        <v>0</v>
      </c>
      <c r="H86" s="197"/>
      <c r="I86" s="197"/>
      <c r="J86" s="197"/>
      <c r="K86" s="197"/>
      <c r="L86" s="220">
        <f t="shared" si="20"/>
        <v>0</v>
      </c>
      <c r="M86" s="197"/>
      <c r="N86" s="197"/>
      <c r="O86" s="197"/>
      <c r="P86" s="197"/>
      <c r="Q86" s="220">
        <f t="shared" si="21"/>
        <v>0</v>
      </c>
      <c r="R86" s="453"/>
    </row>
    <row r="87" spans="1:18" ht="11.25" customHeight="1">
      <c r="A87" s="234"/>
      <c r="B87" s="206"/>
      <c r="C87" s="207"/>
      <c r="D87" s="155" t="s">
        <v>150</v>
      </c>
      <c r="E87" s="197">
        <v>1851</v>
      </c>
      <c r="F87" s="197">
        <v>550</v>
      </c>
      <c r="G87" s="197">
        <v>121</v>
      </c>
      <c r="H87" s="197"/>
      <c r="I87" s="197"/>
      <c r="J87" s="197"/>
      <c r="K87" s="197"/>
      <c r="L87" s="220">
        <f t="shared" si="20"/>
        <v>2522</v>
      </c>
      <c r="M87" s="197"/>
      <c r="N87" s="197"/>
      <c r="O87" s="197"/>
      <c r="P87" s="197"/>
      <c r="Q87" s="220">
        <f t="shared" si="21"/>
        <v>2522</v>
      </c>
      <c r="R87" s="453"/>
    </row>
    <row r="88" spans="1:18" ht="11.25" customHeight="1">
      <c r="A88" s="234"/>
      <c r="B88" s="206"/>
      <c r="C88" s="207"/>
      <c r="D88" s="155" t="s">
        <v>151</v>
      </c>
      <c r="E88" s="197">
        <v>1851</v>
      </c>
      <c r="F88" s="197">
        <v>550</v>
      </c>
      <c r="G88" s="197">
        <v>121</v>
      </c>
      <c r="H88" s="197"/>
      <c r="I88" s="197"/>
      <c r="J88" s="197"/>
      <c r="K88" s="197"/>
      <c r="L88" s="220">
        <f t="shared" si="20"/>
        <v>2522</v>
      </c>
      <c r="M88" s="197"/>
      <c r="N88" s="197"/>
      <c r="O88" s="197"/>
      <c r="P88" s="197"/>
      <c r="Q88" s="220">
        <f t="shared" si="21"/>
        <v>2522</v>
      </c>
      <c r="R88" s="453"/>
    </row>
    <row r="89" spans="1:18" s="16" customFormat="1" ht="11.25" customHeight="1">
      <c r="A89" s="368"/>
      <c r="B89" s="218">
        <v>2</v>
      </c>
      <c r="C89" s="258"/>
      <c r="D89" s="369" t="s">
        <v>165</v>
      </c>
      <c r="E89" s="284"/>
      <c r="F89" s="284"/>
      <c r="G89" s="220"/>
      <c r="H89" s="284"/>
      <c r="I89" s="284"/>
      <c r="J89" s="284"/>
      <c r="K89" s="284"/>
      <c r="L89" s="284"/>
      <c r="M89" s="284"/>
      <c r="N89" s="284"/>
      <c r="O89" s="284"/>
      <c r="P89" s="284"/>
      <c r="Q89" s="220"/>
      <c r="R89" s="453"/>
    </row>
    <row r="90" spans="1:18" s="16" customFormat="1" ht="11.25" customHeight="1">
      <c r="A90" s="368"/>
      <c r="B90" s="218"/>
      <c r="C90" s="258"/>
      <c r="D90" s="370" t="s">
        <v>149</v>
      </c>
      <c r="E90" s="220">
        <f>E94+E98</f>
        <v>0</v>
      </c>
      <c r="F90" s="220">
        <f aca="true" t="shared" si="22" ref="F90:K90">F94+F98</f>
        <v>0</v>
      </c>
      <c r="G90" s="220">
        <f t="shared" si="22"/>
        <v>0</v>
      </c>
      <c r="H90" s="220">
        <f t="shared" si="22"/>
        <v>700</v>
      </c>
      <c r="I90" s="220">
        <f t="shared" si="22"/>
        <v>0</v>
      </c>
      <c r="J90" s="220">
        <f t="shared" si="22"/>
        <v>0</v>
      </c>
      <c r="K90" s="220">
        <f t="shared" si="22"/>
        <v>0</v>
      </c>
      <c r="L90" s="220">
        <f>SUM(E90:K90)</f>
        <v>700</v>
      </c>
      <c r="M90" s="220"/>
      <c r="N90" s="220"/>
      <c r="O90" s="220"/>
      <c r="P90" s="220"/>
      <c r="Q90" s="220">
        <f>SUM(L90:P90)</f>
        <v>700</v>
      </c>
      <c r="R90" s="453"/>
    </row>
    <row r="91" spans="1:18" s="16" customFormat="1" ht="11.25" customHeight="1">
      <c r="A91" s="368"/>
      <c r="B91" s="218"/>
      <c r="C91" s="258"/>
      <c r="D91" s="370" t="s">
        <v>150</v>
      </c>
      <c r="E91" s="220">
        <f aca="true" t="shared" si="23" ref="E91:K92">E95+E99</f>
        <v>0</v>
      </c>
      <c r="F91" s="220">
        <f t="shared" si="23"/>
        <v>0</v>
      </c>
      <c r="G91" s="220">
        <f t="shared" si="23"/>
        <v>0</v>
      </c>
      <c r="H91" s="220">
        <f t="shared" si="23"/>
        <v>700</v>
      </c>
      <c r="I91" s="220">
        <f t="shared" si="23"/>
        <v>0</v>
      </c>
      <c r="J91" s="220">
        <f t="shared" si="23"/>
        <v>0</v>
      </c>
      <c r="K91" s="220">
        <f t="shared" si="23"/>
        <v>0</v>
      </c>
      <c r="L91" s="220">
        <f>SUM(E91:K91)</f>
        <v>700</v>
      </c>
      <c r="M91" s="220"/>
      <c r="N91" s="220"/>
      <c r="O91" s="220"/>
      <c r="P91" s="220"/>
      <c r="Q91" s="220">
        <f>SUM(L91:P91)</f>
        <v>700</v>
      </c>
      <c r="R91" s="453"/>
    </row>
    <row r="92" spans="1:18" s="16" customFormat="1" ht="11.25" customHeight="1">
      <c r="A92" s="371"/>
      <c r="B92" s="190"/>
      <c r="C92" s="249"/>
      <c r="D92" s="372" t="s">
        <v>151</v>
      </c>
      <c r="E92" s="220">
        <f t="shared" si="23"/>
        <v>0</v>
      </c>
      <c r="F92" s="220">
        <f t="shared" si="23"/>
        <v>0</v>
      </c>
      <c r="G92" s="220">
        <f t="shared" si="23"/>
        <v>0</v>
      </c>
      <c r="H92" s="220">
        <f t="shared" si="23"/>
        <v>0</v>
      </c>
      <c r="I92" s="220">
        <f t="shared" si="23"/>
        <v>0</v>
      </c>
      <c r="J92" s="220">
        <f t="shared" si="23"/>
        <v>0</v>
      </c>
      <c r="K92" s="220">
        <f t="shared" si="23"/>
        <v>0</v>
      </c>
      <c r="L92" s="270">
        <f>SUM(E92:K92)</f>
        <v>0</v>
      </c>
      <c r="M92" s="222"/>
      <c r="N92" s="222"/>
      <c r="O92" s="222"/>
      <c r="P92" s="222"/>
      <c r="Q92" s="270">
        <f>SUM(L92:P92)</f>
        <v>0</v>
      </c>
      <c r="R92" s="465"/>
    </row>
    <row r="93" spans="1:18" ht="10.5" customHeight="1">
      <c r="A93" s="205"/>
      <c r="B93" s="157" t="s">
        <v>166</v>
      </c>
      <c r="C93" s="207" t="s">
        <v>110</v>
      </c>
      <c r="D93" s="235" t="s">
        <v>206</v>
      </c>
      <c r="E93" s="197"/>
      <c r="F93" s="197"/>
      <c r="G93" s="197"/>
      <c r="H93" s="197"/>
      <c r="I93" s="197"/>
      <c r="J93" s="197"/>
      <c r="K93" s="197"/>
      <c r="L93" s="220"/>
      <c r="M93" s="197"/>
      <c r="N93" s="197"/>
      <c r="O93" s="197"/>
      <c r="P93" s="197"/>
      <c r="Q93" s="220"/>
      <c r="R93" s="479"/>
    </row>
    <row r="94" spans="1:18" ht="10.5" customHeight="1">
      <c r="A94" s="205"/>
      <c r="B94" s="206"/>
      <c r="C94" s="207"/>
      <c r="D94" s="157" t="s">
        <v>149</v>
      </c>
      <c r="E94" s="197"/>
      <c r="F94" s="197"/>
      <c r="G94" s="197"/>
      <c r="H94" s="197">
        <v>600</v>
      </c>
      <c r="I94" s="197"/>
      <c r="J94" s="197"/>
      <c r="K94" s="197"/>
      <c r="L94" s="220">
        <f>SUM(E94:K94)</f>
        <v>600</v>
      </c>
      <c r="M94" s="197"/>
      <c r="N94" s="197"/>
      <c r="O94" s="197"/>
      <c r="P94" s="197"/>
      <c r="Q94" s="220">
        <f>SUM(L94:P94)</f>
        <v>600</v>
      </c>
      <c r="R94" s="479"/>
    </row>
    <row r="95" spans="1:18" ht="10.5" customHeight="1">
      <c r="A95" s="205"/>
      <c r="B95" s="206"/>
      <c r="C95" s="207"/>
      <c r="D95" s="157" t="s">
        <v>150</v>
      </c>
      <c r="E95" s="197"/>
      <c r="F95" s="197"/>
      <c r="G95" s="197"/>
      <c r="H95" s="197">
        <v>600</v>
      </c>
      <c r="I95" s="197"/>
      <c r="J95" s="197"/>
      <c r="K95" s="197"/>
      <c r="L95" s="220">
        <f>SUM(E95:K95)</f>
        <v>600</v>
      </c>
      <c r="M95" s="197"/>
      <c r="N95" s="197"/>
      <c r="O95" s="197"/>
      <c r="P95" s="197"/>
      <c r="Q95" s="220">
        <f>SUM(L95:P95)</f>
        <v>600</v>
      </c>
      <c r="R95" s="479"/>
    </row>
    <row r="96" spans="1:18" ht="10.5" customHeight="1">
      <c r="A96" s="205"/>
      <c r="B96" s="206"/>
      <c r="C96" s="207"/>
      <c r="D96" s="157" t="s">
        <v>151</v>
      </c>
      <c r="E96" s="197"/>
      <c r="F96" s="197"/>
      <c r="G96" s="197"/>
      <c r="H96" s="197">
        <v>0</v>
      </c>
      <c r="I96" s="197"/>
      <c r="J96" s="197"/>
      <c r="K96" s="197"/>
      <c r="L96" s="220">
        <f>SUM(E96:K96)</f>
        <v>0</v>
      </c>
      <c r="M96" s="197"/>
      <c r="N96" s="197"/>
      <c r="O96" s="197"/>
      <c r="P96" s="197"/>
      <c r="Q96" s="220">
        <f>SUM(L96:P96)</f>
        <v>0</v>
      </c>
      <c r="R96" s="479"/>
    </row>
    <row r="97" spans="1:18" ht="11.25" customHeight="1">
      <c r="A97" s="225"/>
      <c r="B97" s="157" t="s">
        <v>167</v>
      </c>
      <c r="C97" s="207" t="s">
        <v>110</v>
      </c>
      <c r="D97" s="235" t="s">
        <v>58</v>
      </c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208"/>
      <c r="R97" s="477"/>
    </row>
    <row r="98" spans="1:18" ht="11.25" customHeight="1">
      <c r="A98" s="225"/>
      <c r="B98" s="206"/>
      <c r="C98" s="233"/>
      <c r="D98" s="157" t="s">
        <v>149</v>
      </c>
      <c r="E98" s="197"/>
      <c r="F98" s="197"/>
      <c r="G98" s="197"/>
      <c r="H98" s="197">
        <v>100</v>
      </c>
      <c r="I98" s="197"/>
      <c r="J98" s="197"/>
      <c r="K98" s="197"/>
      <c r="L98" s="220">
        <f>SUM(E98:K98)</f>
        <v>100</v>
      </c>
      <c r="M98" s="197"/>
      <c r="N98" s="197"/>
      <c r="O98" s="197"/>
      <c r="P98" s="197"/>
      <c r="Q98" s="243">
        <f>SUM(L98:P98)</f>
        <v>100</v>
      </c>
      <c r="R98" s="477"/>
    </row>
    <row r="99" spans="1:18" ht="11.25" customHeight="1">
      <c r="A99" s="225"/>
      <c r="B99" s="206"/>
      <c r="C99" s="233"/>
      <c r="D99" s="157" t="s">
        <v>150</v>
      </c>
      <c r="E99" s="197"/>
      <c r="F99" s="197"/>
      <c r="G99" s="197"/>
      <c r="H99" s="197">
        <v>100</v>
      </c>
      <c r="I99" s="197"/>
      <c r="J99" s="197"/>
      <c r="K99" s="197"/>
      <c r="L99" s="220">
        <f aca="true" t="shared" si="24" ref="L99:L111">SUM(E99:K99)</f>
        <v>100</v>
      </c>
      <c r="M99" s="197"/>
      <c r="N99" s="197"/>
      <c r="O99" s="197"/>
      <c r="P99" s="197"/>
      <c r="Q99" s="243">
        <f aca="true" t="shared" si="25" ref="Q99:Q112">SUM(L99:P99)</f>
        <v>100</v>
      </c>
      <c r="R99" s="477"/>
    </row>
    <row r="100" spans="1:18" ht="11.25" customHeight="1">
      <c r="A100" s="225"/>
      <c r="B100" s="206"/>
      <c r="C100" s="233"/>
      <c r="D100" s="157" t="s">
        <v>151</v>
      </c>
      <c r="E100" s="197"/>
      <c r="F100" s="197"/>
      <c r="G100" s="197"/>
      <c r="H100" s="197">
        <v>0</v>
      </c>
      <c r="I100" s="197"/>
      <c r="J100" s="197"/>
      <c r="K100" s="197"/>
      <c r="L100" s="220">
        <f t="shared" si="24"/>
        <v>0</v>
      </c>
      <c r="M100" s="197"/>
      <c r="N100" s="197"/>
      <c r="O100" s="197"/>
      <c r="P100" s="197"/>
      <c r="Q100" s="243">
        <f t="shared" si="25"/>
        <v>0</v>
      </c>
      <c r="R100" s="477"/>
    </row>
    <row r="101" spans="1:18" s="16" customFormat="1" ht="11.25" customHeight="1">
      <c r="A101" s="205"/>
      <c r="B101" s="374">
        <v>3</v>
      </c>
      <c r="C101" s="258"/>
      <c r="D101" s="243" t="s">
        <v>68</v>
      </c>
      <c r="E101" s="220"/>
      <c r="F101" s="220"/>
      <c r="G101" s="243"/>
      <c r="H101" s="220"/>
      <c r="I101" s="220"/>
      <c r="J101" s="220"/>
      <c r="K101" s="220"/>
      <c r="L101" s="220"/>
      <c r="M101" s="220"/>
      <c r="N101" s="220"/>
      <c r="O101" s="220"/>
      <c r="P101" s="220"/>
      <c r="Q101" s="243"/>
      <c r="R101" s="453"/>
    </row>
    <row r="102" spans="1:18" s="16" customFormat="1" ht="11.25" customHeight="1">
      <c r="A102" s="205"/>
      <c r="B102" s="374"/>
      <c r="C102" s="258"/>
      <c r="D102" s="375" t="s">
        <v>149</v>
      </c>
      <c r="E102" s="220">
        <f>E106+E110</f>
        <v>0</v>
      </c>
      <c r="F102" s="220">
        <f aca="true" t="shared" si="26" ref="F102:K102">F106+F110</f>
        <v>0</v>
      </c>
      <c r="G102" s="220">
        <f t="shared" si="26"/>
        <v>8300</v>
      </c>
      <c r="H102" s="220">
        <f t="shared" si="26"/>
        <v>0</v>
      </c>
      <c r="I102" s="220">
        <f t="shared" si="26"/>
        <v>0</v>
      </c>
      <c r="J102" s="220">
        <f t="shared" si="26"/>
        <v>0</v>
      </c>
      <c r="K102" s="220">
        <f t="shared" si="26"/>
        <v>0</v>
      </c>
      <c r="L102" s="220">
        <f>SUM(E102:K102)</f>
        <v>8300</v>
      </c>
      <c r="M102" s="220"/>
      <c r="N102" s="220"/>
      <c r="O102" s="220"/>
      <c r="P102" s="220"/>
      <c r="Q102" s="243">
        <f t="shared" si="25"/>
        <v>8300</v>
      </c>
      <c r="R102" s="453"/>
    </row>
    <row r="103" spans="1:18" s="16" customFormat="1" ht="11.25" customHeight="1">
      <c r="A103" s="205"/>
      <c r="B103" s="374"/>
      <c r="C103" s="258"/>
      <c r="D103" s="375" t="s">
        <v>150</v>
      </c>
      <c r="E103" s="220">
        <f>E107+E111</f>
        <v>0</v>
      </c>
      <c r="F103" s="220">
        <f aca="true" t="shared" si="27" ref="F103:K103">F107+F111</f>
        <v>0</v>
      </c>
      <c r="G103" s="220">
        <f t="shared" si="27"/>
        <v>8300</v>
      </c>
      <c r="H103" s="220">
        <f t="shared" si="27"/>
        <v>0</v>
      </c>
      <c r="I103" s="220">
        <f t="shared" si="27"/>
        <v>0</v>
      </c>
      <c r="J103" s="220">
        <f t="shared" si="27"/>
        <v>0</v>
      </c>
      <c r="K103" s="220">
        <f t="shared" si="27"/>
        <v>0</v>
      </c>
      <c r="L103" s="220">
        <f>SUM(E103:K103)</f>
        <v>8300</v>
      </c>
      <c r="M103" s="220"/>
      <c r="N103" s="220"/>
      <c r="O103" s="220"/>
      <c r="P103" s="220"/>
      <c r="Q103" s="243">
        <f t="shared" si="25"/>
        <v>8300</v>
      </c>
      <c r="R103" s="453"/>
    </row>
    <row r="104" spans="1:18" s="16" customFormat="1" ht="11.25" customHeight="1">
      <c r="A104" s="205"/>
      <c r="B104" s="374"/>
      <c r="C104" s="258"/>
      <c r="D104" s="375" t="s">
        <v>151</v>
      </c>
      <c r="E104" s="220">
        <f>E108+E112</f>
        <v>0</v>
      </c>
      <c r="F104" s="220">
        <f aca="true" t="shared" si="28" ref="F104:K104">F108+F112</f>
        <v>0</v>
      </c>
      <c r="G104" s="220">
        <f t="shared" si="28"/>
        <v>5045</v>
      </c>
      <c r="H104" s="220">
        <f t="shared" si="28"/>
        <v>0</v>
      </c>
      <c r="I104" s="220">
        <f t="shared" si="28"/>
        <v>0</v>
      </c>
      <c r="J104" s="220">
        <f t="shared" si="28"/>
        <v>0</v>
      </c>
      <c r="K104" s="220">
        <f t="shared" si="28"/>
        <v>0</v>
      </c>
      <c r="L104" s="220">
        <f>SUM(E104:K104)</f>
        <v>5045</v>
      </c>
      <c r="M104" s="220"/>
      <c r="N104" s="220"/>
      <c r="O104" s="220"/>
      <c r="P104" s="220"/>
      <c r="Q104" s="243">
        <f t="shared" si="25"/>
        <v>5045</v>
      </c>
      <c r="R104" s="453"/>
    </row>
    <row r="105" spans="1:18" ht="14.25" customHeight="1">
      <c r="A105" s="205"/>
      <c r="B105" s="373" t="s">
        <v>168</v>
      </c>
      <c r="C105" s="207" t="s">
        <v>110</v>
      </c>
      <c r="D105" s="1601" t="s">
        <v>171</v>
      </c>
      <c r="E105" s="1602"/>
      <c r="F105" s="1603"/>
      <c r="G105" s="208"/>
      <c r="H105" s="197"/>
      <c r="I105" s="197"/>
      <c r="J105" s="197"/>
      <c r="K105" s="197"/>
      <c r="L105" s="220"/>
      <c r="M105" s="197"/>
      <c r="N105" s="197"/>
      <c r="O105" s="197"/>
      <c r="P105" s="197"/>
      <c r="Q105" s="243"/>
      <c r="R105" s="453"/>
    </row>
    <row r="106" spans="1:18" ht="11.25" customHeight="1">
      <c r="A106" s="205"/>
      <c r="B106" s="250"/>
      <c r="C106" s="207"/>
      <c r="D106" s="157" t="s">
        <v>149</v>
      </c>
      <c r="E106" s="197"/>
      <c r="F106" s="197"/>
      <c r="G106" s="208">
        <v>8000</v>
      </c>
      <c r="H106" s="197"/>
      <c r="I106" s="197"/>
      <c r="J106" s="197"/>
      <c r="K106" s="197"/>
      <c r="L106" s="220">
        <f t="shared" si="24"/>
        <v>8000</v>
      </c>
      <c r="M106" s="197"/>
      <c r="N106" s="197"/>
      <c r="O106" s="197"/>
      <c r="P106" s="197"/>
      <c r="Q106" s="243">
        <f t="shared" si="25"/>
        <v>8000</v>
      </c>
      <c r="R106" s="453"/>
    </row>
    <row r="107" spans="1:18" ht="11.25" customHeight="1">
      <c r="A107" s="205"/>
      <c r="B107" s="250"/>
      <c r="C107" s="207"/>
      <c r="D107" s="157" t="s">
        <v>150</v>
      </c>
      <c r="E107" s="197"/>
      <c r="F107" s="197"/>
      <c r="G107" s="208">
        <v>8000</v>
      </c>
      <c r="H107" s="197"/>
      <c r="I107" s="197"/>
      <c r="J107" s="197"/>
      <c r="K107" s="197"/>
      <c r="L107" s="220">
        <f t="shared" si="24"/>
        <v>8000</v>
      </c>
      <c r="M107" s="197"/>
      <c r="N107" s="197"/>
      <c r="O107" s="197"/>
      <c r="P107" s="197"/>
      <c r="Q107" s="243">
        <f t="shared" si="25"/>
        <v>8000</v>
      </c>
      <c r="R107" s="453"/>
    </row>
    <row r="108" spans="1:18" ht="11.25" customHeight="1">
      <c r="A108" s="205"/>
      <c r="B108" s="250"/>
      <c r="C108" s="207"/>
      <c r="D108" s="157" t="s">
        <v>151</v>
      </c>
      <c r="E108" s="197"/>
      <c r="F108" s="197"/>
      <c r="G108" s="208">
        <v>4781</v>
      </c>
      <c r="H108" s="197"/>
      <c r="I108" s="197"/>
      <c r="J108" s="197"/>
      <c r="K108" s="197"/>
      <c r="L108" s="220">
        <f t="shared" si="24"/>
        <v>4781</v>
      </c>
      <c r="M108" s="197"/>
      <c r="N108" s="197"/>
      <c r="O108" s="197"/>
      <c r="P108" s="197"/>
      <c r="Q108" s="243">
        <f t="shared" si="25"/>
        <v>4781</v>
      </c>
      <c r="R108" s="453"/>
    </row>
    <row r="109" spans="1:18" ht="15.75" customHeight="1">
      <c r="A109" s="205"/>
      <c r="B109" s="373" t="s">
        <v>169</v>
      </c>
      <c r="C109" s="207" t="s">
        <v>110</v>
      </c>
      <c r="D109" s="1595" t="s">
        <v>832</v>
      </c>
      <c r="E109" s="1596"/>
      <c r="F109" s="1596"/>
      <c r="G109" s="1597"/>
      <c r="H109" s="197"/>
      <c r="I109" s="197"/>
      <c r="J109" s="197"/>
      <c r="K109" s="197"/>
      <c r="L109" s="220"/>
      <c r="M109" s="197"/>
      <c r="N109" s="197"/>
      <c r="O109" s="197"/>
      <c r="P109" s="197"/>
      <c r="Q109" s="243"/>
      <c r="R109" s="453"/>
    </row>
    <row r="110" spans="1:18" ht="9.75" customHeight="1">
      <c r="A110" s="205"/>
      <c r="B110" s="250"/>
      <c r="C110" s="207"/>
      <c r="D110" s="157" t="s">
        <v>149</v>
      </c>
      <c r="E110" s="197"/>
      <c r="F110" s="197"/>
      <c r="G110" s="197">
        <v>300</v>
      </c>
      <c r="H110" s="197"/>
      <c r="I110" s="197"/>
      <c r="J110" s="197"/>
      <c r="K110" s="197"/>
      <c r="L110" s="220">
        <f t="shared" si="24"/>
        <v>300</v>
      </c>
      <c r="M110" s="197"/>
      <c r="N110" s="197"/>
      <c r="O110" s="197"/>
      <c r="P110" s="197"/>
      <c r="Q110" s="243">
        <f t="shared" si="25"/>
        <v>300</v>
      </c>
      <c r="R110" s="453"/>
    </row>
    <row r="111" spans="1:18" ht="9.75" customHeight="1">
      <c r="A111" s="205"/>
      <c r="B111" s="250"/>
      <c r="C111" s="207"/>
      <c r="D111" s="157" t="s">
        <v>150</v>
      </c>
      <c r="E111" s="197"/>
      <c r="F111" s="197"/>
      <c r="G111" s="197">
        <v>300</v>
      </c>
      <c r="H111" s="197"/>
      <c r="I111" s="197"/>
      <c r="J111" s="197"/>
      <c r="K111" s="197"/>
      <c r="L111" s="220">
        <f t="shared" si="24"/>
        <v>300</v>
      </c>
      <c r="M111" s="197"/>
      <c r="N111" s="197"/>
      <c r="O111" s="197"/>
      <c r="P111" s="197"/>
      <c r="Q111" s="243">
        <f t="shared" si="25"/>
        <v>300</v>
      </c>
      <c r="R111" s="453"/>
    </row>
    <row r="112" spans="1:18" ht="9.75" customHeight="1" thickBot="1">
      <c r="A112" s="205"/>
      <c r="B112" s="250"/>
      <c r="C112" s="207"/>
      <c r="D112" s="157" t="s">
        <v>151</v>
      </c>
      <c r="E112" s="197"/>
      <c r="F112" s="197"/>
      <c r="G112" s="197">
        <v>264</v>
      </c>
      <c r="H112" s="197"/>
      <c r="I112" s="197"/>
      <c r="J112" s="197"/>
      <c r="K112" s="197"/>
      <c r="L112" s="220">
        <f>SUM(E112:K112)</f>
        <v>264</v>
      </c>
      <c r="M112" s="197"/>
      <c r="N112" s="197"/>
      <c r="O112" s="197"/>
      <c r="P112" s="197"/>
      <c r="Q112" s="243">
        <f t="shared" si="25"/>
        <v>264</v>
      </c>
      <c r="R112" s="453"/>
    </row>
    <row r="113" spans="1:18" s="16" customFormat="1" ht="14.25" customHeight="1" thickTop="1">
      <c r="A113" s="1614" t="s">
        <v>831</v>
      </c>
      <c r="B113" s="1615"/>
      <c r="C113" s="1615"/>
      <c r="D113" s="1615"/>
      <c r="E113" s="1615"/>
      <c r="F113" s="1616"/>
      <c r="G113" s="735"/>
      <c r="H113" s="360"/>
      <c r="I113" s="360"/>
      <c r="J113" s="360"/>
      <c r="K113" s="360"/>
      <c r="L113" s="360"/>
      <c r="M113" s="360"/>
      <c r="N113" s="360"/>
      <c r="O113" s="360"/>
      <c r="P113" s="360"/>
      <c r="Q113" s="253"/>
      <c r="R113" s="480"/>
    </row>
    <row r="114" spans="1:18" s="16" customFormat="1" ht="11.25" customHeight="1">
      <c r="A114" s="254"/>
      <c r="B114" s="255"/>
      <c r="C114" s="218"/>
      <c r="D114" s="370" t="s">
        <v>149</v>
      </c>
      <c r="E114" s="272">
        <f>E54</f>
        <v>143426</v>
      </c>
      <c r="F114" s="272">
        <f aca="true" t="shared" si="29" ref="F114:K114">F54</f>
        <v>40011</v>
      </c>
      <c r="G114" s="272">
        <f t="shared" si="29"/>
        <v>40000</v>
      </c>
      <c r="H114" s="272">
        <f t="shared" si="29"/>
        <v>700</v>
      </c>
      <c r="I114" s="272">
        <f t="shared" si="29"/>
        <v>0</v>
      </c>
      <c r="J114" s="272">
        <f t="shared" si="29"/>
        <v>28062</v>
      </c>
      <c r="K114" s="272">
        <f t="shared" si="29"/>
        <v>0</v>
      </c>
      <c r="L114" s="272">
        <f>SUM(E114:K114)</f>
        <v>252199</v>
      </c>
      <c r="M114" s="272">
        <f aca="true" t="shared" si="30" ref="M114:P116">M54</f>
        <v>0</v>
      </c>
      <c r="N114" s="272">
        <f t="shared" si="30"/>
        <v>0</v>
      </c>
      <c r="O114" s="272">
        <f t="shared" si="30"/>
        <v>0</v>
      </c>
      <c r="P114" s="272">
        <f t="shared" si="30"/>
        <v>0</v>
      </c>
      <c r="Q114" s="272">
        <f>SUM(L114:P114)</f>
        <v>252199</v>
      </c>
      <c r="R114" s="1262">
        <f>R54</f>
        <v>45</v>
      </c>
    </row>
    <row r="115" spans="1:18" s="16" customFormat="1" ht="11.25" customHeight="1">
      <c r="A115" s="254"/>
      <c r="B115" s="255"/>
      <c r="C115" s="349"/>
      <c r="D115" s="370" t="s">
        <v>150</v>
      </c>
      <c r="E115" s="272">
        <f>E55</f>
        <v>148872</v>
      </c>
      <c r="F115" s="272">
        <f aca="true" t="shared" si="31" ref="F115:I116">F55</f>
        <v>43472</v>
      </c>
      <c r="G115" s="272">
        <f>G55</f>
        <v>45121</v>
      </c>
      <c r="H115" s="272">
        <f t="shared" si="31"/>
        <v>700</v>
      </c>
      <c r="I115" s="272">
        <f t="shared" si="31"/>
        <v>0</v>
      </c>
      <c r="J115" s="272">
        <f>J55</f>
        <v>29062</v>
      </c>
      <c r="K115" s="272">
        <f>K55</f>
        <v>0</v>
      </c>
      <c r="L115" s="272">
        <f>SUM(E115:K115)</f>
        <v>267227</v>
      </c>
      <c r="M115" s="272">
        <f t="shared" si="30"/>
        <v>0</v>
      </c>
      <c r="N115" s="272">
        <f t="shared" si="30"/>
        <v>0</v>
      </c>
      <c r="O115" s="272">
        <f t="shared" si="30"/>
        <v>0</v>
      </c>
      <c r="P115" s="272">
        <f t="shared" si="30"/>
        <v>0</v>
      </c>
      <c r="Q115" s="272">
        <f>SUM(L115:P115)</f>
        <v>267227</v>
      </c>
      <c r="R115" s="1262">
        <f>R55</f>
        <v>45</v>
      </c>
    </row>
    <row r="116" spans="1:18" s="16" customFormat="1" ht="11.25" customHeight="1" thickBot="1">
      <c r="A116" s="189"/>
      <c r="B116" s="221"/>
      <c r="C116" s="192"/>
      <c r="D116" s="372" t="s">
        <v>151</v>
      </c>
      <c r="E116" s="222">
        <f>E56</f>
        <v>138753</v>
      </c>
      <c r="F116" s="222">
        <f t="shared" si="31"/>
        <v>39608</v>
      </c>
      <c r="G116" s="222">
        <f t="shared" si="31"/>
        <v>33571</v>
      </c>
      <c r="H116" s="222">
        <f t="shared" si="31"/>
        <v>0</v>
      </c>
      <c r="I116" s="222">
        <f t="shared" si="31"/>
        <v>0</v>
      </c>
      <c r="J116" s="222">
        <f>J56</f>
        <v>29062</v>
      </c>
      <c r="K116" s="222">
        <f>K56</f>
        <v>0</v>
      </c>
      <c r="L116" s="222">
        <f>SUM(E116:K116)</f>
        <v>240994</v>
      </c>
      <c r="M116" s="222">
        <f t="shared" si="30"/>
        <v>0</v>
      </c>
      <c r="N116" s="222">
        <f t="shared" si="30"/>
        <v>0</v>
      </c>
      <c r="O116" s="222">
        <f t="shared" si="30"/>
        <v>0</v>
      </c>
      <c r="P116" s="222">
        <f t="shared" si="30"/>
        <v>0</v>
      </c>
      <c r="Q116" s="222">
        <f>SUM(L116:P116)</f>
        <v>240994</v>
      </c>
      <c r="R116" s="1055">
        <f>R56</f>
        <v>42</v>
      </c>
    </row>
    <row r="117" spans="1:18" s="22" customFormat="1" ht="10.5" customHeight="1">
      <c r="A117" s="1648" t="s">
        <v>158</v>
      </c>
      <c r="B117" s="1621"/>
      <c r="C117" s="1621"/>
      <c r="D117" s="1621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57"/>
      <c r="R117" s="1364"/>
    </row>
    <row r="118" spans="1:18" s="22" customFormat="1" ht="10.5" customHeight="1">
      <c r="A118" s="205"/>
      <c r="B118" s="218"/>
      <c r="C118" s="218"/>
      <c r="D118" s="375" t="s">
        <v>149</v>
      </c>
      <c r="E118" s="220">
        <f>E62+E70+E106+E110+E78+E86+E94+E98</f>
        <v>87228</v>
      </c>
      <c r="F118" s="220">
        <f aca="true" t="shared" si="32" ref="F118:K118">F62+F70+F106+F110+F78+F86+F94+F98</f>
        <v>24679</v>
      </c>
      <c r="G118" s="220">
        <f t="shared" si="32"/>
        <v>33800</v>
      </c>
      <c r="H118" s="220">
        <f t="shared" si="32"/>
        <v>700</v>
      </c>
      <c r="I118" s="220">
        <f t="shared" si="32"/>
        <v>0</v>
      </c>
      <c r="J118" s="220">
        <f t="shared" si="32"/>
        <v>28062</v>
      </c>
      <c r="K118" s="220">
        <f t="shared" si="32"/>
        <v>0</v>
      </c>
      <c r="L118" s="220">
        <f>SUM(E118:K118)</f>
        <v>174469</v>
      </c>
      <c r="M118" s="220">
        <f>M62+M70+M106+M110+M78</f>
        <v>0</v>
      </c>
      <c r="N118" s="220">
        <f>N62+N70+N106+N110+N78</f>
        <v>0</v>
      </c>
      <c r="O118" s="220">
        <f>O62+O70+O106+O110+O78</f>
        <v>0</v>
      </c>
      <c r="P118" s="220">
        <f>P62+P70+P106+P110+P78</f>
        <v>0</v>
      </c>
      <c r="Q118" s="220">
        <f>SUM(L118:P118)</f>
        <v>174469</v>
      </c>
      <c r="R118" s="1053">
        <f>R62+R70+R106+R110+R78+R86+R94+R98</f>
        <v>28.599999999999998</v>
      </c>
    </row>
    <row r="119" spans="1:18" s="22" customFormat="1" ht="10.5" customHeight="1">
      <c r="A119" s="205"/>
      <c r="B119" s="218"/>
      <c r="C119" s="218"/>
      <c r="D119" s="375" t="s">
        <v>150</v>
      </c>
      <c r="E119" s="220">
        <f>E63+E71+E107+E111+E79+E87+E95+E99</f>
        <v>91041</v>
      </c>
      <c r="F119" s="220">
        <f aca="true" t="shared" si="33" ref="F119:K119">F63+F71+F107+F111+F79+F87+F95+F99</f>
        <v>27059</v>
      </c>
      <c r="G119" s="220">
        <f t="shared" si="33"/>
        <v>35921</v>
      </c>
      <c r="H119" s="220">
        <f t="shared" si="33"/>
        <v>700</v>
      </c>
      <c r="I119" s="220">
        <f t="shared" si="33"/>
        <v>0</v>
      </c>
      <c r="J119" s="220">
        <f t="shared" si="33"/>
        <v>29062</v>
      </c>
      <c r="K119" s="220">
        <f t="shared" si="33"/>
        <v>0</v>
      </c>
      <c r="L119" s="220">
        <f>SUM(E119:K119)</f>
        <v>183783</v>
      </c>
      <c r="M119" s="220">
        <f>M63+M71+M107+M111+M79+M87+M95+M99</f>
        <v>0</v>
      </c>
      <c r="N119" s="220">
        <f>N63+N71+N107+N111+N79+N87+N95+N99</f>
        <v>0</v>
      </c>
      <c r="O119" s="220">
        <f>O63+O71+O107+O111+O79+O87+O95+O99</f>
        <v>0</v>
      </c>
      <c r="P119" s="220">
        <f>P63+P71+P107+P111+P79+P87+P95+P99</f>
        <v>0</v>
      </c>
      <c r="Q119" s="220">
        <f>SUM(L119:P119)</f>
        <v>183783</v>
      </c>
      <c r="R119" s="1053">
        <f>R63+R71+R107+R111+R79+R87+R95+R99</f>
        <v>28.599999999999998</v>
      </c>
    </row>
    <row r="120" spans="1:18" s="22" customFormat="1" ht="10.5" customHeight="1" thickBot="1">
      <c r="A120" s="244"/>
      <c r="B120" s="260"/>
      <c r="C120" s="260"/>
      <c r="D120" s="454" t="s">
        <v>151</v>
      </c>
      <c r="E120" s="220">
        <f>E64+E72+E108+E112+E80+E88+E96+E100</f>
        <v>87688</v>
      </c>
      <c r="F120" s="220">
        <f>F64+F72+F108+F112+F80+F88+F96+F100</f>
        <v>25331</v>
      </c>
      <c r="G120" s="220">
        <f>G64+G72+G108+G112+G80+G88+G96+G100</f>
        <v>29039</v>
      </c>
      <c r="H120" s="220">
        <f>H64+H72+H108+H112+H80+H88+H96+H100</f>
        <v>0</v>
      </c>
      <c r="I120" s="220">
        <f>I64+I72+I108+I112+I80+I88+I96+I100</f>
        <v>0</v>
      </c>
      <c r="J120" s="220">
        <f>J64+J72+J108+J112+J80+J88+J96+J100</f>
        <v>29062</v>
      </c>
      <c r="K120" s="248">
        <f>K72+K64+K80+K92</f>
        <v>0</v>
      </c>
      <c r="L120" s="248">
        <f>SUM(E120:K120)</f>
        <v>171120</v>
      </c>
      <c r="M120" s="248">
        <f>M72+M64+M80+M92</f>
        <v>0</v>
      </c>
      <c r="N120" s="248">
        <f>N72+N64+N80+N92</f>
        <v>0</v>
      </c>
      <c r="O120" s="248">
        <f>O72+O64+O80+O92</f>
        <v>0</v>
      </c>
      <c r="P120" s="248">
        <f>P72+P64+P80+P92</f>
        <v>0</v>
      </c>
      <c r="Q120" s="248">
        <f>SUM(L120:P120)</f>
        <v>171120</v>
      </c>
      <c r="R120" s="1053">
        <f>R64+R72+R108+R112+R80+R88+R96+R100</f>
        <v>27.599999999999998</v>
      </c>
    </row>
    <row r="121" spans="1:18" s="22" customFormat="1" ht="10.5" customHeight="1">
      <c r="A121" s="434"/>
      <c r="B121" s="435"/>
      <c r="C121" s="435"/>
      <c r="D121" s="435" t="s">
        <v>170</v>
      </c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1364"/>
    </row>
    <row r="122" spans="1:18" s="22" customFormat="1" ht="10.5" customHeight="1">
      <c r="A122" s="217"/>
      <c r="B122" s="218"/>
      <c r="C122" s="218"/>
      <c r="D122" s="375" t="s">
        <v>149</v>
      </c>
      <c r="E122" s="220">
        <f>E66</f>
        <v>44611</v>
      </c>
      <c r="F122" s="220">
        <f aca="true" t="shared" si="34" ref="E122:H124">F66</f>
        <v>12158</v>
      </c>
      <c r="G122" s="220">
        <f t="shared" si="34"/>
        <v>6200</v>
      </c>
      <c r="H122" s="220">
        <f t="shared" si="34"/>
        <v>0</v>
      </c>
      <c r="I122" s="220">
        <v>0</v>
      </c>
      <c r="J122" s="220">
        <v>0</v>
      </c>
      <c r="K122" s="220">
        <f>K66</f>
        <v>0</v>
      </c>
      <c r="L122" s="220">
        <f>SUM(E122:K122)</f>
        <v>62969</v>
      </c>
      <c r="M122" s="220"/>
      <c r="N122" s="220"/>
      <c r="O122" s="220"/>
      <c r="P122" s="220"/>
      <c r="Q122" s="220">
        <f>SUM(L122:P122)</f>
        <v>62969</v>
      </c>
      <c r="R122" s="1053">
        <v>13.2</v>
      </c>
    </row>
    <row r="123" spans="1:18" s="22" customFormat="1" ht="10.5" customHeight="1">
      <c r="A123" s="217"/>
      <c r="B123" s="218"/>
      <c r="C123" s="218"/>
      <c r="D123" s="375" t="s">
        <v>150</v>
      </c>
      <c r="E123" s="220">
        <f t="shared" si="34"/>
        <v>45201</v>
      </c>
      <c r="F123" s="220">
        <f t="shared" si="34"/>
        <v>12817</v>
      </c>
      <c r="G123" s="220">
        <f t="shared" si="34"/>
        <v>8200</v>
      </c>
      <c r="H123" s="220">
        <f t="shared" si="34"/>
        <v>0</v>
      </c>
      <c r="I123" s="220">
        <f>I67</f>
        <v>0</v>
      </c>
      <c r="J123" s="220">
        <f>J67</f>
        <v>0</v>
      </c>
      <c r="K123" s="220">
        <f>K67</f>
        <v>0</v>
      </c>
      <c r="L123" s="220">
        <f>SUM(E123:K123)</f>
        <v>66218</v>
      </c>
      <c r="M123" s="220"/>
      <c r="N123" s="220"/>
      <c r="O123" s="220"/>
      <c r="P123" s="220"/>
      <c r="Q123" s="220">
        <f>SUM(L123:P123)</f>
        <v>66218</v>
      </c>
      <c r="R123" s="1053">
        <v>13.2</v>
      </c>
    </row>
    <row r="124" spans="1:18" s="22" customFormat="1" ht="11.25" customHeight="1" thickBot="1">
      <c r="A124" s="297"/>
      <c r="B124" s="192"/>
      <c r="C124" s="192"/>
      <c r="D124" s="456" t="s">
        <v>151</v>
      </c>
      <c r="E124" s="286">
        <f t="shared" si="34"/>
        <v>39837</v>
      </c>
      <c r="F124" s="286">
        <f t="shared" si="34"/>
        <v>11228</v>
      </c>
      <c r="G124" s="286">
        <f t="shared" si="34"/>
        <v>3804</v>
      </c>
      <c r="H124" s="286">
        <f t="shared" si="34"/>
        <v>0</v>
      </c>
      <c r="I124" s="286">
        <f>I68</f>
        <v>0</v>
      </c>
      <c r="J124" s="286">
        <f>J68</f>
        <v>0</v>
      </c>
      <c r="K124" s="286">
        <f>K68</f>
        <v>0</v>
      </c>
      <c r="L124" s="286">
        <f>SUM(E124:K124)</f>
        <v>54869</v>
      </c>
      <c r="M124" s="286"/>
      <c r="N124" s="286"/>
      <c r="O124" s="286"/>
      <c r="P124" s="286"/>
      <c r="Q124" s="286">
        <f>SUM(L124:P124)</f>
        <v>54869</v>
      </c>
      <c r="R124" s="1365">
        <f>R68</f>
        <v>10.2</v>
      </c>
    </row>
    <row r="125" spans="1:18" s="22" customFormat="1" ht="10.5" customHeight="1">
      <c r="A125" s="1649" t="s">
        <v>157</v>
      </c>
      <c r="B125" s="1650"/>
      <c r="C125" s="1650"/>
      <c r="D125" s="1651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41"/>
      <c r="R125" s="1366"/>
    </row>
    <row r="126" spans="1:18" s="22" customFormat="1" ht="10.5" customHeight="1">
      <c r="A126" s="205"/>
      <c r="B126" s="218"/>
      <c r="C126" s="218"/>
      <c r="D126" s="375" t="s">
        <v>149</v>
      </c>
      <c r="E126" s="220">
        <f>E74</f>
        <v>11587</v>
      </c>
      <c r="F126" s="220">
        <f>F74</f>
        <v>3174</v>
      </c>
      <c r="G126" s="220">
        <f>G74</f>
        <v>0</v>
      </c>
      <c r="H126" s="220">
        <f>H74</f>
        <v>0</v>
      </c>
      <c r="I126" s="220">
        <f>I74</f>
        <v>0</v>
      </c>
      <c r="J126" s="220"/>
      <c r="K126" s="220">
        <f>K74</f>
        <v>0</v>
      </c>
      <c r="L126" s="220">
        <f>SUM(E126:K126)</f>
        <v>14761</v>
      </c>
      <c r="M126" s="220">
        <f>M74</f>
        <v>0</v>
      </c>
      <c r="N126" s="220">
        <f>N74</f>
        <v>0</v>
      </c>
      <c r="O126" s="220"/>
      <c r="P126" s="220">
        <f>P74</f>
        <v>0</v>
      </c>
      <c r="Q126" s="220">
        <f>SUM(L126:P126)</f>
        <v>14761</v>
      </c>
      <c r="R126" s="1053">
        <f>R74</f>
        <v>4.2</v>
      </c>
    </row>
    <row r="127" spans="1:18" s="22" customFormat="1" ht="10.5" customHeight="1">
      <c r="A127" s="205"/>
      <c r="B127" s="218"/>
      <c r="C127" s="218"/>
      <c r="D127" s="375" t="s">
        <v>150</v>
      </c>
      <c r="E127" s="220">
        <f>E75+E83</f>
        <v>12630</v>
      </c>
      <c r="F127" s="220">
        <f aca="true" t="shared" si="35" ref="F127:K127">F75+F83</f>
        <v>3596</v>
      </c>
      <c r="G127" s="220">
        <f t="shared" si="35"/>
        <v>1000</v>
      </c>
      <c r="H127" s="220">
        <f t="shared" si="35"/>
        <v>0</v>
      </c>
      <c r="I127" s="220">
        <f t="shared" si="35"/>
        <v>0</v>
      </c>
      <c r="J127" s="220">
        <f t="shared" si="35"/>
        <v>0</v>
      </c>
      <c r="K127" s="220">
        <f t="shared" si="35"/>
        <v>0</v>
      </c>
      <c r="L127" s="220">
        <f>SUM(E127:K127)</f>
        <v>17226</v>
      </c>
      <c r="M127" s="220">
        <f aca="true" t="shared" si="36" ref="M127:P128">M75+M83</f>
        <v>0</v>
      </c>
      <c r="N127" s="220">
        <f t="shared" si="36"/>
        <v>0</v>
      </c>
      <c r="O127" s="220">
        <f t="shared" si="36"/>
        <v>0</v>
      </c>
      <c r="P127" s="220">
        <f t="shared" si="36"/>
        <v>0</v>
      </c>
      <c r="Q127" s="220">
        <f>SUM(L127:P127)</f>
        <v>17226</v>
      </c>
      <c r="R127" s="1053">
        <f>R75</f>
        <v>4.2</v>
      </c>
    </row>
    <row r="128" spans="1:18" s="22" customFormat="1" ht="10.5" customHeight="1" thickBot="1">
      <c r="A128" s="458"/>
      <c r="B128" s="459"/>
      <c r="C128" s="459"/>
      <c r="D128" s="460" t="s">
        <v>151</v>
      </c>
      <c r="E128" s="252">
        <f>E76+E84</f>
        <v>11228</v>
      </c>
      <c r="F128" s="252">
        <f aca="true" t="shared" si="37" ref="F128:K128">F76+F84</f>
        <v>3049</v>
      </c>
      <c r="G128" s="252">
        <f t="shared" si="37"/>
        <v>728</v>
      </c>
      <c r="H128" s="252">
        <f t="shared" si="37"/>
        <v>0</v>
      </c>
      <c r="I128" s="252">
        <f t="shared" si="37"/>
        <v>0</v>
      </c>
      <c r="J128" s="252">
        <f t="shared" si="37"/>
        <v>0</v>
      </c>
      <c r="K128" s="252">
        <f t="shared" si="37"/>
        <v>0</v>
      </c>
      <c r="L128" s="252">
        <f>SUM(E128:K128)</f>
        <v>15005</v>
      </c>
      <c r="M128" s="252">
        <f t="shared" si="36"/>
        <v>0</v>
      </c>
      <c r="N128" s="252">
        <f t="shared" si="36"/>
        <v>0</v>
      </c>
      <c r="O128" s="252">
        <f t="shared" si="36"/>
        <v>0</v>
      </c>
      <c r="P128" s="252">
        <f t="shared" si="36"/>
        <v>0</v>
      </c>
      <c r="Q128" s="252">
        <f>SUM(L128:P128)</f>
        <v>15005</v>
      </c>
      <c r="R128" s="1367">
        <f>R76</f>
        <v>4.2</v>
      </c>
    </row>
    <row r="129" spans="1:18" s="16" customFormat="1" ht="12.75" customHeight="1" thickTop="1">
      <c r="A129" s="228">
        <v>6</v>
      </c>
      <c r="B129" s="190" t="s">
        <v>4</v>
      </c>
      <c r="C129" s="249" t="s">
        <v>110</v>
      </c>
      <c r="D129" s="212" t="s">
        <v>71</v>
      </c>
      <c r="E129" s="285"/>
      <c r="F129" s="285"/>
      <c r="G129" s="222"/>
      <c r="H129" s="285"/>
      <c r="I129" s="285"/>
      <c r="J129" s="285"/>
      <c r="K129" s="285"/>
      <c r="L129" s="285"/>
      <c r="M129" s="285"/>
      <c r="N129" s="285"/>
      <c r="O129" s="285"/>
      <c r="P129" s="285"/>
      <c r="Q129" s="212"/>
      <c r="R129" s="465"/>
    </row>
    <row r="130" spans="1:18" s="16" customFormat="1" ht="12.75" customHeight="1">
      <c r="A130" s="205"/>
      <c r="B130" s="218"/>
      <c r="C130" s="258"/>
      <c r="D130" s="157" t="s">
        <v>149</v>
      </c>
      <c r="E130" s="220"/>
      <c r="F130" s="220"/>
      <c r="G130" s="220">
        <v>2000</v>
      </c>
      <c r="H130" s="220"/>
      <c r="I130" s="220"/>
      <c r="J130" s="220">
        <v>1305</v>
      </c>
      <c r="K130" s="220">
        <v>0</v>
      </c>
      <c r="L130" s="220">
        <f>SUM(G130:K130)</f>
        <v>3305</v>
      </c>
      <c r="M130" s="220">
        <v>0</v>
      </c>
      <c r="N130" s="220"/>
      <c r="O130" s="220">
        <v>0</v>
      </c>
      <c r="P130" s="220"/>
      <c r="Q130" s="243">
        <f>SUM(L130:P130)</f>
        <v>3305</v>
      </c>
      <c r="R130" s="453"/>
    </row>
    <row r="131" spans="1:18" s="16" customFormat="1" ht="12.75" customHeight="1">
      <c r="A131" s="205"/>
      <c r="B131" s="218"/>
      <c r="C131" s="258"/>
      <c r="D131" s="157" t="s">
        <v>150</v>
      </c>
      <c r="E131" s="220"/>
      <c r="F131" s="220"/>
      <c r="G131" s="220">
        <v>2000</v>
      </c>
      <c r="H131" s="220"/>
      <c r="I131" s="220"/>
      <c r="J131" s="220">
        <v>693</v>
      </c>
      <c r="K131" s="220">
        <v>0</v>
      </c>
      <c r="L131" s="220">
        <f>SUM(G131:K131)</f>
        <v>2693</v>
      </c>
      <c r="M131" s="220">
        <v>762</v>
      </c>
      <c r="N131" s="220"/>
      <c r="O131" s="220">
        <v>6923</v>
      </c>
      <c r="P131" s="220"/>
      <c r="Q131" s="243">
        <f>SUM(L131:P131)</f>
        <v>10378</v>
      </c>
      <c r="R131" s="453"/>
    </row>
    <row r="132" spans="1:18" s="16" customFormat="1" ht="12.75" customHeight="1" thickBot="1">
      <c r="A132" s="228"/>
      <c r="B132" s="190"/>
      <c r="C132" s="249"/>
      <c r="D132" s="155" t="s">
        <v>151</v>
      </c>
      <c r="E132" s="222"/>
      <c r="F132" s="222"/>
      <c r="G132" s="222">
        <v>1164</v>
      </c>
      <c r="H132" s="222"/>
      <c r="I132" s="222"/>
      <c r="J132" s="222">
        <v>693</v>
      </c>
      <c r="K132" s="222">
        <v>0</v>
      </c>
      <c r="L132" s="222">
        <f>G132+K132+J132</f>
        <v>1857</v>
      </c>
      <c r="M132" s="222">
        <v>761</v>
      </c>
      <c r="N132" s="222"/>
      <c r="O132" s="222">
        <v>6922</v>
      </c>
      <c r="P132" s="222"/>
      <c r="Q132" s="287">
        <f>SUM(L132:P132)</f>
        <v>9540</v>
      </c>
      <c r="R132" s="457"/>
    </row>
    <row r="133" spans="1:18" s="16" customFormat="1" ht="10.5" customHeight="1">
      <c r="A133" s="238">
        <v>7</v>
      </c>
      <c r="B133" s="187" t="s">
        <v>4</v>
      </c>
      <c r="C133" s="242" t="s">
        <v>110</v>
      </c>
      <c r="D133" s="259" t="s">
        <v>94</v>
      </c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41"/>
      <c r="R133" s="366"/>
    </row>
    <row r="134" spans="1:18" s="16" customFormat="1" ht="10.5" customHeight="1">
      <c r="A134" s="205"/>
      <c r="B134" s="218"/>
      <c r="C134" s="258"/>
      <c r="D134" s="157" t="s">
        <v>149</v>
      </c>
      <c r="E134" s="220"/>
      <c r="F134" s="220"/>
      <c r="G134" s="220">
        <v>850</v>
      </c>
      <c r="H134" s="220"/>
      <c r="I134" s="220"/>
      <c r="J134" s="220"/>
      <c r="K134" s="220"/>
      <c r="L134" s="220">
        <f>SUM(G134:K134)</f>
        <v>850</v>
      </c>
      <c r="M134" s="220">
        <v>5000</v>
      </c>
      <c r="N134" s="220"/>
      <c r="O134" s="220"/>
      <c r="P134" s="220"/>
      <c r="Q134" s="243">
        <f>SUM(L134:P134)</f>
        <v>5850</v>
      </c>
      <c r="R134" s="453"/>
    </row>
    <row r="135" spans="1:18" s="16" customFormat="1" ht="10.5" customHeight="1">
      <c r="A135" s="205"/>
      <c r="B135" s="218"/>
      <c r="C135" s="258"/>
      <c r="D135" s="157" t="s">
        <v>150</v>
      </c>
      <c r="E135" s="220"/>
      <c r="F135" s="220"/>
      <c r="G135" s="220">
        <v>850</v>
      </c>
      <c r="H135" s="220"/>
      <c r="I135" s="220"/>
      <c r="J135" s="220"/>
      <c r="K135" s="220"/>
      <c r="L135" s="220">
        <f>SUM(G135:K135)</f>
        <v>850</v>
      </c>
      <c r="M135" s="220">
        <v>5000</v>
      </c>
      <c r="N135" s="220"/>
      <c r="O135" s="220"/>
      <c r="P135" s="220"/>
      <c r="Q135" s="243">
        <f>SUM(L135:P135)</f>
        <v>5850</v>
      </c>
      <c r="R135" s="453"/>
    </row>
    <row r="136" spans="1:18" s="16" customFormat="1" ht="10.5" customHeight="1" thickBot="1">
      <c r="A136" s="244"/>
      <c r="B136" s="260"/>
      <c r="C136" s="261"/>
      <c r="D136" s="246" t="s">
        <v>151</v>
      </c>
      <c r="E136" s="248"/>
      <c r="F136" s="248"/>
      <c r="G136" s="248">
        <v>66</v>
      </c>
      <c r="H136" s="248"/>
      <c r="I136" s="248"/>
      <c r="J136" s="248"/>
      <c r="K136" s="248"/>
      <c r="L136" s="248">
        <f>SUM(G136:K136)</f>
        <v>66</v>
      </c>
      <c r="M136" s="248">
        <v>0</v>
      </c>
      <c r="N136" s="248"/>
      <c r="O136" s="248"/>
      <c r="P136" s="248"/>
      <c r="Q136" s="262">
        <f>SUM(L136:P136)</f>
        <v>66</v>
      </c>
      <c r="R136" s="455"/>
    </row>
    <row r="137" spans="1:18" s="16" customFormat="1" ht="10.5" customHeight="1">
      <c r="A137" s="228">
        <v>8</v>
      </c>
      <c r="B137" s="190" t="s">
        <v>4</v>
      </c>
      <c r="C137" s="249" t="s">
        <v>110</v>
      </c>
      <c r="D137" s="231" t="s">
        <v>95</v>
      </c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12"/>
      <c r="R137" s="465"/>
    </row>
    <row r="138" spans="1:18" s="16" customFormat="1" ht="10.5" customHeight="1">
      <c r="A138" s="205"/>
      <c r="B138" s="218"/>
      <c r="C138" s="258"/>
      <c r="D138" s="157" t="s">
        <v>149</v>
      </c>
      <c r="E138" s="220"/>
      <c r="F138" s="220"/>
      <c r="G138" s="220">
        <v>400</v>
      </c>
      <c r="H138" s="220"/>
      <c r="I138" s="220"/>
      <c r="J138" s="220"/>
      <c r="K138" s="220"/>
      <c r="L138" s="220">
        <f>SUM(E138:K138)</f>
        <v>400</v>
      </c>
      <c r="M138" s="220">
        <v>118234</v>
      </c>
      <c r="N138" s="220"/>
      <c r="O138" s="220"/>
      <c r="P138" s="220"/>
      <c r="Q138" s="243">
        <f>SUM(L138:M138)</f>
        <v>118634</v>
      </c>
      <c r="R138" s="453"/>
    </row>
    <row r="139" spans="1:18" s="16" customFormat="1" ht="10.5" customHeight="1">
      <c r="A139" s="205"/>
      <c r="B139" s="218"/>
      <c r="C139" s="258"/>
      <c r="D139" s="157" t="s">
        <v>150</v>
      </c>
      <c r="E139" s="220"/>
      <c r="F139" s="220"/>
      <c r="G139" s="220">
        <v>2940</v>
      </c>
      <c r="H139" s="220"/>
      <c r="I139" s="220"/>
      <c r="J139" s="220"/>
      <c r="K139" s="220"/>
      <c r="L139" s="220">
        <f>SUM(E139:K139)</f>
        <v>2940</v>
      </c>
      <c r="M139" s="220">
        <v>168234</v>
      </c>
      <c r="N139" s="220"/>
      <c r="O139" s="220"/>
      <c r="P139" s="220"/>
      <c r="Q139" s="243">
        <f>SUM(L139:P139)</f>
        <v>171174</v>
      </c>
      <c r="R139" s="453"/>
    </row>
    <row r="140" spans="1:18" s="16" customFormat="1" ht="10.5" customHeight="1" thickBot="1">
      <c r="A140" s="228"/>
      <c r="B140" s="190"/>
      <c r="C140" s="249"/>
      <c r="D140" s="155" t="s">
        <v>151</v>
      </c>
      <c r="E140" s="222"/>
      <c r="F140" s="222"/>
      <c r="G140" s="222">
        <v>1657</v>
      </c>
      <c r="H140" s="222"/>
      <c r="I140" s="222"/>
      <c r="J140" s="222"/>
      <c r="K140" s="222"/>
      <c r="L140" s="222">
        <f>SUM(E140:J140)</f>
        <v>1657</v>
      </c>
      <c r="M140" s="222">
        <f>39954+644</f>
        <v>40598</v>
      </c>
      <c r="N140" s="222"/>
      <c r="O140" s="222"/>
      <c r="P140" s="222"/>
      <c r="Q140" s="212">
        <f>SUM(L140:P140)</f>
        <v>42255</v>
      </c>
      <c r="R140" s="465"/>
    </row>
    <row r="141" spans="1:18" ht="12.75" customHeight="1">
      <c r="A141" s="263">
        <v>9</v>
      </c>
      <c r="B141" s="264"/>
      <c r="C141" s="223"/>
      <c r="D141" s="257" t="s">
        <v>208</v>
      </c>
      <c r="E141" s="282"/>
      <c r="F141" s="282"/>
      <c r="G141" s="224"/>
      <c r="H141" s="282"/>
      <c r="I141" s="282"/>
      <c r="J141" s="282"/>
      <c r="K141" s="282"/>
      <c r="L141" s="282"/>
      <c r="M141" s="282"/>
      <c r="N141" s="282"/>
      <c r="O141" s="282"/>
      <c r="P141" s="282"/>
      <c r="Q141" s="257"/>
      <c r="R141" s="466"/>
    </row>
    <row r="142" spans="1:18" ht="10.5" customHeight="1">
      <c r="A142" s="228"/>
      <c r="B142" s="204"/>
      <c r="C142" s="202"/>
      <c r="D142" s="136" t="s">
        <v>149</v>
      </c>
      <c r="E142" s="222">
        <f>E146+E153+E157+E161+E173+E185+E197+E189+E201+E205+E149+E193</f>
        <v>300</v>
      </c>
      <c r="F142" s="222">
        <f aca="true" t="shared" si="38" ref="F142:K142">F146+F153+F157+F161+F173+F185+F197+F189+F201+F205+F149+F193</f>
        <v>83</v>
      </c>
      <c r="G142" s="222">
        <f t="shared" si="38"/>
        <v>233235</v>
      </c>
      <c r="H142" s="222">
        <f t="shared" si="38"/>
        <v>0</v>
      </c>
      <c r="I142" s="222">
        <f t="shared" si="38"/>
        <v>95923</v>
      </c>
      <c r="J142" s="222">
        <f t="shared" si="38"/>
        <v>300</v>
      </c>
      <c r="K142" s="222">
        <f t="shared" si="38"/>
        <v>0</v>
      </c>
      <c r="L142" s="222">
        <f>SUM(E142:K142)</f>
        <v>329841</v>
      </c>
      <c r="M142" s="222">
        <f aca="true" t="shared" si="39" ref="M142:P144">M146+M153+M157+M161+M173+M185+M197+M189+M201+M205+M149+M193</f>
        <v>490086</v>
      </c>
      <c r="N142" s="222">
        <f t="shared" si="39"/>
        <v>4513</v>
      </c>
      <c r="O142" s="222">
        <f t="shared" si="39"/>
        <v>0</v>
      </c>
      <c r="P142" s="222">
        <f t="shared" si="39"/>
        <v>0</v>
      </c>
      <c r="Q142" s="222">
        <f>SUM(L142:P142)</f>
        <v>824440</v>
      </c>
      <c r="R142" s="465"/>
    </row>
    <row r="143" spans="1:18" ht="10.5" customHeight="1">
      <c r="A143" s="205"/>
      <c r="B143" s="208"/>
      <c r="C143" s="207"/>
      <c r="D143" s="157" t="s">
        <v>150</v>
      </c>
      <c r="E143" s="220">
        <f aca="true" t="shared" si="40" ref="E143:K144">E147+E154+E158+E162+E174+E186+E198+E190+E202+E206+E150+E194</f>
        <v>300</v>
      </c>
      <c r="F143" s="220">
        <f t="shared" si="40"/>
        <v>83</v>
      </c>
      <c r="G143" s="220">
        <f t="shared" si="40"/>
        <v>228949</v>
      </c>
      <c r="H143" s="220">
        <f t="shared" si="40"/>
        <v>0</v>
      </c>
      <c r="I143" s="220">
        <f t="shared" si="40"/>
        <v>95923</v>
      </c>
      <c r="J143" s="220">
        <f t="shared" si="40"/>
        <v>300</v>
      </c>
      <c r="K143" s="220">
        <f t="shared" si="40"/>
        <v>0</v>
      </c>
      <c r="L143" s="220">
        <f>SUM(E143:K143)</f>
        <v>325555</v>
      </c>
      <c r="M143" s="220">
        <f t="shared" si="39"/>
        <v>584765</v>
      </c>
      <c r="N143" s="220">
        <f t="shared" si="39"/>
        <v>4513</v>
      </c>
      <c r="O143" s="220">
        <f t="shared" si="39"/>
        <v>0</v>
      </c>
      <c r="P143" s="220">
        <f t="shared" si="39"/>
        <v>0</v>
      </c>
      <c r="Q143" s="220">
        <f>SUM(L143:P143)</f>
        <v>914833</v>
      </c>
      <c r="R143" s="453"/>
    </row>
    <row r="144" spans="1:18" ht="10.5" customHeight="1">
      <c r="A144" s="205"/>
      <c r="B144" s="208"/>
      <c r="C144" s="207"/>
      <c r="D144" s="157" t="s">
        <v>151</v>
      </c>
      <c r="E144" s="222">
        <f t="shared" si="40"/>
        <v>214</v>
      </c>
      <c r="F144" s="222">
        <f t="shared" si="40"/>
        <v>52</v>
      </c>
      <c r="G144" s="222">
        <f t="shared" si="40"/>
        <v>174261</v>
      </c>
      <c r="H144" s="222">
        <f t="shared" si="40"/>
        <v>0</v>
      </c>
      <c r="I144" s="222">
        <f t="shared" si="40"/>
        <v>94175</v>
      </c>
      <c r="J144" s="222">
        <f t="shared" si="40"/>
        <v>0</v>
      </c>
      <c r="K144" s="222">
        <f t="shared" si="40"/>
        <v>0</v>
      </c>
      <c r="L144" s="222">
        <f>SUM(E144:K144)</f>
        <v>268702</v>
      </c>
      <c r="M144" s="222">
        <f t="shared" si="39"/>
        <v>231781</v>
      </c>
      <c r="N144" s="222">
        <f t="shared" si="39"/>
        <v>0</v>
      </c>
      <c r="O144" s="222">
        <f t="shared" si="39"/>
        <v>0</v>
      </c>
      <c r="P144" s="222">
        <f t="shared" si="39"/>
        <v>0</v>
      </c>
      <c r="Q144" s="222">
        <f>SUM(L144:P144)</f>
        <v>500483</v>
      </c>
      <c r="R144" s="453"/>
    </row>
    <row r="145" spans="1:18" ht="14.25" customHeight="1">
      <c r="A145" s="205"/>
      <c r="B145" s="208" t="s">
        <v>4</v>
      </c>
      <c r="C145" s="207"/>
      <c r="D145" s="1590" t="s">
        <v>175</v>
      </c>
      <c r="E145" s="1591"/>
      <c r="F145" s="1592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453"/>
    </row>
    <row r="146" spans="1:18" ht="10.5" customHeight="1">
      <c r="A146" s="205"/>
      <c r="B146" s="208"/>
      <c r="C146" s="207" t="s">
        <v>110</v>
      </c>
      <c r="D146" s="157" t="s">
        <v>149</v>
      </c>
      <c r="E146" s="197"/>
      <c r="F146" s="197"/>
      <c r="G146" s="197">
        <v>55000</v>
      </c>
      <c r="H146" s="197"/>
      <c r="I146" s="197">
        <v>3100</v>
      </c>
      <c r="J146" s="197"/>
      <c r="K146" s="197"/>
      <c r="L146" s="197">
        <f>SUM(E146:K146)</f>
        <v>58100</v>
      </c>
      <c r="M146" s="197">
        <v>23520</v>
      </c>
      <c r="N146" s="220"/>
      <c r="O146" s="220"/>
      <c r="P146" s="220"/>
      <c r="Q146" s="220">
        <f aca="true" t="shared" si="41" ref="Q146:Q151">SUM(L146:P146)</f>
        <v>81620</v>
      </c>
      <c r="R146" s="453"/>
    </row>
    <row r="147" spans="1:18" ht="10.5" customHeight="1">
      <c r="A147" s="205"/>
      <c r="B147" s="208"/>
      <c r="C147" s="207"/>
      <c r="D147" s="157" t="s">
        <v>150</v>
      </c>
      <c r="E147" s="197"/>
      <c r="F147" s="197"/>
      <c r="G147" s="197">
        <v>45994</v>
      </c>
      <c r="H147" s="197"/>
      <c r="I147" s="197">
        <v>3100</v>
      </c>
      <c r="J147" s="197"/>
      <c r="K147" s="197"/>
      <c r="L147" s="197">
        <f aca="true" t="shared" si="42" ref="L147:L198">SUM(E147:K147)</f>
        <v>49094</v>
      </c>
      <c r="M147" s="197">
        <v>28436</v>
      </c>
      <c r="N147" s="220"/>
      <c r="O147" s="220"/>
      <c r="P147" s="220"/>
      <c r="Q147" s="220">
        <f t="shared" si="41"/>
        <v>77530</v>
      </c>
      <c r="R147" s="453"/>
    </row>
    <row r="148" spans="1:18" ht="10.5" customHeight="1">
      <c r="A148" s="205"/>
      <c r="B148" s="208"/>
      <c r="C148" s="207"/>
      <c r="D148" s="157" t="s">
        <v>151</v>
      </c>
      <c r="E148" s="197"/>
      <c r="F148" s="197"/>
      <c r="G148" s="197">
        <f>2317+26511+2715-3+792+3238-521</f>
        <v>35049</v>
      </c>
      <c r="H148" s="197"/>
      <c r="I148" s="197">
        <v>1352</v>
      </c>
      <c r="J148" s="197"/>
      <c r="K148" s="197"/>
      <c r="L148" s="197">
        <f>SUM(E148:K148)</f>
        <v>36401</v>
      </c>
      <c r="M148" s="197">
        <f>1494+747+1103+4899-4074+1275+650+399+501+485+272+474</f>
        <v>8225</v>
      </c>
      <c r="N148" s="220"/>
      <c r="O148" s="220"/>
      <c r="P148" s="220"/>
      <c r="Q148" s="220">
        <f t="shared" si="41"/>
        <v>44626</v>
      </c>
      <c r="R148" s="453"/>
    </row>
    <row r="149" spans="1:18" ht="10.5" customHeight="1">
      <c r="A149" s="205"/>
      <c r="B149" s="208"/>
      <c r="C149" s="207" t="s">
        <v>111</v>
      </c>
      <c r="D149" s="157" t="s">
        <v>149</v>
      </c>
      <c r="E149" s="197"/>
      <c r="F149" s="197"/>
      <c r="G149" s="197">
        <v>10000</v>
      </c>
      <c r="H149" s="197"/>
      <c r="I149" s="197"/>
      <c r="J149" s="197"/>
      <c r="K149" s="197"/>
      <c r="L149" s="197">
        <f>SUM(E149:K149)</f>
        <v>10000</v>
      </c>
      <c r="M149" s="197">
        <v>300</v>
      </c>
      <c r="N149" s="220"/>
      <c r="O149" s="220"/>
      <c r="P149" s="220"/>
      <c r="Q149" s="220">
        <f t="shared" si="41"/>
        <v>10300</v>
      </c>
      <c r="R149" s="453"/>
    </row>
    <row r="150" spans="1:18" ht="10.5" customHeight="1">
      <c r="A150" s="205"/>
      <c r="B150" s="208"/>
      <c r="C150" s="207"/>
      <c r="D150" s="157" t="s">
        <v>150</v>
      </c>
      <c r="E150" s="197"/>
      <c r="F150" s="197"/>
      <c r="G150" s="197">
        <v>14000</v>
      </c>
      <c r="H150" s="197"/>
      <c r="I150" s="197"/>
      <c r="J150" s="197"/>
      <c r="K150" s="197"/>
      <c r="L150" s="197">
        <f>SUM(E150:K150)</f>
        <v>14000</v>
      </c>
      <c r="M150" s="197">
        <v>7350</v>
      </c>
      <c r="N150" s="220"/>
      <c r="O150" s="220"/>
      <c r="P150" s="220"/>
      <c r="Q150" s="220">
        <f t="shared" si="41"/>
        <v>21350</v>
      </c>
      <c r="R150" s="453"/>
    </row>
    <row r="151" spans="1:18" ht="10.5" customHeight="1">
      <c r="A151" s="205"/>
      <c r="B151" s="208"/>
      <c r="C151" s="207"/>
      <c r="D151" s="157" t="s">
        <v>151</v>
      </c>
      <c r="E151" s="197"/>
      <c r="F151" s="197"/>
      <c r="G151" s="197">
        <f>318+5300</f>
        <v>5618</v>
      </c>
      <c r="H151" s="197"/>
      <c r="I151" s="197"/>
      <c r="J151" s="197"/>
      <c r="K151" s="197"/>
      <c r="L151" s="197">
        <f>SUM(E151:K151)</f>
        <v>5618</v>
      </c>
      <c r="M151" s="197">
        <f>578+549+1257+539+432</f>
        <v>3355</v>
      </c>
      <c r="N151" s="220"/>
      <c r="O151" s="220"/>
      <c r="P151" s="220"/>
      <c r="Q151" s="220">
        <f t="shared" si="41"/>
        <v>8973</v>
      </c>
      <c r="R151" s="453"/>
    </row>
    <row r="152" spans="1:18" ht="24" customHeight="1">
      <c r="A152" s="205"/>
      <c r="B152" s="208" t="s">
        <v>5</v>
      </c>
      <c r="C152" s="207" t="s">
        <v>111</v>
      </c>
      <c r="D152" s="251" t="s">
        <v>172</v>
      </c>
      <c r="E152" s="197"/>
      <c r="F152" s="197"/>
      <c r="G152" s="197"/>
      <c r="H152" s="197"/>
      <c r="I152" s="197"/>
      <c r="J152" s="197"/>
      <c r="K152" s="197"/>
      <c r="L152" s="197"/>
      <c r="M152" s="220"/>
      <c r="N152" s="220"/>
      <c r="O152" s="220"/>
      <c r="P152" s="220"/>
      <c r="Q152" s="220"/>
      <c r="R152" s="453"/>
    </row>
    <row r="153" spans="1:18" ht="10.5" customHeight="1">
      <c r="A153" s="205"/>
      <c r="B153" s="208"/>
      <c r="C153" s="207"/>
      <c r="D153" s="157" t="s">
        <v>149</v>
      </c>
      <c r="E153" s="197"/>
      <c r="F153" s="197"/>
      <c r="G153" s="197">
        <v>15000</v>
      </c>
      <c r="H153" s="197"/>
      <c r="I153" s="197"/>
      <c r="J153" s="197"/>
      <c r="K153" s="197"/>
      <c r="L153" s="197">
        <f t="shared" si="42"/>
        <v>15000</v>
      </c>
      <c r="M153" s="220"/>
      <c r="N153" s="220"/>
      <c r="O153" s="220"/>
      <c r="P153" s="220"/>
      <c r="Q153" s="220">
        <f>SUM(L153:P153)</f>
        <v>15000</v>
      </c>
      <c r="R153" s="453"/>
    </row>
    <row r="154" spans="1:18" ht="10.5" customHeight="1">
      <c r="A154" s="205"/>
      <c r="B154" s="208"/>
      <c r="C154" s="207"/>
      <c r="D154" s="157" t="s">
        <v>150</v>
      </c>
      <c r="E154" s="197"/>
      <c r="F154" s="197"/>
      <c r="G154" s="197">
        <v>9387</v>
      </c>
      <c r="H154" s="197"/>
      <c r="I154" s="197"/>
      <c r="J154" s="197"/>
      <c r="K154" s="197"/>
      <c r="L154" s="197">
        <f t="shared" si="42"/>
        <v>9387</v>
      </c>
      <c r="M154" s="220"/>
      <c r="N154" s="220"/>
      <c r="O154" s="220"/>
      <c r="P154" s="220"/>
      <c r="Q154" s="220">
        <f>SUM(L154:P154)</f>
        <v>9387</v>
      </c>
      <c r="R154" s="453"/>
    </row>
    <row r="155" spans="1:18" ht="10.5" customHeight="1">
      <c r="A155" s="205"/>
      <c r="B155" s="208"/>
      <c r="C155" s="207"/>
      <c r="D155" s="157" t="s">
        <v>151</v>
      </c>
      <c r="E155" s="197"/>
      <c r="F155" s="197"/>
      <c r="G155" s="197">
        <v>0</v>
      </c>
      <c r="H155" s="197"/>
      <c r="I155" s="197"/>
      <c r="J155" s="197"/>
      <c r="K155" s="197"/>
      <c r="L155" s="197">
        <f t="shared" si="42"/>
        <v>0</v>
      </c>
      <c r="M155" s="220"/>
      <c r="N155" s="220"/>
      <c r="O155" s="220"/>
      <c r="P155" s="220"/>
      <c r="Q155" s="220">
        <f>SUM(L155:P155)</f>
        <v>0</v>
      </c>
      <c r="R155" s="453"/>
    </row>
    <row r="156" spans="1:18" ht="27.75" customHeight="1">
      <c r="A156" s="205"/>
      <c r="B156" s="208" t="s">
        <v>6</v>
      </c>
      <c r="C156" s="207" t="s">
        <v>110</v>
      </c>
      <c r="D156" s="1601" t="s">
        <v>176</v>
      </c>
      <c r="E156" s="1602"/>
      <c r="F156" s="1602"/>
      <c r="G156" s="1602"/>
      <c r="H156" s="1603"/>
      <c r="I156" s="236"/>
      <c r="J156" s="236"/>
      <c r="K156" s="236"/>
      <c r="L156" s="197"/>
      <c r="M156" s="284"/>
      <c r="N156" s="284"/>
      <c r="O156" s="284"/>
      <c r="P156" s="284"/>
      <c r="Q156" s="220"/>
      <c r="R156" s="453"/>
    </row>
    <row r="157" spans="1:18" ht="10.5" customHeight="1">
      <c r="A157" s="205"/>
      <c r="B157" s="208"/>
      <c r="C157" s="207"/>
      <c r="D157" s="157" t="s">
        <v>149</v>
      </c>
      <c r="E157" s="236"/>
      <c r="F157" s="236"/>
      <c r="G157" s="197">
        <v>10000</v>
      </c>
      <c r="H157" s="197"/>
      <c r="I157" s="197"/>
      <c r="J157" s="197"/>
      <c r="K157" s="197"/>
      <c r="L157" s="197">
        <f t="shared" si="42"/>
        <v>10000</v>
      </c>
      <c r="M157" s="220"/>
      <c r="N157" s="220"/>
      <c r="O157" s="220"/>
      <c r="P157" s="284"/>
      <c r="Q157" s="220">
        <f>SUM(L157:P157)</f>
        <v>10000</v>
      </c>
      <c r="R157" s="453"/>
    </row>
    <row r="158" spans="1:18" ht="10.5" customHeight="1">
      <c r="A158" s="205"/>
      <c r="B158" s="208"/>
      <c r="C158" s="207"/>
      <c r="D158" s="157" t="s">
        <v>150</v>
      </c>
      <c r="E158" s="236"/>
      <c r="F158" s="236"/>
      <c r="G158" s="197">
        <v>10971</v>
      </c>
      <c r="H158" s="197"/>
      <c r="I158" s="197"/>
      <c r="J158" s="197"/>
      <c r="K158" s="197"/>
      <c r="L158" s="197">
        <f t="shared" si="42"/>
        <v>10971</v>
      </c>
      <c r="M158" s="220"/>
      <c r="N158" s="220"/>
      <c r="O158" s="220"/>
      <c r="P158" s="284"/>
      <c r="Q158" s="220">
        <f>SUM(L158:P158)</f>
        <v>10971</v>
      </c>
      <c r="R158" s="453"/>
    </row>
    <row r="159" spans="1:18" ht="10.5" customHeight="1">
      <c r="A159" s="205"/>
      <c r="B159" s="208"/>
      <c r="C159" s="207"/>
      <c r="D159" s="157" t="s">
        <v>151</v>
      </c>
      <c r="E159" s="236"/>
      <c r="F159" s="236"/>
      <c r="G159" s="197">
        <v>6884</v>
      </c>
      <c r="H159" s="197"/>
      <c r="I159" s="197"/>
      <c r="J159" s="197"/>
      <c r="K159" s="197"/>
      <c r="L159" s="197">
        <f t="shared" si="42"/>
        <v>6884</v>
      </c>
      <c r="M159" s="220"/>
      <c r="N159" s="220"/>
      <c r="O159" s="220"/>
      <c r="P159" s="284"/>
      <c r="Q159" s="220">
        <f>SUM(L159:P159)</f>
        <v>6884</v>
      </c>
      <c r="R159" s="453"/>
    </row>
    <row r="160" spans="1:18" ht="10.5" customHeight="1">
      <c r="A160" s="205"/>
      <c r="B160" s="208" t="s">
        <v>7</v>
      </c>
      <c r="C160" s="207"/>
      <c r="D160" s="235" t="s">
        <v>639</v>
      </c>
      <c r="E160" s="197"/>
      <c r="F160" s="197"/>
      <c r="G160" s="197"/>
      <c r="H160" s="197"/>
      <c r="I160" s="197"/>
      <c r="J160" s="197"/>
      <c r="K160" s="197"/>
      <c r="L160" s="197"/>
      <c r="M160" s="220"/>
      <c r="N160" s="220"/>
      <c r="O160" s="220"/>
      <c r="P160" s="220"/>
      <c r="Q160" s="220"/>
      <c r="R160" s="453"/>
    </row>
    <row r="161" spans="1:18" ht="10.5" customHeight="1">
      <c r="A161" s="205"/>
      <c r="B161" s="208"/>
      <c r="C161" s="207"/>
      <c r="D161" s="157" t="s">
        <v>149</v>
      </c>
      <c r="E161" s="197"/>
      <c r="F161" s="197"/>
      <c r="G161" s="197">
        <f>G165+G169</f>
        <v>15200</v>
      </c>
      <c r="H161" s="197"/>
      <c r="I161" s="197"/>
      <c r="J161" s="197"/>
      <c r="K161" s="197"/>
      <c r="L161" s="197">
        <f t="shared" si="42"/>
        <v>15200</v>
      </c>
      <c r="M161" s="220"/>
      <c r="N161" s="220"/>
      <c r="O161" s="220"/>
      <c r="P161" s="220"/>
      <c r="Q161" s="220">
        <f>SUM(L161:P161)</f>
        <v>15200</v>
      </c>
      <c r="R161" s="453"/>
    </row>
    <row r="162" spans="1:18" ht="10.5" customHeight="1">
      <c r="A162" s="205"/>
      <c r="B162" s="208"/>
      <c r="C162" s="207"/>
      <c r="D162" s="157" t="s">
        <v>150</v>
      </c>
      <c r="E162" s="197"/>
      <c r="F162" s="197"/>
      <c r="G162" s="197">
        <f>G166+G170</f>
        <v>15200</v>
      </c>
      <c r="H162" s="197"/>
      <c r="I162" s="197"/>
      <c r="J162" s="197"/>
      <c r="K162" s="197"/>
      <c r="L162" s="197">
        <f t="shared" si="42"/>
        <v>15200</v>
      </c>
      <c r="M162" s="220"/>
      <c r="N162" s="220"/>
      <c r="O162" s="220"/>
      <c r="P162" s="220"/>
      <c r="Q162" s="220">
        <f>SUM(L162:P162)</f>
        <v>15200</v>
      </c>
      <c r="R162" s="453"/>
    </row>
    <row r="163" spans="1:18" ht="10.5" customHeight="1">
      <c r="A163" s="205"/>
      <c r="B163" s="208"/>
      <c r="C163" s="207"/>
      <c r="D163" s="157" t="s">
        <v>151</v>
      </c>
      <c r="E163" s="197"/>
      <c r="F163" s="197"/>
      <c r="G163" s="197">
        <f>G167+G171</f>
        <v>8757</v>
      </c>
      <c r="H163" s="197"/>
      <c r="I163" s="197"/>
      <c r="J163" s="197"/>
      <c r="K163" s="197"/>
      <c r="L163" s="197">
        <f t="shared" si="42"/>
        <v>8757</v>
      </c>
      <c r="M163" s="220"/>
      <c r="N163" s="220"/>
      <c r="O163" s="220"/>
      <c r="P163" s="220"/>
      <c r="Q163" s="220">
        <f>SUM(L163:P163)</f>
        <v>8757</v>
      </c>
      <c r="R163" s="453"/>
    </row>
    <row r="164" spans="1:18" s="20" customFormat="1" ht="10.5" customHeight="1">
      <c r="A164" s="393"/>
      <c r="B164" s="398"/>
      <c r="C164" s="378" t="s">
        <v>110</v>
      </c>
      <c r="D164" s="394" t="s">
        <v>174</v>
      </c>
      <c r="E164" s="380"/>
      <c r="F164" s="380"/>
      <c r="G164" s="380"/>
      <c r="H164" s="380"/>
      <c r="I164" s="380"/>
      <c r="J164" s="380"/>
      <c r="K164" s="380"/>
      <c r="L164" s="380"/>
      <c r="M164" s="381"/>
      <c r="N164" s="381"/>
      <c r="O164" s="381"/>
      <c r="P164" s="381"/>
      <c r="Q164" s="381"/>
      <c r="R164" s="479"/>
    </row>
    <row r="165" spans="1:18" s="20" customFormat="1" ht="10.5" customHeight="1">
      <c r="A165" s="393"/>
      <c r="B165" s="398"/>
      <c r="C165" s="378"/>
      <c r="D165" s="396" t="s">
        <v>149</v>
      </c>
      <c r="E165" s="380"/>
      <c r="F165" s="380"/>
      <c r="G165" s="380">
        <v>12000</v>
      </c>
      <c r="H165" s="380"/>
      <c r="I165" s="380"/>
      <c r="J165" s="380"/>
      <c r="K165" s="380"/>
      <c r="L165" s="380">
        <f t="shared" si="42"/>
        <v>12000</v>
      </c>
      <c r="M165" s="381"/>
      <c r="N165" s="381"/>
      <c r="O165" s="381"/>
      <c r="P165" s="381"/>
      <c r="Q165" s="381">
        <f>SUM(L165:P165)</f>
        <v>12000</v>
      </c>
      <c r="R165" s="479"/>
    </row>
    <row r="166" spans="1:18" s="20" customFormat="1" ht="10.5" customHeight="1">
      <c r="A166" s="393"/>
      <c r="B166" s="398"/>
      <c r="C166" s="378"/>
      <c r="D166" s="396" t="s">
        <v>150</v>
      </c>
      <c r="E166" s="380"/>
      <c r="F166" s="380"/>
      <c r="G166" s="380">
        <v>12000</v>
      </c>
      <c r="H166" s="380"/>
      <c r="I166" s="380"/>
      <c r="J166" s="380"/>
      <c r="K166" s="380"/>
      <c r="L166" s="380">
        <f t="shared" si="42"/>
        <v>12000</v>
      </c>
      <c r="M166" s="381"/>
      <c r="N166" s="381"/>
      <c r="O166" s="381"/>
      <c r="P166" s="381"/>
      <c r="Q166" s="381">
        <f>SUM(L166:P166)</f>
        <v>12000</v>
      </c>
      <c r="R166" s="479"/>
    </row>
    <row r="167" spans="1:18" s="20" customFormat="1" ht="10.5" customHeight="1">
      <c r="A167" s="393"/>
      <c r="B167" s="398"/>
      <c r="C167" s="378"/>
      <c r="D167" s="396" t="s">
        <v>151</v>
      </c>
      <c r="E167" s="380"/>
      <c r="F167" s="380"/>
      <c r="G167" s="380">
        <f>7982+263+118</f>
        <v>8363</v>
      </c>
      <c r="H167" s="380"/>
      <c r="I167" s="380"/>
      <c r="J167" s="380"/>
      <c r="K167" s="380"/>
      <c r="L167" s="380">
        <f t="shared" si="42"/>
        <v>8363</v>
      </c>
      <c r="M167" s="381"/>
      <c r="N167" s="381"/>
      <c r="O167" s="381"/>
      <c r="P167" s="381"/>
      <c r="Q167" s="381">
        <f>SUM(L167:P167)</f>
        <v>8363</v>
      </c>
      <c r="R167" s="479"/>
    </row>
    <row r="168" spans="1:18" s="20" customFormat="1" ht="10.5" customHeight="1">
      <c r="A168" s="393"/>
      <c r="B168" s="398"/>
      <c r="C168" s="378" t="s">
        <v>111</v>
      </c>
      <c r="D168" s="397" t="s">
        <v>152</v>
      </c>
      <c r="E168" s="380"/>
      <c r="F168" s="380"/>
      <c r="G168" s="380"/>
      <c r="H168" s="380"/>
      <c r="I168" s="380"/>
      <c r="J168" s="380"/>
      <c r="K168" s="380"/>
      <c r="L168" s="380"/>
      <c r="M168" s="381"/>
      <c r="N168" s="381"/>
      <c r="O168" s="381"/>
      <c r="P168" s="381"/>
      <c r="Q168" s="381"/>
      <c r="R168" s="479"/>
    </row>
    <row r="169" spans="1:18" s="20" customFormat="1" ht="10.5" customHeight="1">
      <c r="A169" s="393"/>
      <c r="B169" s="398"/>
      <c r="C169" s="378"/>
      <c r="D169" s="396" t="s">
        <v>149</v>
      </c>
      <c r="E169" s="380"/>
      <c r="F169" s="380"/>
      <c r="G169" s="380">
        <v>3200</v>
      </c>
      <c r="H169" s="380"/>
      <c r="I169" s="380"/>
      <c r="J169" s="380"/>
      <c r="K169" s="380"/>
      <c r="L169" s="380">
        <f t="shared" si="42"/>
        <v>3200</v>
      </c>
      <c r="M169" s="381"/>
      <c r="N169" s="381"/>
      <c r="O169" s="381"/>
      <c r="P169" s="381"/>
      <c r="Q169" s="381">
        <f>SUM(L169:P169)</f>
        <v>3200</v>
      </c>
      <c r="R169" s="479"/>
    </row>
    <row r="170" spans="1:18" s="20" customFormat="1" ht="10.5" customHeight="1">
      <c r="A170" s="393"/>
      <c r="B170" s="398"/>
      <c r="C170" s="378"/>
      <c r="D170" s="396" t="s">
        <v>150</v>
      </c>
      <c r="E170" s="380"/>
      <c r="F170" s="380"/>
      <c r="G170" s="380">
        <v>3200</v>
      </c>
      <c r="H170" s="380"/>
      <c r="I170" s="380"/>
      <c r="J170" s="380"/>
      <c r="K170" s="380"/>
      <c r="L170" s="380">
        <f t="shared" si="42"/>
        <v>3200</v>
      </c>
      <c r="M170" s="381"/>
      <c r="N170" s="381"/>
      <c r="O170" s="381"/>
      <c r="P170" s="381"/>
      <c r="Q170" s="381">
        <f>SUM(L170:P170)</f>
        <v>3200</v>
      </c>
      <c r="R170" s="479"/>
    </row>
    <row r="171" spans="1:18" s="20" customFormat="1" ht="10.5" customHeight="1">
      <c r="A171" s="393"/>
      <c r="B171" s="398"/>
      <c r="C171" s="378"/>
      <c r="D171" s="396" t="s">
        <v>151</v>
      </c>
      <c r="E171" s="380"/>
      <c r="F171" s="380"/>
      <c r="G171" s="380">
        <v>394</v>
      </c>
      <c r="H171" s="380"/>
      <c r="I171" s="380"/>
      <c r="J171" s="380"/>
      <c r="K171" s="380"/>
      <c r="L171" s="380">
        <f t="shared" si="42"/>
        <v>394</v>
      </c>
      <c r="M171" s="381"/>
      <c r="N171" s="381"/>
      <c r="O171" s="381"/>
      <c r="P171" s="381"/>
      <c r="Q171" s="381">
        <f>SUM(L171:P171)</f>
        <v>394</v>
      </c>
      <c r="R171" s="479"/>
    </row>
    <row r="172" spans="1:18" ht="10.5" customHeight="1">
      <c r="A172" s="205"/>
      <c r="B172" s="208" t="s">
        <v>8</v>
      </c>
      <c r="C172" s="207"/>
      <c r="D172" s="235" t="s">
        <v>177</v>
      </c>
      <c r="E172" s="197"/>
      <c r="F172" s="197"/>
      <c r="G172" s="197"/>
      <c r="H172" s="197"/>
      <c r="I172" s="197"/>
      <c r="J172" s="197"/>
      <c r="K172" s="197"/>
      <c r="L172" s="197"/>
      <c r="M172" s="220"/>
      <c r="N172" s="284"/>
      <c r="O172" s="284"/>
      <c r="P172" s="284"/>
      <c r="Q172" s="220"/>
      <c r="R172" s="453"/>
    </row>
    <row r="173" spans="1:18" ht="10.5" customHeight="1">
      <c r="A173" s="205"/>
      <c r="B173" s="208"/>
      <c r="C173" s="207"/>
      <c r="D173" s="157" t="s">
        <v>149</v>
      </c>
      <c r="E173" s="197"/>
      <c r="F173" s="197"/>
      <c r="G173" s="197">
        <f>G177+G181</f>
        <v>0</v>
      </c>
      <c r="H173" s="197"/>
      <c r="I173" s="197"/>
      <c r="J173" s="197"/>
      <c r="K173" s="197"/>
      <c r="L173" s="197">
        <f t="shared" si="42"/>
        <v>0</v>
      </c>
      <c r="M173" s="197">
        <f>M177+M181</f>
        <v>385348</v>
      </c>
      <c r="N173" s="197">
        <f>N181</f>
        <v>4513</v>
      </c>
      <c r="O173" s="514"/>
      <c r="Q173" s="220">
        <f>SUM(L173:N173)</f>
        <v>389861</v>
      </c>
      <c r="R173" s="453"/>
    </row>
    <row r="174" spans="1:18" ht="10.5" customHeight="1">
      <c r="A174" s="205"/>
      <c r="B174" s="208"/>
      <c r="C174" s="207"/>
      <c r="D174" s="157" t="s">
        <v>150</v>
      </c>
      <c r="E174" s="220"/>
      <c r="F174" s="220"/>
      <c r="G174" s="197">
        <f>G178+G182</f>
        <v>6000</v>
      </c>
      <c r="H174" s="197">
        <f>H178+H182</f>
        <v>0</v>
      </c>
      <c r="I174" s="197">
        <f>I178+I182</f>
        <v>0</v>
      </c>
      <c r="J174" s="220"/>
      <c r="K174" s="220"/>
      <c r="L174" s="197">
        <f t="shared" si="42"/>
        <v>6000</v>
      </c>
      <c r="M174" s="197">
        <f>M178+M182</f>
        <v>454189</v>
      </c>
      <c r="N174" s="197">
        <f>N178+N182</f>
        <v>4513</v>
      </c>
      <c r="O174" s="197"/>
      <c r="P174" s="288"/>
      <c r="Q174" s="220">
        <f>SUM(L174:N174)</f>
        <v>464702</v>
      </c>
      <c r="R174" s="453"/>
    </row>
    <row r="175" spans="1:18" ht="10.5" customHeight="1">
      <c r="A175" s="205"/>
      <c r="B175" s="208"/>
      <c r="C175" s="207"/>
      <c r="D175" s="157" t="s">
        <v>151</v>
      </c>
      <c r="E175" s="220"/>
      <c r="F175" s="220"/>
      <c r="G175" s="197">
        <f>G179+G183</f>
        <v>0</v>
      </c>
      <c r="H175" s="197">
        <f>H179+H183</f>
        <v>0</v>
      </c>
      <c r="I175" s="197">
        <f>I179+I183</f>
        <v>0</v>
      </c>
      <c r="J175" s="220"/>
      <c r="K175" s="220"/>
      <c r="L175" s="197">
        <f t="shared" si="42"/>
        <v>0</v>
      </c>
      <c r="M175" s="197">
        <f>M179+M183</f>
        <v>197035</v>
      </c>
      <c r="N175" s="197">
        <f>N179+N183</f>
        <v>0</v>
      </c>
      <c r="O175" s="197"/>
      <c r="P175" s="288"/>
      <c r="Q175" s="220">
        <f>SUM(L175:N175)</f>
        <v>197035</v>
      </c>
      <c r="R175" s="453"/>
    </row>
    <row r="176" spans="1:18" s="20" customFormat="1" ht="11.25" customHeight="1">
      <c r="A176" s="393"/>
      <c r="B176" s="377"/>
      <c r="C176" s="378" t="s">
        <v>110</v>
      </c>
      <c r="D176" s="394" t="s">
        <v>174</v>
      </c>
      <c r="E176" s="380"/>
      <c r="F176" s="380"/>
      <c r="G176" s="380"/>
      <c r="H176" s="380"/>
      <c r="I176" s="380"/>
      <c r="J176" s="380"/>
      <c r="K176" s="380"/>
      <c r="L176" s="380"/>
      <c r="M176" s="380"/>
      <c r="N176" s="380"/>
      <c r="O176" s="380"/>
      <c r="P176" s="399"/>
      <c r="Q176" s="381"/>
      <c r="R176" s="479"/>
    </row>
    <row r="177" spans="1:18" s="20" customFormat="1" ht="11.25" customHeight="1">
      <c r="A177" s="393"/>
      <c r="B177" s="377"/>
      <c r="C177" s="378"/>
      <c r="D177" s="396" t="s">
        <v>149</v>
      </c>
      <c r="E177" s="380"/>
      <c r="F177" s="380"/>
      <c r="G177" s="380">
        <v>0</v>
      </c>
      <c r="H177" s="380"/>
      <c r="I177" s="380"/>
      <c r="J177" s="380"/>
      <c r="K177" s="380"/>
      <c r="L177" s="380">
        <f t="shared" si="42"/>
        <v>0</v>
      </c>
      <c r="M177" s="380">
        <v>35348</v>
      </c>
      <c r="N177" s="380"/>
      <c r="O177" s="380"/>
      <c r="P177" s="399"/>
      <c r="Q177" s="381">
        <f>SUM(L177:N177)</f>
        <v>35348</v>
      </c>
      <c r="R177" s="479"/>
    </row>
    <row r="178" spans="1:18" s="20" customFormat="1" ht="11.25" customHeight="1">
      <c r="A178" s="393"/>
      <c r="B178" s="377"/>
      <c r="C178" s="378"/>
      <c r="D178" s="396" t="s">
        <v>150</v>
      </c>
      <c r="E178" s="380"/>
      <c r="F178" s="380"/>
      <c r="G178" s="380">
        <v>6000</v>
      </c>
      <c r="H178" s="380"/>
      <c r="I178" s="380"/>
      <c r="J178" s="380"/>
      <c r="K178" s="380"/>
      <c r="L178" s="380">
        <f t="shared" si="42"/>
        <v>6000</v>
      </c>
      <c r="M178" s="380">
        <v>347092</v>
      </c>
      <c r="N178" s="380"/>
      <c r="O178" s="380"/>
      <c r="P178" s="399"/>
      <c r="Q178" s="381">
        <f>SUM(L178:N178)</f>
        <v>353092</v>
      </c>
      <c r="R178" s="479"/>
    </row>
    <row r="179" spans="1:18" s="20" customFormat="1" ht="11.25" customHeight="1">
      <c r="A179" s="393"/>
      <c r="B179" s="377"/>
      <c r="C179" s="378"/>
      <c r="D179" s="396" t="s">
        <v>151</v>
      </c>
      <c r="E179" s="380"/>
      <c r="F179" s="380"/>
      <c r="G179" s="380">
        <v>0</v>
      </c>
      <c r="H179" s="380"/>
      <c r="I179" s="380"/>
      <c r="J179" s="380"/>
      <c r="K179" s="380"/>
      <c r="L179" s="380">
        <f t="shared" si="42"/>
        <v>0</v>
      </c>
      <c r="M179" s="380">
        <f>12140+6796+177824+275</f>
        <v>197035</v>
      </c>
      <c r="N179" s="380"/>
      <c r="O179" s="380"/>
      <c r="P179" s="399"/>
      <c r="Q179" s="381">
        <f>SUM(L179:N179)</f>
        <v>197035</v>
      </c>
      <c r="R179" s="479"/>
    </row>
    <row r="180" spans="1:18" s="20" customFormat="1" ht="11.25" customHeight="1">
      <c r="A180" s="393"/>
      <c r="B180" s="377"/>
      <c r="C180" s="378" t="s">
        <v>111</v>
      </c>
      <c r="D180" s="397" t="s">
        <v>152</v>
      </c>
      <c r="E180" s="380"/>
      <c r="F180" s="380"/>
      <c r="G180" s="380"/>
      <c r="H180" s="380"/>
      <c r="I180" s="380"/>
      <c r="J180" s="380"/>
      <c r="K180" s="380"/>
      <c r="L180" s="380"/>
      <c r="M180" s="380"/>
      <c r="N180" s="380"/>
      <c r="O180" s="380"/>
      <c r="P180" s="399"/>
      <c r="Q180" s="381"/>
      <c r="R180" s="479"/>
    </row>
    <row r="181" spans="1:18" s="20" customFormat="1" ht="11.25" customHeight="1">
      <c r="A181" s="393"/>
      <c r="B181" s="377"/>
      <c r="C181" s="378"/>
      <c r="D181" s="396" t="s">
        <v>149</v>
      </c>
      <c r="E181" s="380"/>
      <c r="F181" s="380"/>
      <c r="G181" s="380">
        <v>0</v>
      </c>
      <c r="H181" s="380"/>
      <c r="I181" s="380"/>
      <c r="J181" s="380"/>
      <c r="K181" s="380"/>
      <c r="L181" s="380">
        <f t="shared" si="42"/>
        <v>0</v>
      </c>
      <c r="M181" s="380">
        <v>350000</v>
      </c>
      <c r="N181" s="380">
        <v>4513</v>
      </c>
      <c r="O181" s="380"/>
      <c r="P181" s="399"/>
      <c r="Q181" s="381">
        <f>SUM(L181:N181)</f>
        <v>354513</v>
      </c>
      <c r="R181" s="479"/>
    </row>
    <row r="182" spans="1:18" s="20" customFormat="1" ht="11.25" customHeight="1">
      <c r="A182" s="393"/>
      <c r="B182" s="377"/>
      <c r="C182" s="378"/>
      <c r="D182" s="396" t="s">
        <v>150</v>
      </c>
      <c r="E182" s="380"/>
      <c r="F182" s="380"/>
      <c r="G182" s="380">
        <v>0</v>
      </c>
      <c r="H182" s="380"/>
      <c r="I182" s="380">
        <v>0</v>
      </c>
      <c r="J182" s="380"/>
      <c r="K182" s="380"/>
      <c r="L182" s="380">
        <f t="shared" si="42"/>
        <v>0</v>
      </c>
      <c r="M182" s="380">
        <v>107097</v>
      </c>
      <c r="N182" s="380">
        <v>4513</v>
      </c>
      <c r="O182" s="515"/>
      <c r="Q182" s="381">
        <f>SUM(L182:N182)</f>
        <v>111610</v>
      </c>
      <c r="R182" s="479"/>
    </row>
    <row r="183" spans="1:18" s="20" customFormat="1" ht="11.25" customHeight="1">
      <c r="A183" s="393"/>
      <c r="B183" s="377"/>
      <c r="C183" s="378"/>
      <c r="D183" s="396" t="s">
        <v>151</v>
      </c>
      <c r="E183" s="380"/>
      <c r="F183" s="380"/>
      <c r="G183" s="380">
        <v>0</v>
      </c>
      <c r="H183" s="380"/>
      <c r="I183" s="380">
        <v>0</v>
      </c>
      <c r="J183" s="380"/>
      <c r="K183" s="380"/>
      <c r="L183" s="380">
        <f t="shared" si="42"/>
        <v>0</v>
      </c>
      <c r="M183" s="380">
        <v>0</v>
      </c>
      <c r="N183" s="380">
        <v>0</v>
      </c>
      <c r="O183" s="380"/>
      <c r="P183" s="380"/>
      <c r="Q183" s="381">
        <f>SUM(L183:P183)</f>
        <v>0</v>
      </c>
      <c r="R183" s="479"/>
    </row>
    <row r="184" spans="1:18" s="20" customFormat="1" ht="11.25" customHeight="1">
      <c r="A184" s="205"/>
      <c r="B184" s="206" t="s">
        <v>9</v>
      </c>
      <c r="C184" s="207" t="s">
        <v>111</v>
      </c>
      <c r="D184" s="289" t="s">
        <v>178</v>
      </c>
      <c r="E184" s="236"/>
      <c r="F184" s="236"/>
      <c r="G184" s="208"/>
      <c r="H184" s="197"/>
      <c r="I184" s="197"/>
      <c r="J184" s="197"/>
      <c r="K184" s="197"/>
      <c r="L184" s="197"/>
      <c r="M184" s="220"/>
      <c r="N184" s="197"/>
      <c r="O184" s="197"/>
      <c r="P184" s="197"/>
      <c r="Q184" s="220"/>
      <c r="R184" s="479"/>
    </row>
    <row r="185" spans="1:18" s="20" customFormat="1" ht="11.25" customHeight="1">
      <c r="A185" s="205"/>
      <c r="B185" s="206"/>
      <c r="C185" s="207"/>
      <c r="D185" s="157" t="s">
        <v>149</v>
      </c>
      <c r="E185" s="197">
        <v>300</v>
      </c>
      <c r="F185" s="197">
        <v>83</v>
      </c>
      <c r="G185" s="208">
        <v>1250</v>
      </c>
      <c r="H185" s="197"/>
      <c r="I185" s="197"/>
      <c r="J185" s="197"/>
      <c r="K185" s="197"/>
      <c r="L185" s="197">
        <f t="shared" si="42"/>
        <v>1633</v>
      </c>
      <c r="M185" s="220"/>
      <c r="N185" s="197"/>
      <c r="O185" s="197"/>
      <c r="P185" s="197"/>
      <c r="Q185" s="220">
        <f>SUM(L185:P185)</f>
        <v>1633</v>
      </c>
      <c r="R185" s="479"/>
    </row>
    <row r="186" spans="1:18" s="20" customFormat="1" ht="11.25" customHeight="1">
      <c r="A186" s="205"/>
      <c r="B186" s="206"/>
      <c r="C186" s="207"/>
      <c r="D186" s="157" t="s">
        <v>150</v>
      </c>
      <c r="E186" s="197">
        <v>300</v>
      </c>
      <c r="F186" s="197">
        <v>83</v>
      </c>
      <c r="G186" s="208">
        <v>1250</v>
      </c>
      <c r="H186" s="197"/>
      <c r="I186" s="197"/>
      <c r="J186" s="197"/>
      <c r="K186" s="197"/>
      <c r="L186" s="197">
        <f t="shared" si="42"/>
        <v>1633</v>
      </c>
      <c r="M186" s="220"/>
      <c r="N186" s="197"/>
      <c r="O186" s="197"/>
      <c r="P186" s="197"/>
      <c r="Q186" s="220">
        <f>SUM(L186:P186)</f>
        <v>1633</v>
      </c>
      <c r="R186" s="479"/>
    </row>
    <row r="187" spans="1:18" s="20" customFormat="1" ht="11.25" customHeight="1">
      <c r="A187" s="205"/>
      <c r="B187" s="206"/>
      <c r="C187" s="207"/>
      <c r="D187" s="157" t="s">
        <v>151</v>
      </c>
      <c r="E187" s="197">
        <v>214</v>
      </c>
      <c r="F187" s="197">
        <v>52</v>
      </c>
      <c r="G187" s="208">
        <v>537</v>
      </c>
      <c r="H187" s="197"/>
      <c r="I187" s="197"/>
      <c r="J187" s="197"/>
      <c r="K187" s="197"/>
      <c r="L187" s="197">
        <f t="shared" si="42"/>
        <v>803</v>
      </c>
      <c r="M187" s="220"/>
      <c r="N187" s="197"/>
      <c r="O187" s="197"/>
      <c r="P187" s="197"/>
      <c r="Q187" s="220">
        <f>SUM(L187:P187)</f>
        <v>803</v>
      </c>
      <c r="R187" s="479"/>
    </row>
    <row r="188" spans="1:18" s="20" customFormat="1" ht="11.25" customHeight="1">
      <c r="A188" s="205"/>
      <c r="B188" s="206" t="s">
        <v>10</v>
      </c>
      <c r="C188" s="207" t="s">
        <v>110</v>
      </c>
      <c r="D188" s="235" t="s">
        <v>833</v>
      </c>
      <c r="E188" s="236"/>
      <c r="F188" s="236"/>
      <c r="G188" s="208"/>
      <c r="H188" s="197"/>
      <c r="I188" s="197"/>
      <c r="J188" s="197"/>
      <c r="K188" s="197"/>
      <c r="L188" s="197"/>
      <c r="M188" s="220"/>
      <c r="N188" s="197"/>
      <c r="O188" s="197"/>
      <c r="P188" s="197"/>
      <c r="Q188" s="220"/>
      <c r="R188" s="479"/>
    </row>
    <row r="189" spans="1:18" s="20" customFormat="1" ht="11.25" customHeight="1">
      <c r="A189" s="205"/>
      <c r="B189" s="206"/>
      <c r="C189" s="207"/>
      <c r="D189" s="157" t="s">
        <v>149</v>
      </c>
      <c r="E189" s="236"/>
      <c r="F189" s="236"/>
      <c r="G189" s="208">
        <v>103851</v>
      </c>
      <c r="H189" s="197"/>
      <c r="I189" s="197"/>
      <c r="J189" s="197">
        <v>300</v>
      </c>
      <c r="K189" s="197"/>
      <c r="L189" s="197">
        <f>SUM(E189:K189)</f>
        <v>104151</v>
      </c>
      <c r="M189" s="197">
        <v>14984</v>
      </c>
      <c r="N189" s="197"/>
      <c r="O189" s="197"/>
      <c r="P189" s="197"/>
      <c r="Q189" s="220">
        <f aca="true" t="shared" si="43" ref="Q189:Q199">SUM(L189:P189)</f>
        <v>119135</v>
      </c>
      <c r="R189" s="479"/>
    </row>
    <row r="190" spans="1:18" s="20" customFormat="1" ht="11.25" customHeight="1">
      <c r="A190" s="205"/>
      <c r="B190" s="206"/>
      <c r="C190" s="207"/>
      <c r="D190" s="157" t="s">
        <v>150</v>
      </c>
      <c r="E190" s="236"/>
      <c r="F190" s="236"/>
      <c r="G190" s="208">
        <v>105753</v>
      </c>
      <c r="H190" s="197"/>
      <c r="I190" s="197"/>
      <c r="J190" s="197">
        <v>300</v>
      </c>
      <c r="K190" s="197"/>
      <c r="L190" s="197">
        <f>SUM(E190:K190)</f>
        <v>106053</v>
      </c>
      <c r="M190" s="197">
        <v>28856</v>
      </c>
      <c r="N190" s="197"/>
      <c r="O190" s="197"/>
      <c r="P190" s="197"/>
      <c r="Q190" s="220">
        <f t="shared" si="43"/>
        <v>134909</v>
      </c>
      <c r="R190" s="479"/>
    </row>
    <row r="191" spans="1:18" s="20" customFormat="1" ht="11.25" customHeight="1">
      <c r="A191" s="205"/>
      <c r="B191" s="206"/>
      <c r="C191" s="207"/>
      <c r="D191" s="210" t="s">
        <v>151</v>
      </c>
      <c r="E191" s="236"/>
      <c r="F191" s="236"/>
      <c r="G191" s="208">
        <f>38327+33642+4705+14186+4993+5327</f>
        <v>101180</v>
      </c>
      <c r="H191" s="197"/>
      <c r="I191" s="197"/>
      <c r="J191" s="197">
        <v>0</v>
      </c>
      <c r="K191" s="197"/>
      <c r="L191" s="197">
        <f>SUM(E191:K191)</f>
        <v>101180</v>
      </c>
      <c r="M191" s="197">
        <f>4902</f>
        <v>4902</v>
      </c>
      <c r="N191" s="197"/>
      <c r="O191" s="197"/>
      <c r="P191" s="197"/>
      <c r="Q191" s="220">
        <f t="shared" si="43"/>
        <v>106082</v>
      </c>
      <c r="R191" s="479"/>
    </row>
    <row r="192" spans="1:18" s="20" customFormat="1" ht="11.25" customHeight="1">
      <c r="A192" s="205"/>
      <c r="B192" s="206"/>
      <c r="C192" s="207" t="s">
        <v>110</v>
      </c>
      <c r="D192" s="1263" t="s">
        <v>834</v>
      </c>
      <c r="E192" s="236"/>
      <c r="F192" s="236"/>
      <c r="G192" s="208"/>
      <c r="H192" s="197"/>
      <c r="I192" s="197"/>
      <c r="J192" s="197"/>
      <c r="K192" s="197"/>
      <c r="L192" s="197"/>
      <c r="M192" s="197"/>
      <c r="N192" s="197"/>
      <c r="O192" s="197"/>
      <c r="P192" s="197"/>
      <c r="Q192" s="220"/>
      <c r="R192" s="479"/>
    </row>
    <row r="193" spans="1:18" s="20" customFormat="1" ht="11.25" customHeight="1">
      <c r="A193" s="205"/>
      <c r="B193" s="206"/>
      <c r="C193" s="207"/>
      <c r="D193" s="157" t="s">
        <v>149</v>
      </c>
      <c r="E193" s="236"/>
      <c r="F193" s="236"/>
      <c r="G193" s="208">
        <v>3265</v>
      </c>
      <c r="H193" s="197"/>
      <c r="I193" s="197"/>
      <c r="J193" s="197"/>
      <c r="K193" s="197"/>
      <c r="L193" s="197">
        <f>SUM(E193:K193)</f>
        <v>3265</v>
      </c>
      <c r="M193" s="197"/>
      <c r="N193" s="197"/>
      <c r="O193" s="197"/>
      <c r="P193" s="197"/>
      <c r="Q193" s="220">
        <f>SUM(L193:P193)</f>
        <v>3265</v>
      </c>
      <c r="R193" s="479"/>
    </row>
    <row r="194" spans="1:18" s="20" customFormat="1" ht="11.25" customHeight="1">
      <c r="A194" s="205"/>
      <c r="B194" s="206"/>
      <c r="C194" s="207"/>
      <c r="D194" s="157" t="s">
        <v>150</v>
      </c>
      <c r="E194" s="236"/>
      <c r="F194" s="236"/>
      <c r="G194" s="208">
        <v>725</v>
      </c>
      <c r="H194" s="197"/>
      <c r="I194" s="197"/>
      <c r="J194" s="197"/>
      <c r="K194" s="197"/>
      <c r="L194" s="197">
        <f>SUM(E194:K194)</f>
        <v>725</v>
      </c>
      <c r="M194" s="197"/>
      <c r="N194" s="197"/>
      <c r="O194" s="197"/>
      <c r="P194" s="197"/>
      <c r="Q194" s="220">
        <f>SUM(L194:P194)</f>
        <v>725</v>
      </c>
      <c r="R194" s="479"/>
    </row>
    <row r="195" spans="1:18" s="20" customFormat="1" ht="11.25" customHeight="1">
      <c r="A195" s="205"/>
      <c r="B195" s="206"/>
      <c r="C195" s="207"/>
      <c r="D195" s="157" t="s">
        <v>151</v>
      </c>
      <c r="E195" s="236"/>
      <c r="F195" s="236"/>
      <c r="G195" s="208">
        <v>424</v>
      </c>
      <c r="H195" s="197"/>
      <c r="I195" s="197"/>
      <c r="J195" s="197"/>
      <c r="K195" s="197"/>
      <c r="L195" s="197">
        <f>SUM(E195:K195)</f>
        <v>424</v>
      </c>
      <c r="M195" s="197"/>
      <c r="N195" s="197"/>
      <c r="O195" s="197"/>
      <c r="P195" s="197"/>
      <c r="Q195" s="220">
        <f>SUM(L195:P195)</f>
        <v>424</v>
      </c>
      <c r="R195" s="479"/>
    </row>
    <row r="196" spans="1:18" s="20" customFormat="1" ht="11.25" customHeight="1">
      <c r="A196" s="205"/>
      <c r="B196" s="206"/>
      <c r="C196" s="207" t="s">
        <v>111</v>
      </c>
      <c r="D196" s="1259" t="s">
        <v>835</v>
      </c>
      <c r="E196" s="236"/>
      <c r="F196" s="236"/>
      <c r="G196" s="208"/>
      <c r="H196" s="197"/>
      <c r="I196" s="197"/>
      <c r="J196" s="197"/>
      <c r="K196" s="197"/>
      <c r="L196" s="197"/>
      <c r="M196" s="197"/>
      <c r="N196" s="197"/>
      <c r="O196" s="197"/>
      <c r="P196" s="197"/>
      <c r="Q196" s="220"/>
      <c r="R196" s="479"/>
    </row>
    <row r="197" spans="1:18" s="20" customFormat="1" ht="11.25" customHeight="1">
      <c r="A197" s="205"/>
      <c r="B197" s="206"/>
      <c r="C197" s="207"/>
      <c r="D197" s="157" t="s">
        <v>149</v>
      </c>
      <c r="E197" s="236"/>
      <c r="F197" s="236"/>
      <c r="G197" s="208">
        <v>14669</v>
      </c>
      <c r="H197" s="197"/>
      <c r="I197" s="197"/>
      <c r="J197" s="197"/>
      <c r="K197" s="197"/>
      <c r="L197" s="197">
        <f t="shared" si="42"/>
        <v>14669</v>
      </c>
      <c r="M197" s="220"/>
      <c r="N197" s="197"/>
      <c r="O197" s="197"/>
      <c r="P197" s="197"/>
      <c r="Q197" s="220">
        <f t="shared" si="43"/>
        <v>14669</v>
      </c>
      <c r="R197" s="479"/>
    </row>
    <row r="198" spans="1:18" s="20" customFormat="1" ht="11.25" customHeight="1">
      <c r="A198" s="205"/>
      <c r="B198" s="206"/>
      <c r="C198" s="207"/>
      <c r="D198" s="157" t="s">
        <v>150</v>
      </c>
      <c r="E198" s="236"/>
      <c r="F198" s="236"/>
      <c r="G198" s="208">
        <v>14669</v>
      </c>
      <c r="H198" s="197"/>
      <c r="I198" s="197"/>
      <c r="J198" s="197"/>
      <c r="K198" s="197"/>
      <c r="L198" s="197">
        <f t="shared" si="42"/>
        <v>14669</v>
      </c>
      <c r="M198" s="220"/>
      <c r="N198" s="197"/>
      <c r="O198" s="197"/>
      <c r="P198" s="197"/>
      <c r="Q198" s="220">
        <f t="shared" si="43"/>
        <v>14669</v>
      </c>
      <c r="R198" s="479"/>
    </row>
    <row r="199" spans="1:18" s="20" customFormat="1" ht="11.25" customHeight="1">
      <c r="A199" s="228"/>
      <c r="B199" s="201"/>
      <c r="C199" s="202"/>
      <c r="D199" s="210" t="s">
        <v>151</v>
      </c>
      <c r="E199" s="237"/>
      <c r="F199" s="237"/>
      <c r="G199" s="204">
        <v>13872</v>
      </c>
      <c r="H199" s="203"/>
      <c r="I199" s="203"/>
      <c r="J199" s="203"/>
      <c r="K199" s="203"/>
      <c r="L199" s="211">
        <f>SUM(E199:K199)</f>
        <v>13872</v>
      </c>
      <c r="M199" s="270"/>
      <c r="N199" s="203"/>
      <c r="O199" s="203"/>
      <c r="P199" s="203"/>
      <c r="Q199" s="270">
        <f t="shared" si="43"/>
        <v>13872</v>
      </c>
      <c r="R199" s="467"/>
    </row>
    <row r="200" spans="1:18" s="20" customFormat="1" ht="13.5" customHeight="1">
      <c r="A200" s="205"/>
      <c r="B200" s="206">
        <v>8</v>
      </c>
      <c r="C200" s="207" t="s">
        <v>110</v>
      </c>
      <c r="D200" s="1611" t="s">
        <v>836</v>
      </c>
      <c r="E200" s="1612"/>
      <c r="F200" s="1612"/>
      <c r="G200" s="1613"/>
      <c r="H200" s="197"/>
      <c r="I200" s="197"/>
      <c r="J200" s="197"/>
      <c r="K200" s="197"/>
      <c r="L200" s="197"/>
      <c r="M200" s="220"/>
      <c r="N200" s="197"/>
      <c r="O200" s="197"/>
      <c r="P200" s="197"/>
      <c r="Q200" s="220"/>
      <c r="R200" s="479"/>
    </row>
    <row r="201" spans="1:18" s="20" customFormat="1" ht="11.25" customHeight="1">
      <c r="A201" s="205"/>
      <c r="B201" s="206"/>
      <c r="C201" s="207"/>
      <c r="D201" s="157" t="s">
        <v>149</v>
      </c>
      <c r="E201" s="197"/>
      <c r="F201" s="197"/>
      <c r="G201" s="208">
        <v>5000</v>
      </c>
      <c r="H201" s="197"/>
      <c r="I201" s="197"/>
      <c r="J201" s="197"/>
      <c r="K201" s="197"/>
      <c r="L201" s="197">
        <f>SUM(E201:K201)</f>
        <v>5000</v>
      </c>
      <c r="M201" s="197">
        <v>65934</v>
      </c>
      <c r="N201" s="197"/>
      <c r="O201" s="197"/>
      <c r="P201" s="197"/>
      <c r="Q201" s="220">
        <f>SUM(L201:P201)</f>
        <v>70934</v>
      </c>
      <c r="R201" s="479"/>
    </row>
    <row r="202" spans="1:18" s="20" customFormat="1" ht="11.25" customHeight="1">
      <c r="A202" s="205"/>
      <c r="B202" s="206"/>
      <c r="C202" s="207"/>
      <c r="D202" s="157" t="s">
        <v>150</v>
      </c>
      <c r="E202" s="197"/>
      <c r="F202" s="197"/>
      <c r="G202" s="208">
        <v>5000</v>
      </c>
      <c r="H202" s="197"/>
      <c r="I202" s="197"/>
      <c r="J202" s="197"/>
      <c r="K202" s="197"/>
      <c r="L202" s="197">
        <f>SUM(E202:K202)</f>
        <v>5000</v>
      </c>
      <c r="M202" s="197">
        <v>65934</v>
      </c>
      <c r="N202" s="197"/>
      <c r="O202" s="197"/>
      <c r="P202" s="197"/>
      <c r="Q202" s="220">
        <f>SUM(L202:P202)</f>
        <v>70934</v>
      </c>
      <c r="R202" s="479"/>
    </row>
    <row r="203" spans="1:18" s="20" customFormat="1" ht="11.25" customHeight="1">
      <c r="A203" s="228"/>
      <c r="B203" s="201"/>
      <c r="C203" s="202"/>
      <c r="D203" s="210" t="s">
        <v>151</v>
      </c>
      <c r="E203" s="203"/>
      <c r="F203" s="203"/>
      <c r="G203" s="204">
        <v>1940</v>
      </c>
      <c r="H203" s="203"/>
      <c r="I203" s="203"/>
      <c r="J203" s="203"/>
      <c r="K203" s="203"/>
      <c r="L203" s="203">
        <f>SUM(E203:K203)</f>
        <v>1940</v>
      </c>
      <c r="M203" s="203">
        <f>5259+13005</f>
        <v>18264</v>
      </c>
      <c r="N203" s="203"/>
      <c r="O203" s="203"/>
      <c r="P203" s="203"/>
      <c r="Q203" s="222">
        <f>SUM(L203:P203)</f>
        <v>20204</v>
      </c>
      <c r="R203" s="467"/>
    </row>
    <row r="204" spans="1:18" s="20" customFormat="1" ht="11.25" customHeight="1">
      <c r="A204" s="205"/>
      <c r="B204" s="206">
        <v>9</v>
      </c>
      <c r="C204" s="207" t="s">
        <v>110</v>
      </c>
      <c r="D204" s="727" t="s">
        <v>727</v>
      </c>
      <c r="E204" s="197"/>
      <c r="F204" s="197"/>
      <c r="G204" s="208"/>
      <c r="H204" s="197"/>
      <c r="I204" s="197"/>
      <c r="J204" s="197"/>
      <c r="K204" s="197"/>
      <c r="L204" s="197"/>
      <c r="M204" s="197"/>
      <c r="N204" s="197"/>
      <c r="O204" s="197"/>
      <c r="P204" s="197"/>
      <c r="Q204" s="220"/>
      <c r="R204" s="479"/>
    </row>
    <row r="205" spans="1:18" s="20" customFormat="1" ht="11.25" customHeight="1">
      <c r="A205" s="205"/>
      <c r="B205" s="206"/>
      <c r="C205" s="207"/>
      <c r="D205" s="157" t="s">
        <v>149</v>
      </c>
      <c r="E205" s="197"/>
      <c r="F205" s="197"/>
      <c r="G205" s="208"/>
      <c r="H205" s="197"/>
      <c r="I205" s="197">
        <v>92823</v>
      </c>
      <c r="J205" s="197"/>
      <c r="K205" s="197"/>
      <c r="L205" s="197">
        <f>SUM(E205:K205)</f>
        <v>92823</v>
      </c>
      <c r="M205" s="197"/>
      <c r="N205" s="197"/>
      <c r="O205" s="197"/>
      <c r="P205" s="197"/>
      <c r="Q205" s="220">
        <f>SUM(L205:O205)</f>
        <v>92823</v>
      </c>
      <c r="R205" s="479"/>
    </row>
    <row r="206" spans="1:18" s="20" customFormat="1" ht="11.25" customHeight="1">
      <c r="A206" s="205"/>
      <c r="B206" s="206"/>
      <c r="C206" s="207"/>
      <c r="D206" s="157" t="s">
        <v>150</v>
      </c>
      <c r="E206" s="197"/>
      <c r="F206" s="197"/>
      <c r="G206" s="208"/>
      <c r="H206" s="197"/>
      <c r="I206" s="197">
        <v>92823</v>
      </c>
      <c r="J206" s="197"/>
      <c r="K206" s="197"/>
      <c r="L206" s="197">
        <f>SUM(E206:K206)</f>
        <v>92823</v>
      </c>
      <c r="M206" s="197"/>
      <c r="N206" s="197"/>
      <c r="O206" s="197"/>
      <c r="P206" s="197"/>
      <c r="Q206" s="220">
        <f>SUM(L206:O206)</f>
        <v>92823</v>
      </c>
      <c r="R206" s="479"/>
    </row>
    <row r="207" spans="1:18" s="20" customFormat="1" ht="11.25" customHeight="1" thickBot="1">
      <c r="A207" s="244"/>
      <c r="B207" s="227"/>
      <c r="C207" s="245"/>
      <c r="D207" s="246" t="s">
        <v>151</v>
      </c>
      <c r="E207" s="247"/>
      <c r="F207" s="247"/>
      <c r="G207" s="276"/>
      <c r="H207" s="247"/>
      <c r="I207" s="247">
        <v>92823</v>
      </c>
      <c r="J207" s="247"/>
      <c r="K207" s="247"/>
      <c r="L207" s="247">
        <f>SUM(E207:K207)</f>
        <v>92823</v>
      </c>
      <c r="M207" s="247"/>
      <c r="N207" s="247"/>
      <c r="O207" s="247"/>
      <c r="P207" s="247"/>
      <c r="Q207" s="248">
        <f>SUM(L207:P207)</f>
        <v>92823</v>
      </c>
      <c r="R207" s="1267"/>
    </row>
    <row r="208" spans="1:18" s="16" customFormat="1" ht="11.25" customHeight="1">
      <c r="A208" s="263">
        <v>10</v>
      </c>
      <c r="B208" s="256" t="s">
        <v>55</v>
      </c>
      <c r="C208" s="223"/>
      <c r="D208" s="350" t="s">
        <v>131</v>
      </c>
      <c r="E208" s="282"/>
      <c r="F208" s="282"/>
      <c r="G208" s="224"/>
      <c r="H208" s="282"/>
      <c r="I208" s="282"/>
      <c r="J208" s="282"/>
      <c r="K208" s="282"/>
      <c r="L208" s="282"/>
      <c r="M208" s="282"/>
      <c r="N208" s="282"/>
      <c r="O208" s="282"/>
      <c r="P208" s="282"/>
      <c r="Q208" s="257"/>
      <c r="R208" s="466"/>
    </row>
    <row r="209" spans="1:18" s="16" customFormat="1" ht="11.25" customHeight="1">
      <c r="A209" s="205"/>
      <c r="B209" s="206"/>
      <c r="C209" s="207"/>
      <c r="D209" s="157" t="s">
        <v>149</v>
      </c>
      <c r="E209" s="220">
        <f>E213+E217</f>
        <v>0</v>
      </c>
      <c r="F209" s="220">
        <f aca="true" t="shared" si="44" ref="F209:P209">F213+F217</f>
        <v>0</v>
      </c>
      <c r="G209" s="220">
        <f t="shared" si="44"/>
        <v>30500</v>
      </c>
      <c r="H209" s="220">
        <f t="shared" si="44"/>
        <v>0</v>
      </c>
      <c r="I209" s="220">
        <f>I213+I217</f>
        <v>0</v>
      </c>
      <c r="J209" s="220">
        <f>J213+J217</f>
        <v>0</v>
      </c>
      <c r="K209" s="220">
        <f t="shared" si="44"/>
        <v>0</v>
      </c>
      <c r="L209" s="220">
        <f>L213+L217</f>
        <v>30500</v>
      </c>
      <c r="M209" s="220">
        <f t="shared" si="44"/>
        <v>41620</v>
      </c>
      <c r="N209" s="220">
        <f>N213+N217</f>
        <v>0</v>
      </c>
      <c r="O209" s="220">
        <f>O213+O217</f>
        <v>0</v>
      </c>
      <c r="P209" s="220">
        <f t="shared" si="44"/>
        <v>0</v>
      </c>
      <c r="Q209" s="220">
        <f>Q213+Q217</f>
        <v>72120</v>
      </c>
      <c r="R209" s="453"/>
    </row>
    <row r="210" spans="1:18" s="16" customFormat="1" ht="11.25" customHeight="1">
      <c r="A210" s="205"/>
      <c r="B210" s="206"/>
      <c r="C210" s="207"/>
      <c r="D210" s="157" t="s">
        <v>150</v>
      </c>
      <c r="E210" s="220">
        <f aca="true" t="shared" si="45" ref="E210:Q211">E214+E218</f>
        <v>0</v>
      </c>
      <c r="F210" s="220">
        <f t="shared" si="45"/>
        <v>0</v>
      </c>
      <c r="G210" s="220">
        <f t="shared" si="45"/>
        <v>44290</v>
      </c>
      <c r="H210" s="220">
        <f t="shared" si="45"/>
        <v>0</v>
      </c>
      <c r="I210" s="220">
        <f t="shared" si="45"/>
        <v>0</v>
      </c>
      <c r="J210" s="220">
        <f t="shared" si="45"/>
        <v>0</v>
      </c>
      <c r="K210" s="220">
        <f t="shared" si="45"/>
        <v>0</v>
      </c>
      <c r="L210" s="220">
        <f t="shared" si="45"/>
        <v>44290</v>
      </c>
      <c r="M210" s="220">
        <f t="shared" si="45"/>
        <v>140616</v>
      </c>
      <c r="N210" s="220">
        <f t="shared" si="45"/>
        <v>0</v>
      </c>
      <c r="O210" s="220">
        <f t="shared" si="45"/>
        <v>0</v>
      </c>
      <c r="P210" s="220">
        <f t="shared" si="45"/>
        <v>0</v>
      </c>
      <c r="Q210" s="220">
        <f t="shared" si="45"/>
        <v>184906</v>
      </c>
      <c r="R210" s="453"/>
    </row>
    <row r="211" spans="1:18" s="16" customFormat="1" ht="11.25" customHeight="1">
      <c r="A211" s="205"/>
      <c r="B211" s="206"/>
      <c r="C211" s="207"/>
      <c r="D211" s="157" t="s">
        <v>151</v>
      </c>
      <c r="E211" s="220">
        <f t="shared" si="45"/>
        <v>0</v>
      </c>
      <c r="F211" s="220">
        <f t="shared" si="45"/>
        <v>0</v>
      </c>
      <c r="G211" s="220">
        <f t="shared" si="45"/>
        <v>35667</v>
      </c>
      <c r="H211" s="220">
        <f t="shared" si="45"/>
        <v>0</v>
      </c>
      <c r="I211" s="220">
        <f t="shared" si="45"/>
        <v>0</v>
      </c>
      <c r="J211" s="220">
        <f t="shared" si="45"/>
        <v>0</v>
      </c>
      <c r="K211" s="220">
        <f t="shared" si="45"/>
        <v>0</v>
      </c>
      <c r="L211" s="220">
        <f>L215+L219</f>
        <v>35667</v>
      </c>
      <c r="M211" s="220">
        <f t="shared" si="45"/>
        <v>77970</v>
      </c>
      <c r="N211" s="220">
        <f t="shared" si="45"/>
        <v>0</v>
      </c>
      <c r="O211" s="220">
        <f t="shared" si="45"/>
        <v>0</v>
      </c>
      <c r="P211" s="220">
        <f t="shared" si="45"/>
        <v>0</v>
      </c>
      <c r="Q211" s="220">
        <f>Q215+Q219</f>
        <v>113637</v>
      </c>
      <c r="R211" s="453"/>
    </row>
    <row r="212" spans="1:18" ht="11.25" customHeight="1">
      <c r="A212" s="225"/>
      <c r="B212" s="206" t="s">
        <v>4</v>
      </c>
      <c r="C212" s="207" t="s">
        <v>110</v>
      </c>
      <c r="D212" s="235" t="s">
        <v>200</v>
      </c>
      <c r="E212" s="197"/>
      <c r="F212" s="197"/>
      <c r="G212" s="197"/>
      <c r="H212" s="197"/>
      <c r="I212" s="197"/>
      <c r="J212" s="197"/>
      <c r="K212" s="197"/>
      <c r="L212" s="220"/>
      <c r="M212" s="197"/>
      <c r="N212" s="197"/>
      <c r="O212" s="197"/>
      <c r="P212" s="197"/>
      <c r="Q212" s="243"/>
      <c r="R212" s="453"/>
    </row>
    <row r="213" spans="1:18" ht="11.25" customHeight="1">
      <c r="A213" s="225"/>
      <c r="B213" s="206"/>
      <c r="C213" s="207"/>
      <c r="D213" s="157" t="s">
        <v>149</v>
      </c>
      <c r="E213" s="197"/>
      <c r="F213" s="197"/>
      <c r="G213" s="197">
        <v>30500</v>
      </c>
      <c r="H213" s="197"/>
      <c r="I213" s="197"/>
      <c r="J213" s="197"/>
      <c r="K213" s="197"/>
      <c r="L213" s="220">
        <f>SUM(G213:K213)</f>
        <v>30500</v>
      </c>
      <c r="M213" s="197"/>
      <c r="N213" s="197"/>
      <c r="O213" s="197"/>
      <c r="P213" s="197"/>
      <c r="Q213" s="243">
        <f>SUM(L213:P213)</f>
        <v>30500</v>
      </c>
      <c r="R213" s="453"/>
    </row>
    <row r="214" spans="1:18" ht="11.25" customHeight="1">
      <c r="A214" s="225"/>
      <c r="B214" s="206"/>
      <c r="C214" s="207"/>
      <c r="D214" s="157" t="s">
        <v>150</v>
      </c>
      <c r="E214" s="197"/>
      <c r="F214" s="197"/>
      <c r="G214" s="197">
        <v>39290</v>
      </c>
      <c r="H214" s="197"/>
      <c r="I214" s="197"/>
      <c r="J214" s="197"/>
      <c r="K214" s="197"/>
      <c r="L214" s="220">
        <f>SUM(G214:K214)</f>
        <v>39290</v>
      </c>
      <c r="M214" s="197"/>
      <c r="N214" s="197"/>
      <c r="O214" s="197"/>
      <c r="P214" s="197"/>
      <c r="Q214" s="243">
        <f>SUM(L214:P214)</f>
        <v>39290</v>
      </c>
      <c r="R214" s="453"/>
    </row>
    <row r="215" spans="1:18" ht="11.25" customHeight="1">
      <c r="A215" s="225"/>
      <c r="B215" s="206"/>
      <c r="C215" s="207"/>
      <c r="D215" s="157" t="s">
        <v>151</v>
      </c>
      <c r="E215" s="197"/>
      <c r="F215" s="197"/>
      <c r="G215" s="197">
        <v>32200</v>
      </c>
      <c r="H215" s="197"/>
      <c r="I215" s="197"/>
      <c r="J215" s="197"/>
      <c r="K215" s="197"/>
      <c r="L215" s="220">
        <f>SUM(E215:K215)</f>
        <v>32200</v>
      </c>
      <c r="M215" s="197"/>
      <c r="N215" s="197"/>
      <c r="O215" s="197"/>
      <c r="P215" s="197"/>
      <c r="Q215" s="243">
        <f>SUM(L215:P215)</f>
        <v>32200</v>
      </c>
      <c r="R215" s="453"/>
    </row>
    <row r="216" spans="1:18" ht="11.25" customHeight="1">
      <c r="A216" s="225"/>
      <c r="B216" s="206" t="s">
        <v>5</v>
      </c>
      <c r="C216" s="207" t="s">
        <v>110</v>
      </c>
      <c r="D216" s="235" t="s">
        <v>1</v>
      </c>
      <c r="E216" s="197"/>
      <c r="F216" s="197"/>
      <c r="G216" s="197"/>
      <c r="H216" s="197"/>
      <c r="I216" s="197"/>
      <c r="J216" s="197"/>
      <c r="K216" s="197"/>
      <c r="L216" s="220"/>
      <c r="M216" s="197"/>
      <c r="N216" s="197"/>
      <c r="O216" s="197"/>
      <c r="P216" s="197"/>
      <c r="Q216" s="243"/>
      <c r="R216" s="453"/>
    </row>
    <row r="217" spans="1:18" ht="11.25" customHeight="1">
      <c r="A217" s="225"/>
      <c r="B217" s="206"/>
      <c r="C217" s="207"/>
      <c r="D217" s="157" t="s">
        <v>149</v>
      </c>
      <c r="E217" s="197"/>
      <c r="F217" s="197"/>
      <c r="G217" s="197">
        <v>0</v>
      </c>
      <c r="H217" s="197"/>
      <c r="I217" s="197"/>
      <c r="J217" s="197">
        <v>0</v>
      </c>
      <c r="K217" s="197"/>
      <c r="L217" s="220">
        <f>SUM(E217:K217)</f>
        <v>0</v>
      </c>
      <c r="M217" s="197">
        <v>41620</v>
      </c>
      <c r="N217" s="197">
        <v>0</v>
      </c>
      <c r="O217" s="197"/>
      <c r="P217" s="197"/>
      <c r="Q217" s="243">
        <f>SUM(L217:P217)</f>
        <v>41620</v>
      </c>
      <c r="R217" s="453"/>
    </row>
    <row r="218" spans="1:18" ht="11.25" customHeight="1">
      <c r="A218" s="225"/>
      <c r="B218" s="206"/>
      <c r="C218" s="207"/>
      <c r="D218" s="157" t="s">
        <v>150</v>
      </c>
      <c r="E218" s="197"/>
      <c r="F218" s="197"/>
      <c r="G218" s="197">
        <v>5000</v>
      </c>
      <c r="H218" s="197"/>
      <c r="I218" s="197"/>
      <c r="J218" s="197">
        <v>0</v>
      </c>
      <c r="K218" s="197"/>
      <c r="L218" s="220">
        <f>SUM(E218:K218)</f>
        <v>5000</v>
      </c>
      <c r="M218" s="197">
        <v>140616</v>
      </c>
      <c r="N218" s="197">
        <v>0</v>
      </c>
      <c r="O218" s="197"/>
      <c r="P218" s="197"/>
      <c r="Q218" s="243">
        <f>SUM(L218:P218)</f>
        <v>145616</v>
      </c>
      <c r="R218" s="453"/>
    </row>
    <row r="219" spans="1:18" ht="11.25" customHeight="1" thickBot="1">
      <c r="A219" s="226"/>
      <c r="B219" s="227"/>
      <c r="C219" s="245"/>
      <c r="D219" s="246" t="s">
        <v>151</v>
      </c>
      <c r="E219" s="247"/>
      <c r="F219" s="247"/>
      <c r="G219" s="247">
        <v>3467</v>
      </c>
      <c r="H219" s="247"/>
      <c r="I219" s="247"/>
      <c r="J219" s="247">
        <v>0</v>
      </c>
      <c r="K219" s="247"/>
      <c r="L219" s="248">
        <f>SUM(E219:K219)</f>
        <v>3467</v>
      </c>
      <c r="M219" s="247">
        <f>59916+18054</f>
        <v>77970</v>
      </c>
      <c r="N219" s="247">
        <v>0</v>
      </c>
      <c r="O219" s="247">
        <v>0</v>
      </c>
      <c r="P219" s="247"/>
      <c r="Q219" s="262">
        <f>SUM(L219:P219)</f>
        <v>81437</v>
      </c>
      <c r="R219" s="455"/>
    </row>
    <row r="220" spans="1:18" ht="11.25" customHeight="1">
      <c r="A220" s="228">
        <v>11</v>
      </c>
      <c r="B220" s="201" t="s">
        <v>4</v>
      </c>
      <c r="C220" s="202" t="s">
        <v>110</v>
      </c>
      <c r="D220" s="212" t="s">
        <v>72</v>
      </c>
      <c r="E220" s="203"/>
      <c r="F220" s="203"/>
      <c r="G220" s="212"/>
      <c r="H220" s="203"/>
      <c r="I220" s="203"/>
      <c r="J220" s="203"/>
      <c r="K220" s="203"/>
      <c r="L220" s="222"/>
      <c r="M220" s="203"/>
      <c r="N220" s="203"/>
      <c r="O220" s="203"/>
      <c r="P220" s="203"/>
      <c r="Q220" s="212"/>
      <c r="R220" s="465"/>
    </row>
    <row r="221" spans="1:18" ht="11.25" customHeight="1">
      <c r="A221" s="205"/>
      <c r="B221" s="206"/>
      <c r="C221" s="207"/>
      <c r="D221" s="157" t="s">
        <v>149</v>
      </c>
      <c r="E221" s="197"/>
      <c r="F221" s="197"/>
      <c r="G221" s="243">
        <v>8800</v>
      </c>
      <c r="H221" s="197"/>
      <c r="I221" s="197"/>
      <c r="J221" s="197"/>
      <c r="K221" s="197"/>
      <c r="L221" s="220">
        <f>SUM(G221:K221)</f>
        <v>8800</v>
      </c>
      <c r="M221" s="197"/>
      <c r="N221" s="197"/>
      <c r="O221" s="197"/>
      <c r="P221" s="197"/>
      <c r="Q221" s="243">
        <f>SUM(L221:P221)</f>
        <v>8800</v>
      </c>
      <c r="R221" s="453"/>
    </row>
    <row r="222" spans="1:18" ht="11.25" customHeight="1">
      <c r="A222" s="205"/>
      <c r="B222" s="206"/>
      <c r="C222" s="207"/>
      <c r="D222" s="157" t="s">
        <v>150</v>
      </c>
      <c r="E222" s="197"/>
      <c r="F222" s="197"/>
      <c r="G222" s="243">
        <v>25340</v>
      </c>
      <c r="H222" s="197"/>
      <c r="I222" s="197"/>
      <c r="J222" s="197"/>
      <c r="K222" s="197"/>
      <c r="L222" s="220">
        <f>SUM(G222:K222)</f>
        <v>25340</v>
      </c>
      <c r="M222" s="197"/>
      <c r="N222" s="197"/>
      <c r="O222" s="197"/>
      <c r="P222" s="197"/>
      <c r="Q222" s="243">
        <f>SUM(L222:P222)</f>
        <v>25340</v>
      </c>
      <c r="R222" s="453"/>
    </row>
    <row r="223" spans="1:18" ht="11.25" customHeight="1" thickBot="1">
      <c r="A223" s="244"/>
      <c r="B223" s="227"/>
      <c r="C223" s="245"/>
      <c r="D223" s="246" t="s">
        <v>151</v>
      </c>
      <c r="E223" s="247"/>
      <c r="F223" s="247"/>
      <c r="G223" s="262">
        <v>24792</v>
      </c>
      <c r="H223" s="247"/>
      <c r="I223" s="247"/>
      <c r="J223" s="247"/>
      <c r="K223" s="247"/>
      <c r="L223" s="248">
        <f>SUM(G223:I223)</f>
        <v>24792</v>
      </c>
      <c r="M223" s="247"/>
      <c r="N223" s="247"/>
      <c r="O223" s="247"/>
      <c r="P223" s="247"/>
      <c r="Q223" s="262">
        <f>SUM(L223:P223)</f>
        <v>24792</v>
      </c>
      <c r="R223" s="455"/>
    </row>
    <row r="224" spans="1:18" s="16" customFormat="1" ht="11.25" customHeight="1">
      <c r="A224" s="263">
        <v>12</v>
      </c>
      <c r="B224" s="256"/>
      <c r="C224" s="273"/>
      <c r="D224" s="354" t="s">
        <v>67</v>
      </c>
      <c r="E224" s="282"/>
      <c r="F224" s="282"/>
      <c r="G224" s="224"/>
      <c r="H224" s="282"/>
      <c r="I224" s="282"/>
      <c r="J224" s="282"/>
      <c r="K224" s="282"/>
      <c r="L224" s="282"/>
      <c r="M224" s="282"/>
      <c r="N224" s="282"/>
      <c r="O224" s="282"/>
      <c r="P224" s="282"/>
      <c r="Q224" s="257"/>
      <c r="R224" s="466"/>
    </row>
    <row r="225" spans="1:18" s="16" customFormat="1" ht="11.25" customHeight="1">
      <c r="A225" s="205"/>
      <c r="B225" s="206"/>
      <c r="C225" s="233"/>
      <c r="D225" s="157" t="s">
        <v>149</v>
      </c>
      <c r="E225" s="220">
        <f>E229+E241+E245+E252+E255+E259+E263+E266+E270+E274+E282+E248+E278</f>
        <v>29334</v>
      </c>
      <c r="F225" s="220">
        <f aca="true" t="shared" si="46" ref="F225:K225">F229+F241+F245+F252+F255+F259+F263+F266+F270+F274+F282+F248+F278</f>
        <v>8212</v>
      </c>
      <c r="G225" s="220">
        <f t="shared" si="46"/>
        <v>115903</v>
      </c>
      <c r="H225" s="220">
        <f t="shared" si="46"/>
        <v>0</v>
      </c>
      <c r="I225" s="220">
        <f t="shared" si="46"/>
        <v>250</v>
      </c>
      <c r="J225" s="220">
        <f t="shared" si="46"/>
        <v>849</v>
      </c>
      <c r="K225" s="220">
        <f t="shared" si="46"/>
        <v>337320</v>
      </c>
      <c r="L225" s="220">
        <f>SUM(E225:K225)</f>
        <v>491868</v>
      </c>
      <c r="M225" s="220">
        <f aca="true" t="shared" si="47" ref="M225:P227">M229+M241+M245+M252+M255+M259+M263+M266+M270+M274+M282+M248+M278</f>
        <v>12403</v>
      </c>
      <c r="N225" s="220">
        <f t="shared" si="47"/>
        <v>0</v>
      </c>
      <c r="O225" s="220">
        <f t="shared" si="47"/>
        <v>0</v>
      </c>
      <c r="P225" s="220">
        <f t="shared" si="47"/>
        <v>0</v>
      </c>
      <c r="Q225" s="220">
        <f>SUM(L225:P225)</f>
        <v>504271</v>
      </c>
      <c r="R225" s="453">
        <f>R229+R241+R245+R252+R274</f>
        <v>1</v>
      </c>
    </row>
    <row r="226" spans="1:18" s="16" customFormat="1" ht="11.25" customHeight="1">
      <c r="A226" s="205"/>
      <c r="B226" s="206"/>
      <c r="C226" s="233"/>
      <c r="D226" s="157" t="s">
        <v>150</v>
      </c>
      <c r="E226" s="220">
        <f aca="true" t="shared" si="48" ref="E226:K227">E230+E242+E246+E253+E256+E260+E264+E267+E271+E275+E283+E249+E279</f>
        <v>33567</v>
      </c>
      <c r="F226" s="220">
        <f t="shared" si="48"/>
        <v>10524</v>
      </c>
      <c r="G226" s="220">
        <f t="shared" si="48"/>
        <v>77591</v>
      </c>
      <c r="H226" s="220">
        <f t="shared" si="48"/>
        <v>0</v>
      </c>
      <c r="I226" s="220">
        <f t="shared" si="48"/>
        <v>0</v>
      </c>
      <c r="J226" s="220">
        <f t="shared" si="48"/>
        <v>1305</v>
      </c>
      <c r="K226" s="220">
        <f t="shared" si="48"/>
        <v>322284</v>
      </c>
      <c r="L226" s="220">
        <f>SUM(E226:K226)</f>
        <v>445271</v>
      </c>
      <c r="M226" s="220">
        <f t="shared" si="47"/>
        <v>8128</v>
      </c>
      <c r="N226" s="220">
        <f t="shared" si="47"/>
        <v>0</v>
      </c>
      <c r="O226" s="220">
        <f t="shared" si="47"/>
        <v>0</v>
      </c>
      <c r="P226" s="220">
        <f t="shared" si="47"/>
        <v>0</v>
      </c>
      <c r="Q226" s="220">
        <f>SUM(L226:P226)</f>
        <v>453399</v>
      </c>
      <c r="R226" s="453">
        <f>R230+R242+R246+R253+R275</f>
        <v>1</v>
      </c>
    </row>
    <row r="227" spans="1:18" s="16" customFormat="1" ht="11.25" customHeight="1">
      <c r="A227" s="205"/>
      <c r="B227" s="206"/>
      <c r="C227" s="233"/>
      <c r="D227" s="157" t="s">
        <v>151</v>
      </c>
      <c r="E227" s="220">
        <f t="shared" si="48"/>
        <v>30345</v>
      </c>
      <c r="F227" s="220">
        <f t="shared" si="48"/>
        <v>8621</v>
      </c>
      <c r="G227" s="220">
        <f t="shared" si="48"/>
        <v>17997</v>
      </c>
      <c r="H227" s="220">
        <f t="shared" si="48"/>
        <v>0</v>
      </c>
      <c r="I227" s="220">
        <f t="shared" si="48"/>
        <v>0</v>
      </c>
      <c r="J227" s="220">
        <f t="shared" si="48"/>
        <v>1304</v>
      </c>
      <c r="K227" s="220">
        <f t="shared" si="48"/>
        <v>0</v>
      </c>
      <c r="L227" s="220">
        <f>SUM(E227:K227)</f>
        <v>58267</v>
      </c>
      <c r="M227" s="220">
        <f t="shared" si="47"/>
        <v>2680</v>
      </c>
      <c r="N227" s="220">
        <f t="shared" si="47"/>
        <v>0</v>
      </c>
      <c r="O227" s="220">
        <f t="shared" si="47"/>
        <v>0</v>
      </c>
      <c r="P227" s="220">
        <f t="shared" si="47"/>
        <v>0</v>
      </c>
      <c r="Q227" s="220">
        <f>SUM(L227:P227)</f>
        <v>60947</v>
      </c>
      <c r="R227" s="453">
        <f>R231+R243+R247+R254+R276</f>
        <v>1</v>
      </c>
    </row>
    <row r="228" spans="1:18" ht="10.5" customHeight="1">
      <c r="A228" s="205"/>
      <c r="B228" s="250" t="s">
        <v>4</v>
      </c>
      <c r="C228" s="207" t="s">
        <v>55</v>
      </c>
      <c r="D228" s="1601" t="s">
        <v>73</v>
      </c>
      <c r="E228" s="1638"/>
      <c r="F228" s="1639"/>
      <c r="G228" s="208"/>
      <c r="H228" s="197"/>
      <c r="I228" s="197"/>
      <c r="J228" s="197"/>
      <c r="K228" s="197"/>
      <c r="L228" s="220"/>
      <c r="M228" s="197"/>
      <c r="N228" s="197"/>
      <c r="O228" s="197"/>
      <c r="P228" s="197"/>
      <c r="Q228" s="243"/>
      <c r="R228" s="453"/>
    </row>
    <row r="229" spans="1:18" ht="11.25" customHeight="1">
      <c r="A229" s="205"/>
      <c r="B229" s="250"/>
      <c r="C229" s="207"/>
      <c r="D229" s="157" t="s">
        <v>149</v>
      </c>
      <c r="E229" s="197">
        <f>E233+E237</f>
        <v>29334</v>
      </c>
      <c r="F229" s="197">
        <f aca="true" t="shared" si="49" ref="F229:K229">F233+F237</f>
        <v>8212</v>
      </c>
      <c r="G229" s="197">
        <f t="shared" si="49"/>
        <v>4300</v>
      </c>
      <c r="H229" s="197">
        <f t="shared" si="49"/>
        <v>0</v>
      </c>
      <c r="I229" s="197">
        <f t="shared" si="49"/>
        <v>0</v>
      </c>
      <c r="J229" s="197"/>
      <c r="K229" s="197">
        <f t="shared" si="49"/>
        <v>0</v>
      </c>
      <c r="L229" s="220">
        <f>SUM(E229:K229)</f>
        <v>41846</v>
      </c>
      <c r="M229" s="197"/>
      <c r="N229" s="197"/>
      <c r="O229" s="197"/>
      <c r="P229" s="197"/>
      <c r="Q229" s="243">
        <f>SUM(L229:P229)</f>
        <v>41846</v>
      </c>
      <c r="R229" s="453">
        <v>1</v>
      </c>
    </row>
    <row r="230" spans="1:18" ht="11.25" customHeight="1">
      <c r="A230" s="205"/>
      <c r="B230" s="250"/>
      <c r="C230" s="207"/>
      <c r="D230" s="157" t="s">
        <v>150</v>
      </c>
      <c r="E230" s="197">
        <f aca="true" t="shared" si="50" ref="E230:K231">E234+E238</f>
        <v>32334</v>
      </c>
      <c r="F230" s="197">
        <f t="shared" si="50"/>
        <v>10202</v>
      </c>
      <c r="G230" s="197">
        <f t="shared" si="50"/>
        <v>4300</v>
      </c>
      <c r="H230" s="197">
        <f t="shared" si="50"/>
        <v>0</v>
      </c>
      <c r="I230" s="197">
        <f t="shared" si="50"/>
        <v>0</v>
      </c>
      <c r="J230" s="197"/>
      <c r="K230" s="197">
        <f t="shared" si="50"/>
        <v>0</v>
      </c>
      <c r="L230" s="220">
        <f>SUM(E230:K230)</f>
        <v>46836</v>
      </c>
      <c r="M230" s="197"/>
      <c r="N230" s="197"/>
      <c r="O230" s="197"/>
      <c r="P230" s="197"/>
      <c r="Q230" s="243">
        <f>SUM(L230:P230)</f>
        <v>46836</v>
      </c>
      <c r="R230" s="453">
        <v>1</v>
      </c>
    </row>
    <row r="231" spans="1:18" ht="11.25" customHeight="1">
      <c r="A231" s="205"/>
      <c r="B231" s="250"/>
      <c r="C231" s="207"/>
      <c r="D231" s="157" t="s">
        <v>151</v>
      </c>
      <c r="E231" s="197">
        <f t="shared" si="50"/>
        <v>29235</v>
      </c>
      <c r="F231" s="197">
        <f t="shared" si="50"/>
        <v>8398</v>
      </c>
      <c r="G231" s="197">
        <f t="shared" si="50"/>
        <v>3126</v>
      </c>
      <c r="H231" s="197">
        <f t="shared" si="50"/>
        <v>0</v>
      </c>
      <c r="I231" s="197">
        <f t="shared" si="50"/>
        <v>0</v>
      </c>
      <c r="J231" s="197"/>
      <c r="K231" s="197">
        <f t="shared" si="50"/>
        <v>0</v>
      </c>
      <c r="L231" s="220">
        <f>SUM(E231:K231)</f>
        <v>40759</v>
      </c>
      <c r="M231" s="197"/>
      <c r="N231" s="197"/>
      <c r="O231" s="197"/>
      <c r="P231" s="197"/>
      <c r="Q231" s="243">
        <f>SUM(L231:P231)</f>
        <v>40759</v>
      </c>
      <c r="R231" s="453">
        <f>R235</f>
        <v>1</v>
      </c>
    </row>
    <row r="232" spans="1:18" ht="11.25" customHeight="1">
      <c r="A232" s="205"/>
      <c r="B232" s="250"/>
      <c r="C232" s="378" t="s">
        <v>110</v>
      </c>
      <c r="D232" s="394" t="s">
        <v>174</v>
      </c>
      <c r="E232" s="197"/>
      <c r="F232" s="197"/>
      <c r="G232" s="208"/>
      <c r="H232" s="197"/>
      <c r="I232" s="197"/>
      <c r="J232" s="197"/>
      <c r="K232" s="197"/>
      <c r="L232" s="220"/>
      <c r="M232" s="197"/>
      <c r="N232" s="197"/>
      <c r="O232" s="197"/>
      <c r="P232" s="197"/>
      <c r="Q232" s="243"/>
      <c r="R232" s="453"/>
    </row>
    <row r="233" spans="1:18" s="20" customFormat="1" ht="11.25" customHeight="1">
      <c r="A233" s="393"/>
      <c r="B233" s="400"/>
      <c r="C233" s="378"/>
      <c r="D233" s="396" t="s">
        <v>149</v>
      </c>
      <c r="E233" s="380">
        <v>10379</v>
      </c>
      <c r="F233" s="380">
        <v>2853</v>
      </c>
      <c r="G233" s="398">
        <v>1000</v>
      </c>
      <c r="H233" s="380"/>
      <c r="I233" s="380"/>
      <c r="J233" s="380"/>
      <c r="K233" s="380"/>
      <c r="L233" s="381">
        <f>SUM(E233:K233)</f>
        <v>14232</v>
      </c>
      <c r="M233" s="380"/>
      <c r="N233" s="380"/>
      <c r="O233" s="380"/>
      <c r="P233" s="380"/>
      <c r="Q233" s="395">
        <f>SUM(L233:P233)</f>
        <v>14232</v>
      </c>
      <c r="R233" s="479">
        <v>1</v>
      </c>
    </row>
    <row r="234" spans="1:18" s="20" customFormat="1" ht="11.25" customHeight="1">
      <c r="A234" s="393"/>
      <c r="B234" s="400"/>
      <c r="C234" s="378"/>
      <c r="D234" s="396" t="s">
        <v>150</v>
      </c>
      <c r="E234" s="380">
        <v>10879</v>
      </c>
      <c r="F234" s="380">
        <v>2988</v>
      </c>
      <c r="G234" s="398">
        <v>1000</v>
      </c>
      <c r="H234" s="380"/>
      <c r="I234" s="380"/>
      <c r="J234" s="380"/>
      <c r="K234" s="380"/>
      <c r="L234" s="381">
        <f>SUM(E234:K234)</f>
        <v>14867</v>
      </c>
      <c r="M234" s="380"/>
      <c r="N234" s="380"/>
      <c r="O234" s="380"/>
      <c r="P234" s="380"/>
      <c r="Q234" s="395">
        <f aca="true" t="shared" si="51" ref="Q234:Q239">SUM(L234:P234)</f>
        <v>14867</v>
      </c>
      <c r="R234" s="479">
        <v>1</v>
      </c>
    </row>
    <row r="235" spans="1:18" s="20" customFormat="1" ht="11.25" customHeight="1">
      <c r="A235" s="393"/>
      <c r="B235" s="400"/>
      <c r="C235" s="378"/>
      <c r="D235" s="396" t="s">
        <v>151</v>
      </c>
      <c r="E235" s="380">
        <v>10098</v>
      </c>
      <c r="F235" s="380">
        <v>2795</v>
      </c>
      <c r="G235" s="398">
        <v>1500</v>
      </c>
      <c r="H235" s="380"/>
      <c r="I235" s="380"/>
      <c r="J235" s="380"/>
      <c r="K235" s="380"/>
      <c r="L235" s="381">
        <f>SUM(E235:K235)</f>
        <v>14393</v>
      </c>
      <c r="M235" s="380"/>
      <c r="N235" s="380"/>
      <c r="O235" s="380"/>
      <c r="P235" s="380"/>
      <c r="Q235" s="395">
        <f t="shared" si="51"/>
        <v>14393</v>
      </c>
      <c r="R235" s="479">
        <v>1</v>
      </c>
    </row>
    <row r="236" spans="1:18" s="20" customFormat="1" ht="11.25" customHeight="1">
      <c r="A236" s="393"/>
      <c r="B236" s="400"/>
      <c r="C236" s="378" t="s">
        <v>111</v>
      </c>
      <c r="D236" s="397" t="s">
        <v>152</v>
      </c>
      <c r="E236" s="380"/>
      <c r="F236" s="380"/>
      <c r="G236" s="398"/>
      <c r="H236" s="380"/>
      <c r="I236" s="380"/>
      <c r="J236" s="380"/>
      <c r="K236" s="380"/>
      <c r="L236" s="381"/>
      <c r="M236" s="380"/>
      <c r="N236" s="380"/>
      <c r="O236" s="380"/>
      <c r="P236" s="380"/>
      <c r="Q236" s="395"/>
      <c r="R236" s="479"/>
    </row>
    <row r="237" spans="1:18" s="20" customFormat="1" ht="11.25" customHeight="1">
      <c r="A237" s="393"/>
      <c r="B237" s="400"/>
      <c r="C237" s="378"/>
      <c r="D237" s="396" t="s">
        <v>149</v>
      </c>
      <c r="E237" s="380">
        <v>18955</v>
      </c>
      <c r="F237" s="380">
        <v>5359</v>
      </c>
      <c r="G237" s="398">
        <v>3300</v>
      </c>
      <c r="H237" s="380"/>
      <c r="I237" s="380"/>
      <c r="J237" s="380"/>
      <c r="K237" s="380"/>
      <c r="L237" s="381">
        <f>SUM(E237:K237)</f>
        <v>27614</v>
      </c>
      <c r="M237" s="380"/>
      <c r="N237" s="380"/>
      <c r="O237" s="380"/>
      <c r="P237" s="380"/>
      <c r="Q237" s="395">
        <f t="shared" si="51"/>
        <v>27614</v>
      </c>
      <c r="R237" s="479"/>
    </row>
    <row r="238" spans="1:18" s="20" customFormat="1" ht="11.25" customHeight="1">
      <c r="A238" s="393"/>
      <c r="B238" s="400"/>
      <c r="C238" s="378"/>
      <c r="D238" s="396" t="s">
        <v>150</v>
      </c>
      <c r="E238" s="380">
        <v>21455</v>
      </c>
      <c r="F238" s="380">
        <v>7214</v>
      </c>
      <c r="G238" s="398">
        <v>3300</v>
      </c>
      <c r="H238" s="380"/>
      <c r="I238" s="380"/>
      <c r="J238" s="380"/>
      <c r="K238" s="380"/>
      <c r="L238" s="381">
        <f>SUM(E238:K238)</f>
        <v>31969</v>
      </c>
      <c r="M238" s="380"/>
      <c r="N238" s="380"/>
      <c r="O238" s="380"/>
      <c r="P238" s="380"/>
      <c r="Q238" s="395">
        <f t="shared" si="51"/>
        <v>31969</v>
      </c>
      <c r="R238" s="479"/>
    </row>
    <row r="239" spans="1:18" s="20" customFormat="1" ht="11.25" customHeight="1">
      <c r="A239" s="393"/>
      <c r="B239" s="400"/>
      <c r="C239" s="378"/>
      <c r="D239" s="396" t="s">
        <v>151</v>
      </c>
      <c r="E239" s="380">
        <v>19137</v>
      </c>
      <c r="F239" s="380">
        <v>5603</v>
      </c>
      <c r="G239" s="398">
        <v>1626</v>
      </c>
      <c r="H239" s="380"/>
      <c r="I239" s="380"/>
      <c r="J239" s="380"/>
      <c r="K239" s="380"/>
      <c r="L239" s="381">
        <f>SUM(E239:K239)</f>
        <v>26366</v>
      </c>
      <c r="M239" s="380"/>
      <c r="N239" s="380"/>
      <c r="O239" s="380"/>
      <c r="P239" s="380"/>
      <c r="Q239" s="395">
        <f t="shared" si="51"/>
        <v>26366</v>
      </c>
      <c r="R239" s="479"/>
    </row>
    <row r="240" spans="1:18" ht="11.25" customHeight="1">
      <c r="A240" s="205"/>
      <c r="B240" s="250" t="s">
        <v>5</v>
      </c>
      <c r="C240" s="207" t="s">
        <v>110</v>
      </c>
      <c r="D240" s="235" t="s">
        <v>96</v>
      </c>
      <c r="E240" s="197"/>
      <c r="F240" s="197"/>
      <c r="G240" s="208"/>
      <c r="H240" s="197"/>
      <c r="I240" s="197"/>
      <c r="J240" s="197"/>
      <c r="K240" s="197"/>
      <c r="L240" s="220"/>
      <c r="M240" s="197"/>
      <c r="N240" s="197"/>
      <c r="O240" s="197"/>
      <c r="P240" s="197"/>
      <c r="Q240" s="243"/>
      <c r="R240" s="453"/>
    </row>
    <row r="241" spans="1:18" ht="11.25" customHeight="1">
      <c r="A241" s="205"/>
      <c r="B241" s="250"/>
      <c r="C241" s="207"/>
      <c r="D241" s="157" t="s">
        <v>149</v>
      </c>
      <c r="E241" s="197"/>
      <c r="F241" s="197"/>
      <c r="G241" s="208">
        <v>1400</v>
      </c>
      <c r="H241" s="197"/>
      <c r="I241" s="197"/>
      <c r="J241" s="197"/>
      <c r="K241" s="197"/>
      <c r="L241" s="220">
        <f>SUM(G241:K241)</f>
        <v>1400</v>
      </c>
      <c r="M241" s="197"/>
      <c r="N241" s="197"/>
      <c r="O241" s="197"/>
      <c r="P241" s="197"/>
      <c r="Q241" s="243">
        <f>SUM(L241:P241)</f>
        <v>1400</v>
      </c>
      <c r="R241" s="481"/>
    </row>
    <row r="242" spans="1:18" ht="11.25" customHeight="1">
      <c r="A242" s="205"/>
      <c r="B242" s="250"/>
      <c r="C242" s="207"/>
      <c r="D242" s="157" t="s">
        <v>150</v>
      </c>
      <c r="E242" s="197"/>
      <c r="F242" s="197"/>
      <c r="G242" s="208">
        <v>1400</v>
      </c>
      <c r="H242" s="197"/>
      <c r="I242" s="197"/>
      <c r="J242" s="197"/>
      <c r="K242" s="197"/>
      <c r="L242" s="220">
        <f>SUM(G242:K242)</f>
        <v>1400</v>
      </c>
      <c r="M242" s="197"/>
      <c r="N242" s="197"/>
      <c r="O242" s="197"/>
      <c r="P242" s="197"/>
      <c r="Q242" s="243">
        <f>SUM(L242:P242)</f>
        <v>1400</v>
      </c>
      <c r="R242" s="481"/>
    </row>
    <row r="243" spans="1:18" ht="11.25" customHeight="1">
      <c r="A243" s="205"/>
      <c r="B243" s="250"/>
      <c r="C243" s="207"/>
      <c r="D243" s="157" t="s">
        <v>151</v>
      </c>
      <c r="E243" s="197"/>
      <c r="F243" s="197"/>
      <c r="G243" s="208">
        <v>0</v>
      </c>
      <c r="H243" s="197"/>
      <c r="I243" s="197"/>
      <c r="J243" s="197"/>
      <c r="K243" s="197"/>
      <c r="L243" s="220">
        <f>SUM(G243:K243)</f>
        <v>0</v>
      </c>
      <c r="M243" s="197"/>
      <c r="N243" s="197"/>
      <c r="O243" s="197"/>
      <c r="P243" s="197"/>
      <c r="Q243" s="243">
        <f>SUM(L243:P243)</f>
        <v>0</v>
      </c>
      <c r="R243" s="481"/>
    </row>
    <row r="244" spans="1:18" ht="11.25" customHeight="1">
      <c r="A244" s="205"/>
      <c r="B244" s="250" t="s">
        <v>6</v>
      </c>
      <c r="C244" s="207"/>
      <c r="D244" s="265" t="s">
        <v>74</v>
      </c>
      <c r="E244" s="236"/>
      <c r="F244" s="236"/>
      <c r="G244" s="208"/>
      <c r="H244" s="236"/>
      <c r="I244" s="236"/>
      <c r="J244" s="236"/>
      <c r="K244" s="236"/>
      <c r="L244" s="284"/>
      <c r="M244" s="236"/>
      <c r="N244" s="236"/>
      <c r="O244" s="236"/>
      <c r="P244" s="236"/>
      <c r="Q244" s="243"/>
      <c r="R244" s="481"/>
    </row>
    <row r="245" spans="1:18" ht="11.25" customHeight="1">
      <c r="A245" s="266"/>
      <c r="B245" s="267"/>
      <c r="C245" s="268" t="s">
        <v>110</v>
      </c>
      <c r="D245" s="157" t="s">
        <v>149</v>
      </c>
      <c r="E245" s="211"/>
      <c r="F245" s="211"/>
      <c r="G245" s="269"/>
      <c r="H245" s="211"/>
      <c r="I245" s="211"/>
      <c r="J245" s="211"/>
      <c r="K245" s="211">
        <v>5000</v>
      </c>
      <c r="L245" s="270">
        <f>SUM(E245:K245)</f>
        <v>5000</v>
      </c>
      <c r="M245" s="211"/>
      <c r="N245" s="211"/>
      <c r="O245" s="211"/>
      <c r="P245" s="211"/>
      <c r="Q245" s="271">
        <f aca="true" t="shared" si="52" ref="Q245:Q250">SUM(L245:P245)</f>
        <v>5000</v>
      </c>
      <c r="R245" s="481"/>
    </row>
    <row r="246" spans="1:18" ht="11.25" customHeight="1">
      <c r="A246" s="266"/>
      <c r="B246" s="267"/>
      <c r="C246" s="268"/>
      <c r="D246" s="157" t="s">
        <v>150</v>
      </c>
      <c r="E246" s="211"/>
      <c r="F246" s="211"/>
      <c r="G246" s="269"/>
      <c r="H246" s="211"/>
      <c r="I246" s="211"/>
      <c r="J246" s="211"/>
      <c r="K246" s="211">
        <v>314594</v>
      </c>
      <c r="L246" s="270">
        <f>SUM(E246:K246)</f>
        <v>314594</v>
      </c>
      <c r="M246" s="211"/>
      <c r="N246" s="211"/>
      <c r="O246" s="211"/>
      <c r="P246" s="211"/>
      <c r="Q246" s="271">
        <f t="shared" si="52"/>
        <v>314594</v>
      </c>
      <c r="R246" s="481"/>
    </row>
    <row r="247" spans="1:18" ht="11.25" customHeight="1">
      <c r="A247" s="266"/>
      <c r="B247" s="267"/>
      <c r="C247" s="268"/>
      <c r="D247" s="157" t="s">
        <v>151</v>
      </c>
      <c r="E247" s="211"/>
      <c r="F247" s="211"/>
      <c r="G247" s="269"/>
      <c r="H247" s="211"/>
      <c r="I247" s="211"/>
      <c r="J247" s="211"/>
      <c r="K247" s="211">
        <v>0</v>
      </c>
      <c r="L247" s="270">
        <f>SUM(G247:K247)</f>
        <v>0</v>
      </c>
      <c r="M247" s="211"/>
      <c r="N247" s="211"/>
      <c r="O247" s="211"/>
      <c r="P247" s="211"/>
      <c r="Q247" s="271">
        <f t="shared" si="52"/>
        <v>0</v>
      </c>
      <c r="R247" s="481"/>
    </row>
    <row r="248" spans="1:18" ht="11.25" customHeight="1">
      <c r="A248" s="266"/>
      <c r="B248" s="267"/>
      <c r="C248" s="268" t="s">
        <v>111</v>
      </c>
      <c r="D248" s="157" t="s">
        <v>149</v>
      </c>
      <c r="E248" s="760"/>
      <c r="F248" s="211"/>
      <c r="G248" s="269"/>
      <c r="H248" s="211"/>
      <c r="I248" s="211"/>
      <c r="J248" s="211"/>
      <c r="K248" s="211">
        <v>12320</v>
      </c>
      <c r="L248" s="270">
        <f>SUM(J247:K247)</f>
        <v>0</v>
      </c>
      <c r="M248" s="211"/>
      <c r="N248" s="211"/>
      <c r="O248" s="211"/>
      <c r="P248" s="211"/>
      <c r="Q248" s="271">
        <f t="shared" si="52"/>
        <v>0</v>
      </c>
      <c r="R248" s="481"/>
    </row>
    <row r="249" spans="1:18" ht="11.25" customHeight="1">
      <c r="A249" s="266"/>
      <c r="B249" s="267"/>
      <c r="C249" s="268"/>
      <c r="D249" s="157" t="s">
        <v>150</v>
      </c>
      <c r="E249" s="760"/>
      <c r="F249" s="211"/>
      <c r="G249" s="269"/>
      <c r="H249" s="211"/>
      <c r="I249" s="211"/>
      <c r="J249" s="211"/>
      <c r="K249" s="211">
        <v>7690</v>
      </c>
      <c r="L249" s="270">
        <f>SUM(G249:K249)</f>
        <v>7690</v>
      </c>
      <c r="M249" s="211"/>
      <c r="N249" s="211"/>
      <c r="O249" s="211"/>
      <c r="P249" s="211"/>
      <c r="Q249" s="271">
        <f t="shared" si="52"/>
        <v>7690</v>
      </c>
      <c r="R249" s="481"/>
    </row>
    <row r="250" spans="1:18" ht="11.25" customHeight="1">
      <c r="A250" s="266"/>
      <c r="B250" s="267"/>
      <c r="C250" s="268"/>
      <c r="D250" s="157" t="s">
        <v>151</v>
      </c>
      <c r="E250" s="760"/>
      <c r="F250" s="197"/>
      <c r="G250" s="269"/>
      <c r="H250" s="211"/>
      <c r="I250" s="211"/>
      <c r="J250" s="211"/>
      <c r="K250" s="211">
        <v>0</v>
      </c>
      <c r="L250" s="270">
        <f>SUM(G250:K250)</f>
        <v>0</v>
      </c>
      <c r="M250" s="211"/>
      <c r="N250" s="211"/>
      <c r="O250" s="211"/>
      <c r="P250" s="211"/>
      <c r="Q250" s="271">
        <f t="shared" si="52"/>
        <v>0</v>
      </c>
      <c r="R250" s="481"/>
    </row>
    <row r="251" spans="1:18" ht="11.25" customHeight="1">
      <c r="A251" s="266"/>
      <c r="B251" s="267" t="s">
        <v>7</v>
      </c>
      <c r="C251" s="268"/>
      <c r="D251" s="1604" t="s">
        <v>837</v>
      </c>
      <c r="E251" s="1605"/>
      <c r="F251" s="1606"/>
      <c r="G251" s="269"/>
      <c r="H251" s="211"/>
      <c r="I251" s="211"/>
      <c r="J251" s="211"/>
      <c r="K251" s="211"/>
      <c r="L251" s="270"/>
      <c r="M251" s="211"/>
      <c r="N251" s="211"/>
      <c r="O251" s="211"/>
      <c r="P251" s="211"/>
      <c r="Q251" s="271"/>
      <c r="R251" s="481"/>
    </row>
    <row r="252" spans="1:18" ht="11.25" customHeight="1">
      <c r="A252" s="266"/>
      <c r="B252" s="267"/>
      <c r="C252" s="268" t="s">
        <v>111</v>
      </c>
      <c r="D252" s="157" t="s">
        <v>149</v>
      </c>
      <c r="E252" s="211"/>
      <c r="F252" s="211"/>
      <c r="G252" s="269">
        <v>7916</v>
      </c>
      <c r="H252" s="211"/>
      <c r="I252" s="211">
        <v>250</v>
      </c>
      <c r="J252" s="211"/>
      <c r="K252" s="211"/>
      <c r="L252" s="270">
        <f aca="true" t="shared" si="53" ref="L252:L257">SUM(E252:K252)</f>
        <v>8166</v>
      </c>
      <c r="M252" s="211">
        <v>0</v>
      </c>
      <c r="N252" s="211"/>
      <c r="O252" s="211"/>
      <c r="P252" s="211"/>
      <c r="Q252" s="271">
        <f aca="true" t="shared" si="54" ref="Q252:Q257">SUM(L252:P252)</f>
        <v>8166</v>
      </c>
      <c r="R252" s="481"/>
    </row>
    <row r="253" spans="1:18" ht="11.25" customHeight="1">
      <c r="A253" s="266"/>
      <c r="B253" s="267"/>
      <c r="C253" s="268"/>
      <c r="D253" s="157" t="s">
        <v>150</v>
      </c>
      <c r="E253" s="211"/>
      <c r="F253" s="211"/>
      <c r="G253" s="269"/>
      <c r="H253" s="211"/>
      <c r="I253" s="211"/>
      <c r="J253" s="211"/>
      <c r="K253" s="211"/>
      <c r="L253" s="270">
        <f t="shared" si="53"/>
        <v>0</v>
      </c>
      <c r="M253" s="211">
        <v>0</v>
      </c>
      <c r="N253" s="211"/>
      <c r="O253" s="211"/>
      <c r="P253" s="211"/>
      <c r="Q253" s="271">
        <f t="shared" si="54"/>
        <v>0</v>
      </c>
      <c r="R253" s="481"/>
    </row>
    <row r="254" spans="1:18" ht="11.25" customHeight="1">
      <c r="A254" s="205"/>
      <c r="B254" s="250"/>
      <c r="C254" s="207"/>
      <c r="D254" s="157" t="s">
        <v>151</v>
      </c>
      <c r="E254" s="197"/>
      <c r="F254" s="197"/>
      <c r="G254" s="208"/>
      <c r="H254" s="197"/>
      <c r="I254" s="197"/>
      <c r="J254" s="197"/>
      <c r="K254" s="197"/>
      <c r="L254" s="270">
        <f t="shared" si="53"/>
        <v>0</v>
      </c>
      <c r="M254" s="197">
        <v>0</v>
      </c>
      <c r="N254" s="197"/>
      <c r="O254" s="197"/>
      <c r="P254" s="197"/>
      <c r="Q254" s="271">
        <f t="shared" si="54"/>
        <v>0</v>
      </c>
      <c r="R254" s="453"/>
    </row>
    <row r="255" spans="1:18" ht="11.25" customHeight="1">
      <c r="A255" s="205"/>
      <c r="B255" s="250"/>
      <c r="C255" s="207" t="s">
        <v>110</v>
      </c>
      <c r="D255" s="157" t="s">
        <v>149</v>
      </c>
      <c r="E255" s="197"/>
      <c r="F255" s="197"/>
      <c r="G255" s="208">
        <v>17637</v>
      </c>
      <c r="H255" s="197"/>
      <c r="I255" s="197"/>
      <c r="J255" s="197"/>
      <c r="K255" s="197">
        <v>320000</v>
      </c>
      <c r="L255" s="270">
        <f t="shared" si="53"/>
        <v>337637</v>
      </c>
      <c r="M255" s="197">
        <v>12403</v>
      </c>
      <c r="N255" s="197"/>
      <c r="O255" s="197"/>
      <c r="P255" s="197"/>
      <c r="Q255" s="271">
        <f t="shared" si="54"/>
        <v>350040</v>
      </c>
      <c r="R255" s="453"/>
    </row>
    <row r="256" spans="1:18" ht="11.25" customHeight="1">
      <c r="A256" s="205"/>
      <c r="B256" s="250"/>
      <c r="C256" s="207"/>
      <c r="D256" s="157" t="s">
        <v>150</v>
      </c>
      <c r="E256" s="197"/>
      <c r="F256" s="197"/>
      <c r="G256" s="208"/>
      <c r="H256" s="197"/>
      <c r="I256" s="197"/>
      <c r="J256" s="197"/>
      <c r="K256" s="197"/>
      <c r="L256" s="270">
        <f t="shared" si="53"/>
        <v>0</v>
      </c>
      <c r="M256" s="197"/>
      <c r="N256" s="197"/>
      <c r="O256" s="197"/>
      <c r="P256" s="197"/>
      <c r="Q256" s="271">
        <f t="shared" si="54"/>
        <v>0</v>
      </c>
      <c r="R256" s="453"/>
    </row>
    <row r="257" spans="1:18" ht="11.25" customHeight="1">
      <c r="A257" s="205"/>
      <c r="B257" s="250"/>
      <c r="C257" s="207"/>
      <c r="D257" s="157" t="s">
        <v>151</v>
      </c>
      <c r="E257" s="197"/>
      <c r="F257" s="197"/>
      <c r="G257" s="208"/>
      <c r="H257" s="197"/>
      <c r="I257" s="197"/>
      <c r="J257" s="197"/>
      <c r="K257" s="197"/>
      <c r="L257" s="270">
        <f t="shared" si="53"/>
        <v>0</v>
      </c>
      <c r="M257" s="197"/>
      <c r="N257" s="197"/>
      <c r="O257" s="197"/>
      <c r="P257" s="197"/>
      <c r="Q257" s="271">
        <f t="shared" si="54"/>
        <v>0</v>
      </c>
      <c r="R257" s="453"/>
    </row>
    <row r="258" spans="1:18" ht="13.5" customHeight="1">
      <c r="A258" s="205"/>
      <c r="B258" s="250" t="s">
        <v>8</v>
      </c>
      <c r="C258" s="207" t="s">
        <v>111</v>
      </c>
      <c r="D258" s="401" t="s">
        <v>123</v>
      </c>
      <c r="E258" s="236"/>
      <c r="F258" s="236"/>
      <c r="G258" s="208"/>
      <c r="H258" s="236"/>
      <c r="I258" s="236"/>
      <c r="J258" s="236"/>
      <c r="K258" s="236"/>
      <c r="L258" s="284"/>
      <c r="M258" s="236"/>
      <c r="N258" s="236"/>
      <c r="O258" s="236"/>
      <c r="P258" s="236"/>
      <c r="Q258" s="243"/>
      <c r="R258" s="453"/>
    </row>
    <row r="259" spans="1:18" ht="11.25" customHeight="1">
      <c r="A259" s="205"/>
      <c r="B259" s="250"/>
      <c r="C259" s="207"/>
      <c r="D259" s="157" t="s">
        <v>149</v>
      </c>
      <c r="E259" s="197"/>
      <c r="F259" s="197"/>
      <c r="G259" s="208"/>
      <c r="H259" s="197"/>
      <c r="I259" s="197"/>
      <c r="J259" s="197">
        <v>849</v>
      </c>
      <c r="K259" s="197"/>
      <c r="L259" s="220">
        <f>SUM(G259:K259)</f>
        <v>849</v>
      </c>
      <c r="M259" s="197"/>
      <c r="N259" s="197"/>
      <c r="O259" s="197"/>
      <c r="P259" s="197"/>
      <c r="Q259" s="243">
        <f>SUM(L259:P259)</f>
        <v>849</v>
      </c>
      <c r="R259" s="453"/>
    </row>
    <row r="260" spans="1:18" ht="11.25" customHeight="1">
      <c r="A260" s="205"/>
      <c r="B260" s="250"/>
      <c r="C260" s="207"/>
      <c r="D260" s="157" t="s">
        <v>150</v>
      </c>
      <c r="E260" s="197"/>
      <c r="F260" s="197"/>
      <c r="G260" s="208"/>
      <c r="H260" s="197"/>
      <c r="I260" s="197"/>
      <c r="J260" s="197">
        <v>1305</v>
      </c>
      <c r="K260" s="197"/>
      <c r="L260" s="220">
        <f>SUM(G260:K260)</f>
        <v>1305</v>
      </c>
      <c r="M260" s="197"/>
      <c r="N260" s="197"/>
      <c r="O260" s="197"/>
      <c r="P260" s="197"/>
      <c r="Q260" s="243">
        <f>SUM(L260:P260)</f>
        <v>1305</v>
      </c>
      <c r="R260" s="453"/>
    </row>
    <row r="261" spans="1:18" ht="11.25" customHeight="1">
      <c r="A261" s="205"/>
      <c r="B261" s="250"/>
      <c r="C261" s="207"/>
      <c r="D261" s="157" t="s">
        <v>151</v>
      </c>
      <c r="E261" s="197"/>
      <c r="F261" s="197"/>
      <c r="G261" s="208"/>
      <c r="H261" s="197"/>
      <c r="I261" s="197"/>
      <c r="J261" s="197">
        <v>1304</v>
      </c>
      <c r="K261" s="197"/>
      <c r="L261" s="220">
        <f>SUM(G261:K261)</f>
        <v>1304</v>
      </c>
      <c r="M261" s="197"/>
      <c r="N261" s="197"/>
      <c r="O261" s="197"/>
      <c r="P261" s="197"/>
      <c r="Q261" s="243">
        <f>SUM(L261:P261)</f>
        <v>1304</v>
      </c>
      <c r="R261" s="453"/>
    </row>
    <row r="262" spans="1:18" ht="11.25" customHeight="1">
      <c r="A262" s="205"/>
      <c r="B262" s="250" t="s">
        <v>9</v>
      </c>
      <c r="C262" s="207"/>
      <c r="D262" s="401" t="s">
        <v>68</v>
      </c>
      <c r="E262" s="236"/>
      <c r="F262" s="236"/>
      <c r="G262" s="208"/>
      <c r="H262" s="236"/>
      <c r="I262" s="236"/>
      <c r="J262" s="236"/>
      <c r="K262" s="236"/>
      <c r="L262" s="284"/>
      <c r="M262" s="236"/>
      <c r="N262" s="236"/>
      <c r="O262" s="236"/>
      <c r="P262" s="236"/>
      <c r="Q262" s="243"/>
      <c r="R262" s="453"/>
    </row>
    <row r="263" spans="1:18" ht="11.25" customHeight="1">
      <c r="A263" s="205"/>
      <c r="B263" s="250"/>
      <c r="C263" s="207" t="s">
        <v>110</v>
      </c>
      <c r="D263" s="157" t="s">
        <v>149</v>
      </c>
      <c r="E263" s="197"/>
      <c r="F263" s="197"/>
      <c r="G263" s="208">
        <v>14000</v>
      </c>
      <c r="H263" s="197"/>
      <c r="I263" s="197"/>
      <c r="J263" s="197"/>
      <c r="K263" s="197"/>
      <c r="L263" s="220">
        <f aca="true" t="shared" si="55" ref="L263:L268">SUM(E263:K263)</f>
        <v>14000</v>
      </c>
      <c r="M263" s="197"/>
      <c r="N263" s="197"/>
      <c r="O263" s="197"/>
      <c r="P263" s="197"/>
      <c r="Q263" s="243">
        <f aca="true" t="shared" si="56" ref="Q263:Q268">SUM(L263:P263)</f>
        <v>14000</v>
      </c>
      <c r="R263" s="453"/>
    </row>
    <row r="264" spans="1:18" ht="11.25" customHeight="1">
      <c r="A264" s="205"/>
      <c r="B264" s="250"/>
      <c r="C264" s="207"/>
      <c r="D264" s="157" t="s">
        <v>150</v>
      </c>
      <c r="E264" s="197"/>
      <c r="F264" s="197"/>
      <c r="G264" s="208">
        <v>14350</v>
      </c>
      <c r="H264" s="197"/>
      <c r="I264" s="197"/>
      <c r="J264" s="197"/>
      <c r="K264" s="197"/>
      <c r="L264" s="220">
        <f t="shared" si="55"/>
        <v>14350</v>
      </c>
      <c r="M264" s="197"/>
      <c r="N264" s="197"/>
      <c r="O264" s="197"/>
      <c r="P264" s="197"/>
      <c r="Q264" s="243">
        <f t="shared" si="56"/>
        <v>14350</v>
      </c>
      <c r="R264" s="453"/>
    </row>
    <row r="265" spans="1:18" ht="11.25" customHeight="1">
      <c r="A265" s="205"/>
      <c r="B265" s="250"/>
      <c r="C265" s="207"/>
      <c r="D265" s="157" t="s">
        <v>151</v>
      </c>
      <c r="E265" s="197"/>
      <c r="F265" s="197"/>
      <c r="G265" s="208">
        <f>13593-8816-1778</f>
        <v>2999</v>
      </c>
      <c r="H265" s="197"/>
      <c r="I265" s="197"/>
      <c r="J265" s="197"/>
      <c r="K265" s="197"/>
      <c r="L265" s="220">
        <f t="shared" si="55"/>
        <v>2999</v>
      </c>
      <c r="M265" s="197"/>
      <c r="N265" s="197"/>
      <c r="O265" s="197"/>
      <c r="P265" s="197"/>
      <c r="Q265" s="243">
        <f>SUM(L265:P265)</f>
        <v>2999</v>
      </c>
      <c r="R265" s="453"/>
    </row>
    <row r="266" spans="1:18" ht="11.25" customHeight="1">
      <c r="A266" s="205"/>
      <c r="B266" s="250"/>
      <c r="C266" s="207" t="s">
        <v>111</v>
      </c>
      <c r="D266" s="157" t="s">
        <v>149</v>
      </c>
      <c r="E266" s="197"/>
      <c r="F266" s="197"/>
      <c r="G266" s="208">
        <v>5000</v>
      </c>
      <c r="H266" s="197"/>
      <c r="I266" s="197"/>
      <c r="J266" s="197"/>
      <c r="K266" s="197"/>
      <c r="L266" s="220">
        <f t="shared" si="55"/>
        <v>5000</v>
      </c>
      <c r="M266" s="197"/>
      <c r="N266" s="197"/>
      <c r="O266" s="197"/>
      <c r="P266" s="197"/>
      <c r="Q266" s="243">
        <f t="shared" si="56"/>
        <v>5000</v>
      </c>
      <c r="R266" s="453"/>
    </row>
    <row r="267" spans="1:18" ht="11.25" customHeight="1">
      <c r="A267" s="205"/>
      <c r="B267" s="250"/>
      <c r="C267" s="207"/>
      <c r="D267" s="157" t="s">
        <v>150</v>
      </c>
      <c r="E267" s="197">
        <v>833</v>
      </c>
      <c r="F267" s="197">
        <v>224</v>
      </c>
      <c r="G267" s="208">
        <v>8000</v>
      </c>
      <c r="H267" s="197"/>
      <c r="I267" s="197"/>
      <c r="J267" s="197"/>
      <c r="K267" s="197"/>
      <c r="L267" s="220">
        <f t="shared" si="55"/>
        <v>9057</v>
      </c>
      <c r="M267" s="197"/>
      <c r="N267" s="197"/>
      <c r="O267" s="197"/>
      <c r="P267" s="197"/>
      <c r="Q267" s="243">
        <f t="shared" si="56"/>
        <v>9057</v>
      </c>
      <c r="R267" s="453"/>
    </row>
    <row r="268" spans="1:18" ht="11.25" customHeight="1">
      <c r="A268" s="205"/>
      <c r="B268" s="250"/>
      <c r="C268" s="207"/>
      <c r="D268" s="157" t="s">
        <v>151</v>
      </c>
      <c r="E268" s="197">
        <v>825</v>
      </c>
      <c r="F268" s="197">
        <v>223</v>
      </c>
      <c r="G268" s="208">
        <f>227+254</f>
        <v>481</v>
      </c>
      <c r="H268" s="197"/>
      <c r="I268" s="197"/>
      <c r="J268" s="197"/>
      <c r="K268" s="197"/>
      <c r="L268" s="220">
        <f t="shared" si="55"/>
        <v>1529</v>
      </c>
      <c r="M268" s="197"/>
      <c r="N268" s="197"/>
      <c r="O268" s="197"/>
      <c r="P268" s="197"/>
      <c r="Q268" s="243">
        <f t="shared" si="56"/>
        <v>1529</v>
      </c>
      <c r="R268" s="453"/>
    </row>
    <row r="269" spans="1:18" ht="11.25" customHeight="1">
      <c r="A269" s="205"/>
      <c r="B269" s="250" t="s">
        <v>10</v>
      </c>
      <c r="C269" s="207" t="s">
        <v>110</v>
      </c>
      <c r="D269" s="401" t="s">
        <v>209</v>
      </c>
      <c r="E269" s="197"/>
      <c r="F269" s="197"/>
      <c r="G269" s="208"/>
      <c r="H269" s="197"/>
      <c r="I269" s="197"/>
      <c r="J269" s="197"/>
      <c r="K269" s="197"/>
      <c r="L269" s="220"/>
      <c r="M269" s="197"/>
      <c r="N269" s="197"/>
      <c r="O269" s="197"/>
      <c r="P269" s="197"/>
      <c r="Q269" s="243"/>
      <c r="R269" s="453"/>
    </row>
    <row r="270" spans="1:18" ht="11.25" customHeight="1">
      <c r="A270" s="205"/>
      <c r="B270" s="250"/>
      <c r="C270" s="207"/>
      <c r="D270" s="157" t="s">
        <v>149</v>
      </c>
      <c r="E270" s="197"/>
      <c r="F270" s="197"/>
      <c r="G270" s="208">
        <v>62650</v>
      </c>
      <c r="H270" s="197"/>
      <c r="I270" s="197"/>
      <c r="J270" s="197"/>
      <c r="K270" s="197"/>
      <c r="L270" s="220">
        <f>SUM(E270:K270)</f>
        <v>62650</v>
      </c>
      <c r="M270" s="197"/>
      <c r="N270" s="197"/>
      <c r="O270" s="197"/>
      <c r="P270" s="197"/>
      <c r="Q270" s="243">
        <f>SUM(L270:P270)</f>
        <v>62650</v>
      </c>
      <c r="R270" s="453"/>
    </row>
    <row r="271" spans="1:18" ht="11.25" customHeight="1">
      <c r="A271" s="205"/>
      <c r="B271" s="250"/>
      <c r="C271" s="207"/>
      <c r="D271" s="157" t="s">
        <v>150</v>
      </c>
      <c r="E271" s="197"/>
      <c r="F271" s="197"/>
      <c r="G271" s="208">
        <v>45766</v>
      </c>
      <c r="H271" s="197"/>
      <c r="I271" s="197"/>
      <c r="J271" s="197"/>
      <c r="K271" s="197"/>
      <c r="L271" s="220">
        <f>SUM(E271:K271)</f>
        <v>45766</v>
      </c>
      <c r="M271" s="197"/>
      <c r="N271" s="197"/>
      <c r="O271" s="197"/>
      <c r="P271" s="197"/>
      <c r="Q271" s="243">
        <f>SUM(L271:P271)</f>
        <v>45766</v>
      </c>
      <c r="R271" s="453"/>
    </row>
    <row r="272" spans="1:18" ht="11.25" customHeight="1">
      <c r="A272" s="205"/>
      <c r="B272" s="250"/>
      <c r="C272" s="207"/>
      <c r="D272" s="157" t="s">
        <v>151</v>
      </c>
      <c r="E272" s="197"/>
      <c r="F272" s="197"/>
      <c r="G272" s="208">
        <f>8816+797</f>
        <v>9613</v>
      </c>
      <c r="H272" s="197"/>
      <c r="I272" s="197"/>
      <c r="J272" s="197"/>
      <c r="K272" s="197"/>
      <c r="L272" s="220">
        <f>SUM(E272:K272)</f>
        <v>9613</v>
      </c>
      <c r="M272" s="197"/>
      <c r="N272" s="197"/>
      <c r="O272" s="197"/>
      <c r="P272" s="197"/>
      <c r="Q272" s="243">
        <f>SUM(L272:P272)</f>
        <v>9613</v>
      </c>
      <c r="R272" s="453"/>
    </row>
    <row r="273" spans="1:18" ht="11.25" customHeight="1">
      <c r="A273" s="205"/>
      <c r="B273" s="250" t="s">
        <v>11</v>
      </c>
      <c r="C273" s="207" t="s">
        <v>110</v>
      </c>
      <c r="D273" s="1604" t="s">
        <v>210</v>
      </c>
      <c r="E273" s="1606"/>
      <c r="F273" s="236"/>
      <c r="G273" s="208"/>
      <c r="H273" s="236"/>
      <c r="I273" s="236"/>
      <c r="J273" s="236"/>
      <c r="K273" s="236"/>
      <c r="L273" s="284"/>
      <c r="M273" s="236"/>
      <c r="N273" s="236"/>
      <c r="O273" s="236"/>
      <c r="P273" s="236"/>
      <c r="Q273" s="243"/>
      <c r="R273" s="453"/>
    </row>
    <row r="274" spans="1:18" ht="11.25" customHeight="1">
      <c r="A274" s="205"/>
      <c r="B274" s="250"/>
      <c r="C274" s="207"/>
      <c r="D274" s="157" t="s">
        <v>149</v>
      </c>
      <c r="E274" s="197"/>
      <c r="F274" s="197"/>
      <c r="G274" s="208">
        <v>3000</v>
      </c>
      <c r="H274" s="197"/>
      <c r="I274" s="197"/>
      <c r="J274" s="197"/>
      <c r="K274" s="197"/>
      <c r="L274" s="220">
        <f>SUM(E274:K274)</f>
        <v>3000</v>
      </c>
      <c r="M274" s="197">
        <v>0</v>
      </c>
      <c r="N274" s="197"/>
      <c r="O274" s="197"/>
      <c r="P274" s="197"/>
      <c r="Q274" s="243">
        <f>SUM(L274:P274)</f>
        <v>3000</v>
      </c>
      <c r="R274" s="453"/>
    </row>
    <row r="275" spans="1:18" ht="11.25" customHeight="1">
      <c r="A275" s="205"/>
      <c r="B275" s="250"/>
      <c r="C275" s="207"/>
      <c r="D275" s="157" t="s">
        <v>150</v>
      </c>
      <c r="E275" s="197"/>
      <c r="F275" s="197"/>
      <c r="G275" s="208">
        <v>3000</v>
      </c>
      <c r="H275" s="197"/>
      <c r="I275" s="197"/>
      <c r="J275" s="197"/>
      <c r="K275" s="197"/>
      <c r="L275" s="220">
        <f>SUM(E275:K275)</f>
        <v>3000</v>
      </c>
      <c r="M275" s="197">
        <v>8128</v>
      </c>
      <c r="N275" s="197"/>
      <c r="O275" s="197"/>
      <c r="P275" s="197"/>
      <c r="Q275" s="243">
        <f>SUM(L275:P275)</f>
        <v>11128</v>
      </c>
      <c r="R275" s="453"/>
    </row>
    <row r="276" spans="1:18" ht="11.25" customHeight="1">
      <c r="A276" s="205"/>
      <c r="B276" s="250"/>
      <c r="C276" s="207"/>
      <c r="D276" s="157" t="s">
        <v>151</v>
      </c>
      <c r="E276" s="197"/>
      <c r="F276" s="197"/>
      <c r="G276" s="208">
        <v>1778</v>
      </c>
      <c r="H276" s="197"/>
      <c r="I276" s="197"/>
      <c r="J276" s="197"/>
      <c r="K276" s="197"/>
      <c r="L276" s="220">
        <f>SUM(E276:K276)</f>
        <v>1778</v>
      </c>
      <c r="M276" s="197">
        <v>2680</v>
      </c>
      <c r="N276" s="197"/>
      <c r="O276" s="197"/>
      <c r="P276" s="197"/>
      <c r="Q276" s="243">
        <f>SUM(L276:P276)</f>
        <v>4458</v>
      </c>
      <c r="R276" s="453"/>
    </row>
    <row r="277" spans="1:18" ht="11.25" customHeight="1">
      <c r="A277" s="205"/>
      <c r="B277" s="250" t="s">
        <v>12</v>
      </c>
      <c r="C277" s="207" t="s">
        <v>111</v>
      </c>
      <c r="D277" s="1249" t="s">
        <v>838</v>
      </c>
      <c r="E277" s="197"/>
      <c r="F277" s="197"/>
      <c r="G277" s="208"/>
      <c r="H277" s="1078"/>
      <c r="I277" s="197"/>
      <c r="J277" s="197"/>
      <c r="K277" s="197"/>
      <c r="L277" s="220"/>
      <c r="M277" s="197"/>
      <c r="N277" s="197"/>
      <c r="O277" s="197"/>
      <c r="P277" s="197"/>
      <c r="Q277" s="243"/>
      <c r="R277" s="453"/>
    </row>
    <row r="278" spans="1:18" ht="11.25" customHeight="1">
      <c r="A278" s="205"/>
      <c r="B278" s="250"/>
      <c r="C278" s="207"/>
      <c r="D278" s="157" t="s">
        <v>149</v>
      </c>
      <c r="E278" s="197"/>
      <c r="F278" s="197"/>
      <c r="G278" s="208">
        <v>0</v>
      </c>
      <c r="H278" s="1078"/>
      <c r="I278" s="197"/>
      <c r="J278" s="197"/>
      <c r="K278" s="197"/>
      <c r="L278" s="220">
        <f>SUM(E278:K278)</f>
        <v>0</v>
      </c>
      <c r="M278" s="197"/>
      <c r="N278" s="197"/>
      <c r="O278" s="197"/>
      <c r="P278" s="197"/>
      <c r="Q278" s="243">
        <f>SUM(L278:P278)</f>
        <v>0</v>
      </c>
      <c r="R278" s="453"/>
    </row>
    <row r="279" spans="1:18" ht="11.25" customHeight="1">
      <c r="A279" s="205"/>
      <c r="B279" s="250"/>
      <c r="C279" s="207"/>
      <c r="D279" s="157" t="s">
        <v>150</v>
      </c>
      <c r="E279" s="197"/>
      <c r="F279" s="197"/>
      <c r="G279" s="208">
        <v>775</v>
      </c>
      <c r="H279" s="1078"/>
      <c r="I279" s="197"/>
      <c r="J279" s="197"/>
      <c r="K279" s="197"/>
      <c r="L279" s="220">
        <f>SUM(E279:K279)</f>
        <v>775</v>
      </c>
      <c r="M279" s="197"/>
      <c r="N279" s="197"/>
      <c r="O279" s="197"/>
      <c r="P279" s="197"/>
      <c r="Q279" s="243">
        <f>SUM(L279:P279)</f>
        <v>775</v>
      </c>
      <c r="R279" s="453"/>
    </row>
    <row r="280" spans="1:18" ht="11.25" customHeight="1">
      <c r="A280" s="205"/>
      <c r="B280" s="250"/>
      <c r="C280" s="207"/>
      <c r="D280" s="157" t="s">
        <v>151</v>
      </c>
      <c r="E280" s="197"/>
      <c r="F280" s="197"/>
      <c r="G280" s="208">
        <v>0</v>
      </c>
      <c r="H280" s="1078"/>
      <c r="I280" s="197"/>
      <c r="J280" s="197"/>
      <c r="K280" s="197"/>
      <c r="L280" s="220">
        <f>SUM(E280:K280)</f>
        <v>0</v>
      </c>
      <c r="M280" s="197"/>
      <c r="N280" s="197"/>
      <c r="O280" s="197"/>
      <c r="P280" s="197"/>
      <c r="Q280" s="243">
        <f>SUM(L280:P280)</f>
        <v>0</v>
      </c>
      <c r="R280" s="453"/>
    </row>
    <row r="281" spans="1:18" ht="15" customHeight="1">
      <c r="A281" s="205"/>
      <c r="B281" s="250" t="s">
        <v>731</v>
      </c>
      <c r="C281" s="207" t="s">
        <v>110</v>
      </c>
      <c r="D281" s="1264" t="s">
        <v>839</v>
      </c>
      <c r="E281" s="1266"/>
      <c r="F281" s="1266"/>
      <c r="G281" s="1266"/>
      <c r="H281" s="1265"/>
      <c r="I281" s="197"/>
      <c r="J281" s="197"/>
      <c r="K281" s="197"/>
      <c r="L281" s="220"/>
      <c r="M281" s="197"/>
      <c r="N281" s="197"/>
      <c r="O281" s="197"/>
      <c r="P281" s="197"/>
      <c r="Q281" s="243"/>
      <c r="R281" s="453"/>
    </row>
    <row r="282" spans="1:18" ht="11.25" customHeight="1">
      <c r="A282" s="205"/>
      <c r="B282" s="250"/>
      <c r="C282" s="207"/>
      <c r="D282" s="157" t="s">
        <v>149</v>
      </c>
      <c r="E282" s="197">
        <v>0</v>
      </c>
      <c r="F282" s="197">
        <v>0</v>
      </c>
      <c r="G282" s="208">
        <v>0</v>
      </c>
      <c r="H282" s="197"/>
      <c r="I282" s="197"/>
      <c r="J282" s="197"/>
      <c r="K282" s="197"/>
      <c r="L282" s="220">
        <f>SUM(E282:K282)</f>
        <v>0</v>
      </c>
      <c r="M282" s="197"/>
      <c r="N282" s="197"/>
      <c r="O282" s="197"/>
      <c r="P282" s="197"/>
      <c r="Q282" s="243">
        <f>SUM(L282:P282)</f>
        <v>0</v>
      </c>
      <c r="R282" s="453"/>
    </row>
    <row r="283" spans="1:18" ht="11.25" customHeight="1">
      <c r="A283" s="205"/>
      <c r="B283" s="250"/>
      <c r="C283" s="207"/>
      <c r="D283" s="157" t="s">
        <v>150</v>
      </c>
      <c r="E283" s="197">
        <v>400</v>
      </c>
      <c r="F283" s="197">
        <v>98</v>
      </c>
      <c r="G283" s="208">
        <v>0</v>
      </c>
      <c r="H283" s="197"/>
      <c r="I283" s="197"/>
      <c r="J283" s="197"/>
      <c r="K283" s="197"/>
      <c r="L283" s="220">
        <f>SUM(E283:K283)</f>
        <v>498</v>
      </c>
      <c r="M283" s="197"/>
      <c r="N283" s="197"/>
      <c r="O283" s="197"/>
      <c r="P283" s="197"/>
      <c r="Q283" s="243">
        <f>SUM(L283:P283)</f>
        <v>498</v>
      </c>
      <c r="R283" s="453"/>
    </row>
    <row r="284" spans="1:18" ht="11.25" customHeight="1" thickBot="1">
      <c r="A284" s="205"/>
      <c r="B284" s="250"/>
      <c r="C284" s="207"/>
      <c r="D284" s="157" t="s">
        <v>151</v>
      </c>
      <c r="E284" s="197">
        <v>285</v>
      </c>
      <c r="F284" s="197">
        <v>0</v>
      </c>
      <c r="G284" s="208">
        <v>0</v>
      </c>
      <c r="H284" s="197"/>
      <c r="I284" s="197"/>
      <c r="J284" s="197"/>
      <c r="K284" s="197"/>
      <c r="L284" s="220">
        <f>SUM(E284:K284)</f>
        <v>285</v>
      </c>
      <c r="M284" s="197"/>
      <c r="N284" s="197"/>
      <c r="O284" s="197"/>
      <c r="P284" s="197"/>
      <c r="Q284" s="243">
        <f>SUM(L284:P284)</f>
        <v>285</v>
      </c>
      <c r="R284" s="453"/>
    </row>
    <row r="285" spans="1:18" s="16" customFormat="1" ht="11.25" customHeight="1">
      <c r="A285" s="263">
        <v>13</v>
      </c>
      <c r="B285" s="256" t="s">
        <v>4</v>
      </c>
      <c r="C285" s="223" t="s">
        <v>111</v>
      </c>
      <c r="D285" s="350" t="s">
        <v>121</v>
      </c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224"/>
      <c r="P285" s="224"/>
      <c r="Q285" s="257"/>
      <c r="R285" s="466"/>
    </row>
    <row r="286" spans="1:18" s="16" customFormat="1" ht="11.25" customHeight="1">
      <c r="A286" s="205"/>
      <c r="B286" s="206"/>
      <c r="C286" s="207"/>
      <c r="D286" s="157" t="s">
        <v>149</v>
      </c>
      <c r="E286" s="220">
        <v>1000</v>
      </c>
      <c r="F286" s="220">
        <v>510</v>
      </c>
      <c r="G286" s="220">
        <v>5840</v>
      </c>
      <c r="H286" s="220"/>
      <c r="I286" s="220"/>
      <c r="J286" s="220"/>
      <c r="K286" s="220"/>
      <c r="L286" s="220">
        <f>SUM(E286:K286)</f>
        <v>7350</v>
      </c>
      <c r="M286" s="220"/>
      <c r="N286" s="220"/>
      <c r="O286" s="220"/>
      <c r="P286" s="220"/>
      <c r="Q286" s="243">
        <f>SUM(L286:P286)</f>
        <v>7350</v>
      </c>
      <c r="R286" s="453"/>
    </row>
    <row r="287" spans="1:18" s="16" customFormat="1" ht="11.25" customHeight="1">
      <c r="A287" s="205"/>
      <c r="B287" s="206"/>
      <c r="C287" s="207"/>
      <c r="D287" s="157" t="s">
        <v>150</v>
      </c>
      <c r="E287" s="220">
        <v>1000</v>
      </c>
      <c r="F287" s="220">
        <v>510</v>
      </c>
      <c r="G287" s="220">
        <v>7840</v>
      </c>
      <c r="H287" s="220"/>
      <c r="I287" s="220"/>
      <c r="J287" s="220"/>
      <c r="K287" s="220"/>
      <c r="L287" s="220">
        <f>SUM(E287:K287)</f>
        <v>9350</v>
      </c>
      <c r="M287" s="220"/>
      <c r="N287" s="220"/>
      <c r="O287" s="220"/>
      <c r="P287" s="220"/>
      <c r="Q287" s="243">
        <f>SUM(L287:P287)</f>
        <v>9350</v>
      </c>
      <c r="R287" s="453"/>
    </row>
    <row r="288" spans="1:18" s="16" customFormat="1" ht="11.25" customHeight="1" thickBot="1">
      <c r="A288" s="193"/>
      <c r="B288" s="199"/>
      <c r="C288" s="195"/>
      <c r="D288" s="155" t="s">
        <v>151</v>
      </c>
      <c r="E288" s="272">
        <f>43+169</f>
        <v>212</v>
      </c>
      <c r="F288" s="272">
        <f>28</f>
        <v>28</v>
      </c>
      <c r="G288" s="272">
        <f>4833+271+251</f>
        <v>5355</v>
      </c>
      <c r="H288" s="272"/>
      <c r="I288" s="272"/>
      <c r="J288" s="272"/>
      <c r="K288" s="272"/>
      <c r="L288" s="272">
        <f>SUM(E288:K288)</f>
        <v>5595</v>
      </c>
      <c r="M288" s="272"/>
      <c r="N288" s="272"/>
      <c r="O288" s="272"/>
      <c r="P288" s="272"/>
      <c r="Q288" s="200">
        <f>SUM(L288:P288)</f>
        <v>5595</v>
      </c>
      <c r="R288" s="364"/>
    </row>
    <row r="289" spans="1:18" s="16" customFormat="1" ht="11.25" customHeight="1">
      <c r="A289" s="263">
        <v>14</v>
      </c>
      <c r="B289" s="256"/>
      <c r="C289" s="273"/>
      <c r="D289" s="257" t="s">
        <v>97</v>
      </c>
      <c r="E289" s="282"/>
      <c r="F289" s="282"/>
      <c r="G289" s="224"/>
      <c r="H289" s="282"/>
      <c r="I289" s="282"/>
      <c r="J289" s="282"/>
      <c r="K289" s="282"/>
      <c r="L289" s="282"/>
      <c r="M289" s="282"/>
      <c r="N289" s="282"/>
      <c r="O289" s="282"/>
      <c r="P289" s="282"/>
      <c r="Q289" s="257"/>
      <c r="R289" s="466"/>
    </row>
    <row r="290" spans="1:18" s="16" customFormat="1" ht="11.25" customHeight="1">
      <c r="A290" s="193"/>
      <c r="B290" s="206"/>
      <c r="C290" s="233"/>
      <c r="D290" s="157" t="s">
        <v>149</v>
      </c>
      <c r="E290" s="220">
        <f>E294+E298+E302+E306</f>
        <v>1890</v>
      </c>
      <c r="F290" s="220">
        <f aca="true" t="shared" si="57" ref="F290:K290">F294+F298+F302+F306</f>
        <v>523</v>
      </c>
      <c r="G290" s="220">
        <f t="shared" si="57"/>
        <v>5950</v>
      </c>
      <c r="H290" s="220">
        <f t="shared" si="57"/>
        <v>0</v>
      </c>
      <c r="I290" s="220">
        <f t="shared" si="57"/>
        <v>100</v>
      </c>
      <c r="J290" s="220">
        <f t="shared" si="57"/>
        <v>2200</v>
      </c>
      <c r="K290" s="220">
        <f t="shared" si="57"/>
        <v>0</v>
      </c>
      <c r="L290" s="220">
        <f aca="true" t="shared" si="58" ref="L290:R290">L294+L298+L302+L306</f>
        <v>10663</v>
      </c>
      <c r="M290" s="220">
        <f t="shared" si="58"/>
        <v>0</v>
      </c>
      <c r="N290" s="220">
        <f t="shared" si="58"/>
        <v>0</v>
      </c>
      <c r="O290" s="220"/>
      <c r="P290" s="220">
        <f t="shared" si="58"/>
        <v>0</v>
      </c>
      <c r="Q290" s="220">
        <f t="shared" si="58"/>
        <v>10663</v>
      </c>
      <c r="R290" s="453">
        <f t="shared" si="58"/>
        <v>1</v>
      </c>
    </row>
    <row r="291" spans="1:18" s="16" customFormat="1" ht="11.25" customHeight="1">
      <c r="A291" s="193"/>
      <c r="B291" s="206"/>
      <c r="C291" s="233"/>
      <c r="D291" s="157" t="s">
        <v>150</v>
      </c>
      <c r="E291" s="220">
        <f aca="true" t="shared" si="59" ref="E291:J292">E295+E299+E303+E307</f>
        <v>2152</v>
      </c>
      <c r="F291" s="220">
        <f t="shared" si="59"/>
        <v>594</v>
      </c>
      <c r="G291" s="220">
        <f t="shared" si="59"/>
        <v>7855</v>
      </c>
      <c r="H291" s="220">
        <f t="shared" si="59"/>
        <v>0</v>
      </c>
      <c r="I291" s="220">
        <f t="shared" si="59"/>
        <v>100</v>
      </c>
      <c r="J291" s="220">
        <f t="shared" si="59"/>
        <v>2200</v>
      </c>
      <c r="K291" s="220">
        <f aca="true" t="shared" si="60" ref="K291:R292">K295+K299+K303+K307</f>
        <v>0</v>
      </c>
      <c r="L291" s="220">
        <f t="shared" si="60"/>
        <v>12901</v>
      </c>
      <c r="M291" s="220">
        <f t="shared" si="60"/>
        <v>0</v>
      </c>
      <c r="N291" s="220">
        <f t="shared" si="60"/>
        <v>0</v>
      </c>
      <c r="O291" s="220"/>
      <c r="P291" s="220">
        <f t="shared" si="60"/>
        <v>0</v>
      </c>
      <c r="Q291" s="220">
        <f t="shared" si="60"/>
        <v>12901</v>
      </c>
      <c r="R291" s="453">
        <f t="shared" si="60"/>
        <v>1</v>
      </c>
    </row>
    <row r="292" spans="1:18" s="16" customFormat="1" ht="11.25" customHeight="1">
      <c r="A292" s="193"/>
      <c r="B292" s="206"/>
      <c r="C292" s="233"/>
      <c r="D292" s="157" t="s">
        <v>151</v>
      </c>
      <c r="E292" s="220">
        <f t="shared" si="59"/>
        <v>2059</v>
      </c>
      <c r="F292" s="220">
        <f t="shared" si="59"/>
        <v>569</v>
      </c>
      <c r="G292" s="220">
        <f>G296+G300+G304+G308</f>
        <v>5286</v>
      </c>
      <c r="H292" s="220">
        <f t="shared" si="59"/>
        <v>0</v>
      </c>
      <c r="I292" s="220">
        <f t="shared" si="59"/>
        <v>100</v>
      </c>
      <c r="J292" s="220">
        <f t="shared" si="59"/>
        <v>1970</v>
      </c>
      <c r="K292" s="220">
        <f t="shared" si="60"/>
        <v>0</v>
      </c>
      <c r="L292" s="220">
        <f t="shared" si="60"/>
        <v>9984</v>
      </c>
      <c r="M292" s="220">
        <f t="shared" si="60"/>
        <v>0</v>
      </c>
      <c r="N292" s="220">
        <f t="shared" si="60"/>
        <v>0</v>
      </c>
      <c r="O292" s="220"/>
      <c r="P292" s="220">
        <f t="shared" si="60"/>
        <v>0</v>
      </c>
      <c r="Q292" s="220">
        <f t="shared" si="60"/>
        <v>9984</v>
      </c>
      <c r="R292" s="453">
        <f t="shared" si="60"/>
        <v>1</v>
      </c>
    </row>
    <row r="293" spans="1:18" ht="11.25" customHeight="1">
      <c r="A293" s="205"/>
      <c r="B293" s="274" t="s">
        <v>4</v>
      </c>
      <c r="C293" s="207" t="s">
        <v>111</v>
      </c>
      <c r="D293" s="208" t="s">
        <v>75</v>
      </c>
      <c r="E293" s="197"/>
      <c r="F293" s="197"/>
      <c r="G293" s="208"/>
      <c r="H293" s="197"/>
      <c r="I293" s="197"/>
      <c r="J293" s="197"/>
      <c r="K293" s="197"/>
      <c r="L293" s="220"/>
      <c r="M293" s="197"/>
      <c r="N293" s="197"/>
      <c r="O293" s="197"/>
      <c r="P293" s="197"/>
      <c r="Q293" s="243"/>
      <c r="R293" s="453"/>
    </row>
    <row r="294" spans="1:18" ht="11.25" customHeight="1">
      <c r="A294" s="266"/>
      <c r="B294" s="274"/>
      <c r="C294" s="207"/>
      <c r="D294" s="157" t="s">
        <v>149</v>
      </c>
      <c r="E294" s="197">
        <v>1890</v>
      </c>
      <c r="F294" s="197">
        <v>523</v>
      </c>
      <c r="G294" s="208">
        <v>2950</v>
      </c>
      <c r="H294" s="197"/>
      <c r="I294" s="197"/>
      <c r="J294" s="197"/>
      <c r="K294" s="197"/>
      <c r="L294" s="220">
        <f>SUM(E294:K294)</f>
        <v>5363</v>
      </c>
      <c r="M294" s="197"/>
      <c r="N294" s="197"/>
      <c r="O294" s="197"/>
      <c r="P294" s="197"/>
      <c r="Q294" s="243">
        <f>SUM(L294:P294)</f>
        <v>5363</v>
      </c>
      <c r="R294" s="453">
        <v>1</v>
      </c>
    </row>
    <row r="295" spans="1:18" ht="11.25" customHeight="1">
      <c r="A295" s="266"/>
      <c r="B295" s="274"/>
      <c r="C295" s="207"/>
      <c r="D295" s="157" t="s">
        <v>150</v>
      </c>
      <c r="E295" s="197">
        <v>2152</v>
      </c>
      <c r="F295" s="197">
        <v>594</v>
      </c>
      <c r="G295" s="208">
        <v>2950</v>
      </c>
      <c r="H295" s="197"/>
      <c r="I295" s="197"/>
      <c r="J295" s="197"/>
      <c r="K295" s="197"/>
      <c r="L295" s="220">
        <f aca="true" t="shared" si="61" ref="L295:L308">SUM(E295:K295)</f>
        <v>5696</v>
      </c>
      <c r="M295" s="197"/>
      <c r="N295" s="197"/>
      <c r="O295" s="197"/>
      <c r="P295" s="197"/>
      <c r="Q295" s="243">
        <f aca="true" t="shared" si="62" ref="Q295:Q308">SUM(L295:P295)</f>
        <v>5696</v>
      </c>
      <c r="R295" s="453">
        <v>1</v>
      </c>
    </row>
    <row r="296" spans="1:18" ht="11.25" customHeight="1">
      <c r="A296" s="266"/>
      <c r="B296" s="274"/>
      <c r="C296" s="207"/>
      <c r="D296" s="157" t="s">
        <v>151</v>
      </c>
      <c r="E296" s="197">
        <v>2059</v>
      </c>
      <c r="F296" s="197">
        <v>569</v>
      </c>
      <c r="G296" s="208">
        <v>1960</v>
      </c>
      <c r="H296" s="197"/>
      <c r="I296" s="197"/>
      <c r="J296" s="197"/>
      <c r="K296" s="197"/>
      <c r="L296" s="220">
        <f>SUM(E296:K296)</f>
        <v>4588</v>
      </c>
      <c r="M296" s="197"/>
      <c r="N296" s="197"/>
      <c r="O296" s="197"/>
      <c r="P296" s="197"/>
      <c r="Q296" s="243">
        <f t="shared" si="62"/>
        <v>4588</v>
      </c>
      <c r="R296" s="453">
        <v>1</v>
      </c>
    </row>
    <row r="297" spans="1:18" ht="11.25" customHeight="1">
      <c r="A297" s="266"/>
      <c r="B297" s="274" t="s">
        <v>5</v>
      </c>
      <c r="C297" s="207" t="s">
        <v>110</v>
      </c>
      <c r="D297" s="208" t="s">
        <v>70</v>
      </c>
      <c r="E297" s="197"/>
      <c r="F297" s="197"/>
      <c r="G297" s="208"/>
      <c r="H297" s="197"/>
      <c r="I297" s="197"/>
      <c r="J297" s="197"/>
      <c r="K297" s="197"/>
      <c r="L297" s="220"/>
      <c r="M297" s="197"/>
      <c r="N297" s="197"/>
      <c r="O297" s="197"/>
      <c r="P297" s="197"/>
      <c r="Q297" s="243"/>
      <c r="R297" s="453"/>
    </row>
    <row r="298" spans="1:18" ht="11.25" customHeight="1">
      <c r="A298" s="266"/>
      <c r="B298" s="274"/>
      <c r="C298" s="207"/>
      <c r="D298" s="157" t="s">
        <v>149</v>
      </c>
      <c r="E298" s="197"/>
      <c r="F298" s="197"/>
      <c r="G298" s="208">
        <v>600</v>
      </c>
      <c r="H298" s="197"/>
      <c r="I298" s="197"/>
      <c r="J298" s="197">
        <v>2200</v>
      </c>
      <c r="K298" s="197"/>
      <c r="L298" s="220">
        <f t="shared" si="61"/>
        <v>2800</v>
      </c>
      <c r="M298" s="197"/>
      <c r="N298" s="197"/>
      <c r="O298" s="197"/>
      <c r="P298" s="197"/>
      <c r="Q298" s="243">
        <f t="shared" si="62"/>
        <v>2800</v>
      </c>
      <c r="R298" s="453"/>
    </row>
    <row r="299" spans="1:18" ht="11.25" customHeight="1">
      <c r="A299" s="266"/>
      <c r="B299" s="274"/>
      <c r="C299" s="207"/>
      <c r="D299" s="157" t="s">
        <v>150</v>
      </c>
      <c r="E299" s="197"/>
      <c r="F299" s="197"/>
      <c r="G299" s="208">
        <v>600</v>
      </c>
      <c r="H299" s="197"/>
      <c r="I299" s="197"/>
      <c r="J299" s="197">
        <v>2200</v>
      </c>
      <c r="K299" s="197"/>
      <c r="L299" s="220">
        <f t="shared" si="61"/>
        <v>2800</v>
      </c>
      <c r="M299" s="197"/>
      <c r="N299" s="197"/>
      <c r="O299" s="197"/>
      <c r="P299" s="197"/>
      <c r="Q299" s="243">
        <f t="shared" si="62"/>
        <v>2800</v>
      </c>
      <c r="R299" s="453"/>
    </row>
    <row r="300" spans="1:18" ht="11.25" customHeight="1">
      <c r="A300" s="205"/>
      <c r="B300" s="274"/>
      <c r="C300" s="207"/>
      <c r="D300" s="157" t="s">
        <v>151</v>
      </c>
      <c r="E300" s="197"/>
      <c r="F300" s="197"/>
      <c r="G300" s="208">
        <v>279</v>
      </c>
      <c r="H300" s="197"/>
      <c r="I300" s="197"/>
      <c r="J300" s="197">
        <v>1970</v>
      </c>
      <c r="K300" s="197"/>
      <c r="L300" s="220">
        <f>SUM(E300:K300)</f>
        <v>2249</v>
      </c>
      <c r="M300" s="197"/>
      <c r="N300" s="197"/>
      <c r="O300" s="197"/>
      <c r="P300" s="197"/>
      <c r="Q300" s="243">
        <f t="shared" si="62"/>
        <v>2249</v>
      </c>
      <c r="R300" s="453"/>
    </row>
    <row r="301" spans="1:18" ht="11.25" customHeight="1">
      <c r="A301" s="205"/>
      <c r="B301" s="274" t="s">
        <v>6</v>
      </c>
      <c r="C301" s="207" t="s">
        <v>111</v>
      </c>
      <c r="D301" s="235" t="s">
        <v>180</v>
      </c>
      <c r="E301" s="197"/>
      <c r="F301" s="197"/>
      <c r="G301" s="208"/>
      <c r="H301" s="197"/>
      <c r="I301" s="197"/>
      <c r="J301" s="197"/>
      <c r="K301" s="197"/>
      <c r="L301" s="220"/>
      <c r="M301" s="197"/>
      <c r="N301" s="197"/>
      <c r="O301" s="197"/>
      <c r="P301" s="197"/>
      <c r="Q301" s="243"/>
      <c r="R301" s="453"/>
    </row>
    <row r="302" spans="1:18" ht="11.25" customHeight="1">
      <c r="A302" s="266"/>
      <c r="B302" s="274"/>
      <c r="C302" s="207"/>
      <c r="D302" s="157" t="s">
        <v>149</v>
      </c>
      <c r="E302" s="197"/>
      <c r="F302" s="197"/>
      <c r="G302" s="208"/>
      <c r="H302" s="197"/>
      <c r="I302" s="197">
        <v>100</v>
      </c>
      <c r="J302" s="197"/>
      <c r="K302" s="197"/>
      <c r="L302" s="220">
        <f t="shared" si="61"/>
        <v>100</v>
      </c>
      <c r="M302" s="197"/>
      <c r="N302" s="197"/>
      <c r="O302" s="197"/>
      <c r="P302" s="197"/>
      <c r="Q302" s="243">
        <f t="shared" si="62"/>
        <v>100</v>
      </c>
      <c r="R302" s="453"/>
    </row>
    <row r="303" spans="1:18" ht="11.25" customHeight="1">
      <c r="A303" s="266"/>
      <c r="B303" s="274"/>
      <c r="C303" s="207"/>
      <c r="D303" s="157" t="s">
        <v>150</v>
      </c>
      <c r="E303" s="197"/>
      <c r="F303" s="197"/>
      <c r="G303" s="208"/>
      <c r="H303" s="197"/>
      <c r="I303" s="197">
        <v>100</v>
      </c>
      <c r="J303" s="197"/>
      <c r="K303" s="197"/>
      <c r="L303" s="220">
        <f t="shared" si="61"/>
        <v>100</v>
      </c>
      <c r="M303" s="197"/>
      <c r="N303" s="197"/>
      <c r="O303" s="197"/>
      <c r="P303" s="197"/>
      <c r="Q303" s="243">
        <f t="shared" si="62"/>
        <v>100</v>
      </c>
      <c r="R303" s="453"/>
    </row>
    <row r="304" spans="1:18" ht="11.25" customHeight="1">
      <c r="A304" s="266"/>
      <c r="B304" s="274"/>
      <c r="C304" s="207"/>
      <c r="D304" s="157" t="s">
        <v>151</v>
      </c>
      <c r="E304" s="197"/>
      <c r="F304" s="197"/>
      <c r="G304" s="208"/>
      <c r="H304" s="197"/>
      <c r="I304" s="197">
        <v>100</v>
      </c>
      <c r="J304" s="197"/>
      <c r="K304" s="197"/>
      <c r="L304" s="220">
        <f t="shared" si="61"/>
        <v>100</v>
      </c>
      <c r="M304" s="197"/>
      <c r="N304" s="197"/>
      <c r="O304" s="197"/>
      <c r="P304" s="197"/>
      <c r="Q304" s="243">
        <f t="shared" si="62"/>
        <v>100</v>
      </c>
      <c r="R304" s="453"/>
    </row>
    <row r="305" spans="1:18" ht="11.25" customHeight="1">
      <c r="A305" s="266"/>
      <c r="B305" s="274" t="s">
        <v>7</v>
      </c>
      <c r="C305" s="207" t="s">
        <v>111</v>
      </c>
      <c r="D305" s="235" t="s">
        <v>179</v>
      </c>
      <c r="E305" s="197"/>
      <c r="F305" s="197"/>
      <c r="G305" s="208"/>
      <c r="H305" s="197"/>
      <c r="I305" s="197"/>
      <c r="J305" s="197"/>
      <c r="K305" s="197"/>
      <c r="L305" s="220"/>
      <c r="M305" s="197"/>
      <c r="N305" s="197"/>
      <c r="O305" s="197"/>
      <c r="P305" s="197"/>
      <c r="Q305" s="243"/>
      <c r="R305" s="453"/>
    </row>
    <row r="306" spans="1:18" ht="11.25" customHeight="1">
      <c r="A306" s="205"/>
      <c r="B306" s="274"/>
      <c r="C306" s="207"/>
      <c r="D306" s="155" t="s">
        <v>149</v>
      </c>
      <c r="E306" s="197"/>
      <c r="F306" s="197"/>
      <c r="G306" s="208">
        <v>2400</v>
      </c>
      <c r="H306" s="197"/>
      <c r="I306" s="197"/>
      <c r="J306" s="197"/>
      <c r="K306" s="197"/>
      <c r="L306" s="220">
        <f t="shared" si="61"/>
        <v>2400</v>
      </c>
      <c r="M306" s="197"/>
      <c r="N306" s="197"/>
      <c r="O306" s="197"/>
      <c r="P306" s="197"/>
      <c r="Q306" s="243">
        <f t="shared" si="62"/>
        <v>2400</v>
      </c>
      <c r="R306" s="453"/>
    </row>
    <row r="307" spans="1:18" ht="11.25" customHeight="1">
      <c r="A307" s="205"/>
      <c r="B307" s="274"/>
      <c r="C307" s="207"/>
      <c r="D307" s="157" t="s">
        <v>150</v>
      </c>
      <c r="E307" s="197"/>
      <c r="F307" s="197"/>
      <c r="G307" s="208">
        <v>4305</v>
      </c>
      <c r="H307" s="197"/>
      <c r="I307" s="197"/>
      <c r="J307" s="197"/>
      <c r="K307" s="197"/>
      <c r="L307" s="220">
        <f t="shared" si="61"/>
        <v>4305</v>
      </c>
      <c r="M307" s="197"/>
      <c r="N307" s="197"/>
      <c r="O307" s="197"/>
      <c r="P307" s="197"/>
      <c r="Q307" s="243">
        <f t="shared" si="62"/>
        <v>4305</v>
      </c>
      <c r="R307" s="453"/>
    </row>
    <row r="308" spans="1:18" ht="11.25" customHeight="1" thickBot="1">
      <c r="A308" s="244"/>
      <c r="B308" s="275"/>
      <c r="C308" s="245"/>
      <c r="D308" s="246" t="s">
        <v>151</v>
      </c>
      <c r="E308" s="247"/>
      <c r="F308" s="247"/>
      <c r="G308" s="276">
        <v>3047</v>
      </c>
      <c r="H308" s="247"/>
      <c r="I308" s="247"/>
      <c r="J308" s="247"/>
      <c r="K308" s="247"/>
      <c r="L308" s="248">
        <f t="shared" si="61"/>
        <v>3047</v>
      </c>
      <c r="M308" s="247"/>
      <c r="N308" s="247"/>
      <c r="O308" s="247"/>
      <c r="P308" s="247"/>
      <c r="Q308" s="262">
        <f t="shared" si="62"/>
        <v>3047</v>
      </c>
      <c r="R308" s="455"/>
    </row>
    <row r="309" spans="1:18" s="16" customFormat="1" ht="11.25" customHeight="1">
      <c r="A309" s="228">
        <v>15</v>
      </c>
      <c r="B309" s="201" t="s">
        <v>55</v>
      </c>
      <c r="C309" s="202"/>
      <c r="D309" s="212" t="s">
        <v>98</v>
      </c>
      <c r="E309" s="285"/>
      <c r="F309" s="285"/>
      <c r="G309" s="222"/>
      <c r="H309" s="285"/>
      <c r="I309" s="285"/>
      <c r="J309" s="285"/>
      <c r="K309" s="285"/>
      <c r="L309" s="285"/>
      <c r="M309" s="285"/>
      <c r="N309" s="285"/>
      <c r="O309" s="285"/>
      <c r="P309" s="285"/>
      <c r="Q309" s="212"/>
      <c r="R309" s="465"/>
    </row>
    <row r="310" spans="1:18" s="16" customFormat="1" ht="11.25" customHeight="1">
      <c r="A310" s="205"/>
      <c r="B310" s="206"/>
      <c r="C310" s="207"/>
      <c r="D310" s="157" t="s">
        <v>149</v>
      </c>
      <c r="E310" s="220">
        <f>E314+E318</f>
        <v>0</v>
      </c>
      <c r="F310" s="220">
        <f aca="true" t="shared" si="63" ref="F310:Q310">F314+F318</f>
        <v>0</v>
      </c>
      <c r="G310" s="220">
        <f t="shared" si="63"/>
        <v>41730</v>
      </c>
      <c r="H310" s="220">
        <f t="shared" si="63"/>
        <v>0</v>
      </c>
      <c r="I310" s="220">
        <f t="shared" si="63"/>
        <v>0</v>
      </c>
      <c r="J310" s="220"/>
      <c r="K310" s="220">
        <f t="shared" si="63"/>
        <v>0</v>
      </c>
      <c r="L310" s="220">
        <f t="shared" si="63"/>
        <v>41730</v>
      </c>
      <c r="M310" s="220">
        <f t="shared" si="63"/>
        <v>0</v>
      </c>
      <c r="N310" s="220">
        <f t="shared" si="63"/>
        <v>0</v>
      </c>
      <c r="O310" s="220"/>
      <c r="P310" s="220">
        <f t="shared" si="63"/>
        <v>0</v>
      </c>
      <c r="Q310" s="220">
        <f t="shared" si="63"/>
        <v>41730</v>
      </c>
      <c r="R310" s="453"/>
    </row>
    <row r="311" spans="1:18" s="16" customFormat="1" ht="11.25" customHeight="1">
      <c r="A311" s="205"/>
      <c r="B311" s="206"/>
      <c r="C311" s="207"/>
      <c r="D311" s="157" t="s">
        <v>150</v>
      </c>
      <c r="E311" s="220">
        <f>E315+E319</f>
        <v>0</v>
      </c>
      <c r="F311" s="220">
        <f aca="true" t="shared" si="64" ref="F311:Q311">F315+F319</f>
        <v>0</v>
      </c>
      <c r="G311" s="220">
        <f t="shared" si="64"/>
        <v>38825</v>
      </c>
      <c r="H311" s="220">
        <f t="shared" si="64"/>
        <v>0</v>
      </c>
      <c r="I311" s="220">
        <f t="shared" si="64"/>
        <v>0</v>
      </c>
      <c r="J311" s="220"/>
      <c r="K311" s="220">
        <f t="shared" si="64"/>
        <v>0</v>
      </c>
      <c r="L311" s="220">
        <f t="shared" si="64"/>
        <v>38825</v>
      </c>
      <c r="M311" s="220">
        <f t="shared" si="64"/>
        <v>3623</v>
      </c>
      <c r="N311" s="220">
        <f t="shared" si="64"/>
        <v>0</v>
      </c>
      <c r="O311" s="220"/>
      <c r="P311" s="220">
        <f t="shared" si="64"/>
        <v>0</v>
      </c>
      <c r="Q311" s="220">
        <f t="shared" si="64"/>
        <v>42448</v>
      </c>
      <c r="R311" s="453"/>
    </row>
    <row r="312" spans="1:18" s="16" customFormat="1" ht="11.25" customHeight="1">
      <c r="A312" s="228"/>
      <c r="B312" s="201"/>
      <c r="C312" s="207"/>
      <c r="D312" s="157" t="s">
        <v>151</v>
      </c>
      <c r="E312" s="220">
        <f>E316+E320</f>
        <v>0</v>
      </c>
      <c r="F312" s="220">
        <f aca="true" t="shared" si="65" ref="F312:Q312">F316+F320</f>
        <v>0</v>
      </c>
      <c r="G312" s="220">
        <f t="shared" si="65"/>
        <v>34975</v>
      </c>
      <c r="H312" s="220">
        <f t="shared" si="65"/>
        <v>0</v>
      </c>
      <c r="I312" s="220">
        <f t="shared" si="65"/>
        <v>0</v>
      </c>
      <c r="J312" s="220"/>
      <c r="K312" s="220">
        <f t="shared" si="65"/>
        <v>0</v>
      </c>
      <c r="L312" s="220">
        <f t="shared" si="65"/>
        <v>34975</v>
      </c>
      <c r="M312" s="220">
        <f t="shared" si="65"/>
        <v>1693</v>
      </c>
      <c r="N312" s="220">
        <f t="shared" si="65"/>
        <v>0</v>
      </c>
      <c r="O312" s="220"/>
      <c r="P312" s="220">
        <f t="shared" si="65"/>
        <v>0</v>
      </c>
      <c r="Q312" s="220">
        <f t="shared" si="65"/>
        <v>36668</v>
      </c>
      <c r="R312" s="453"/>
    </row>
    <row r="313" spans="1:18" ht="11.25" customHeight="1">
      <c r="A313" s="225"/>
      <c r="B313" s="206" t="s">
        <v>4</v>
      </c>
      <c r="C313" s="207" t="s">
        <v>110</v>
      </c>
      <c r="D313" s="235" t="s">
        <v>53</v>
      </c>
      <c r="E313" s="197"/>
      <c r="F313" s="197"/>
      <c r="G313" s="208"/>
      <c r="H313" s="197"/>
      <c r="I313" s="197"/>
      <c r="J313" s="197"/>
      <c r="K313" s="197"/>
      <c r="L313" s="220"/>
      <c r="M313" s="197"/>
      <c r="N313" s="197"/>
      <c r="O313" s="197"/>
      <c r="P313" s="197"/>
      <c r="Q313" s="243"/>
      <c r="R313" s="453"/>
    </row>
    <row r="314" spans="1:18" ht="11.25" customHeight="1">
      <c r="A314" s="277"/>
      <c r="B314" s="201"/>
      <c r="C314" s="207"/>
      <c r="D314" s="157" t="s">
        <v>149</v>
      </c>
      <c r="E314" s="197"/>
      <c r="F314" s="197"/>
      <c r="G314" s="208">
        <v>38430</v>
      </c>
      <c r="H314" s="197"/>
      <c r="I314" s="197"/>
      <c r="J314" s="197"/>
      <c r="K314" s="197"/>
      <c r="L314" s="220">
        <f>SUM(E314:K314)</f>
        <v>38430</v>
      </c>
      <c r="M314" s="197">
        <v>0</v>
      </c>
      <c r="N314" s="197"/>
      <c r="O314" s="197"/>
      <c r="P314" s="197"/>
      <c r="Q314" s="243">
        <f>SUM(L314:P314)</f>
        <v>38430</v>
      </c>
      <c r="R314" s="453"/>
    </row>
    <row r="315" spans="1:18" ht="11.25" customHeight="1">
      <c r="A315" s="225"/>
      <c r="B315" s="206"/>
      <c r="C315" s="207"/>
      <c r="D315" s="157" t="s">
        <v>150</v>
      </c>
      <c r="E315" s="197"/>
      <c r="F315" s="197"/>
      <c r="G315" s="208">
        <v>35525</v>
      </c>
      <c r="H315" s="197"/>
      <c r="I315" s="197"/>
      <c r="J315" s="197"/>
      <c r="K315" s="197"/>
      <c r="L315" s="220">
        <f aca="true" t="shared" si="66" ref="L315:L320">SUM(E315:K315)</f>
        <v>35525</v>
      </c>
      <c r="M315" s="197">
        <v>2286</v>
      </c>
      <c r="N315" s="197"/>
      <c r="O315" s="197"/>
      <c r="P315" s="197"/>
      <c r="Q315" s="243">
        <f aca="true" t="shared" si="67" ref="Q315:Q320">SUM(L315:P315)</f>
        <v>37811</v>
      </c>
      <c r="R315" s="453"/>
    </row>
    <row r="316" spans="1:18" ht="11.25" customHeight="1">
      <c r="A316" s="225"/>
      <c r="B316" s="206"/>
      <c r="C316" s="207"/>
      <c r="D316" s="157" t="s">
        <v>151</v>
      </c>
      <c r="E316" s="197"/>
      <c r="F316" s="197"/>
      <c r="G316" s="208">
        <v>33105</v>
      </c>
      <c r="H316" s="197"/>
      <c r="I316" s="197"/>
      <c r="J316" s="197"/>
      <c r="K316" s="197"/>
      <c r="L316" s="220">
        <f t="shared" si="66"/>
        <v>33105</v>
      </c>
      <c r="M316" s="197">
        <v>357</v>
      </c>
      <c r="N316" s="197"/>
      <c r="O316" s="197"/>
      <c r="P316" s="197"/>
      <c r="Q316" s="243">
        <f t="shared" si="67"/>
        <v>33462</v>
      </c>
      <c r="R316" s="453"/>
    </row>
    <row r="317" spans="1:18" ht="11.25" customHeight="1">
      <c r="A317" s="225"/>
      <c r="B317" s="206" t="s">
        <v>5</v>
      </c>
      <c r="C317" s="207" t="s">
        <v>111</v>
      </c>
      <c r="D317" s="235" t="s">
        <v>104</v>
      </c>
      <c r="E317" s="197"/>
      <c r="F317" s="197"/>
      <c r="G317" s="208"/>
      <c r="H317" s="197"/>
      <c r="I317" s="197"/>
      <c r="J317" s="197"/>
      <c r="K317" s="197"/>
      <c r="L317" s="220"/>
      <c r="M317" s="197"/>
      <c r="N317" s="197"/>
      <c r="O317" s="197"/>
      <c r="P317" s="197"/>
      <c r="Q317" s="243"/>
      <c r="R317" s="453"/>
    </row>
    <row r="318" spans="1:18" ht="11.25" customHeight="1">
      <c r="A318" s="225"/>
      <c r="B318" s="206"/>
      <c r="C318" s="207"/>
      <c r="D318" s="157" t="s">
        <v>149</v>
      </c>
      <c r="E318" s="197"/>
      <c r="F318" s="197"/>
      <c r="G318" s="208">
        <v>3300</v>
      </c>
      <c r="H318" s="197"/>
      <c r="I318" s="197"/>
      <c r="J318" s="197"/>
      <c r="K318" s="197"/>
      <c r="L318" s="220">
        <f t="shared" si="66"/>
        <v>3300</v>
      </c>
      <c r="M318" s="197">
        <v>0</v>
      </c>
      <c r="N318" s="197"/>
      <c r="O318" s="197"/>
      <c r="P318" s="197"/>
      <c r="Q318" s="243">
        <f t="shared" si="67"/>
        <v>3300</v>
      </c>
      <c r="R318" s="453"/>
    </row>
    <row r="319" spans="1:18" ht="11.25" customHeight="1">
      <c r="A319" s="225"/>
      <c r="B319" s="206"/>
      <c r="C319" s="207"/>
      <c r="D319" s="157" t="s">
        <v>150</v>
      </c>
      <c r="E319" s="197"/>
      <c r="F319" s="197"/>
      <c r="G319" s="208">
        <v>3300</v>
      </c>
      <c r="H319" s="197"/>
      <c r="I319" s="197"/>
      <c r="J319" s="197"/>
      <c r="K319" s="197"/>
      <c r="L319" s="220">
        <f t="shared" si="66"/>
        <v>3300</v>
      </c>
      <c r="M319" s="197">
        <v>1337</v>
      </c>
      <c r="N319" s="197"/>
      <c r="O319" s="197"/>
      <c r="P319" s="197"/>
      <c r="Q319" s="243">
        <f t="shared" si="67"/>
        <v>4637</v>
      </c>
      <c r="R319" s="453"/>
    </row>
    <row r="320" spans="1:18" ht="11.25" customHeight="1" thickBot="1">
      <c r="A320" s="226"/>
      <c r="B320" s="227"/>
      <c r="C320" s="245"/>
      <c r="D320" s="246" t="s">
        <v>151</v>
      </c>
      <c r="E320" s="247"/>
      <c r="F320" s="247"/>
      <c r="G320" s="276">
        <v>1870</v>
      </c>
      <c r="H320" s="247"/>
      <c r="I320" s="247"/>
      <c r="J320" s="247"/>
      <c r="K320" s="247"/>
      <c r="L320" s="248">
        <f t="shared" si="66"/>
        <v>1870</v>
      </c>
      <c r="M320" s="247">
        <v>1336</v>
      </c>
      <c r="N320" s="247"/>
      <c r="O320" s="247"/>
      <c r="P320" s="247"/>
      <c r="Q320" s="262">
        <f t="shared" si="67"/>
        <v>3206</v>
      </c>
      <c r="R320" s="455"/>
    </row>
    <row r="321" spans="1:18" s="16" customFormat="1" ht="11.25" customHeight="1">
      <c r="A321" s="263">
        <v>16</v>
      </c>
      <c r="B321" s="256" t="s">
        <v>55</v>
      </c>
      <c r="C321" s="223"/>
      <c r="D321" s="257" t="s">
        <v>52</v>
      </c>
      <c r="E321" s="282"/>
      <c r="F321" s="282"/>
      <c r="G321" s="224"/>
      <c r="H321" s="282"/>
      <c r="I321" s="282"/>
      <c r="J321" s="282"/>
      <c r="K321" s="282"/>
      <c r="L321" s="282"/>
      <c r="M321" s="282"/>
      <c r="N321" s="282"/>
      <c r="O321" s="282"/>
      <c r="P321" s="282"/>
      <c r="Q321" s="257"/>
      <c r="R321" s="466"/>
    </row>
    <row r="322" spans="1:18" s="16" customFormat="1" ht="11.25" customHeight="1">
      <c r="A322" s="205"/>
      <c r="B322" s="206"/>
      <c r="C322" s="207"/>
      <c r="D322" s="157" t="s">
        <v>149</v>
      </c>
      <c r="E322" s="220">
        <f>E326+E330+E334</f>
        <v>0</v>
      </c>
      <c r="F322" s="220">
        <f aca="true" t="shared" si="68" ref="F322:K322">F326+F330+F334</f>
        <v>0</v>
      </c>
      <c r="G322" s="220">
        <f t="shared" si="68"/>
        <v>10324</v>
      </c>
      <c r="H322" s="220">
        <f t="shared" si="68"/>
        <v>0</v>
      </c>
      <c r="I322" s="220">
        <f t="shared" si="68"/>
        <v>40293</v>
      </c>
      <c r="J322" s="220">
        <f t="shared" si="68"/>
        <v>1198</v>
      </c>
      <c r="K322" s="220">
        <f t="shared" si="68"/>
        <v>0</v>
      </c>
      <c r="L322" s="220">
        <f aca="true" t="shared" si="69" ref="L322:Q322">L326+L330+L334</f>
        <v>51815</v>
      </c>
      <c r="M322" s="220">
        <f t="shared" si="69"/>
        <v>0</v>
      </c>
      <c r="N322" s="220">
        <f t="shared" si="69"/>
        <v>0</v>
      </c>
      <c r="O322" s="220">
        <f t="shared" si="69"/>
        <v>0</v>
      </c>
      <c r="P322" s="220">
        <f t="shared" si="69"/>
        <v>0</v>
      </c>
      <c r="Q322" s="220">
        <f t="shared" si="69"/>
        <v>51815</v>
      </c>
      <c r="R322" s="453"/>
    </row>
    <row r="323" spans="1:18" s="16" customFormat="1" ht="11.25" customHeight="1">
      <c r="A323" s="205"/>
      <c r="B323" s="206"/>
      <c r="C323" s="207"/>
      <c r="D323" s="157" t="s">
        <v>150</v>
      </c>
      <c r="E323" s="220">
        <f aca="true" t="shared" si="70" ref="E323:L324">E327+E331+E335</f>
        <v>0</v>
      </c>
      <c r="F323" s="220">
        <f t="shared" si="70"/>
        <v>0</v>
      </c>
      <c r="G323" s="220">
        <f t="shared" si="70"/>
        <v>10324</v>
      </c>
      <c r="H323" s="220">
        <f t="shared" si="70"/>
        <v>0</v>
      </c>
      <c r="I323" s="220">
        <f t="shared" si="70"/>
        <v>42293</v>
      </c>
      <c r="J323" s="220">
        <f t="shared" si="70"/>
        <v>1198</v>
      </c>
      <c r="K323" s="220">
        <f t="shared" si="70"/>
        <v>0</v>
      </c>
      <c r="L323" s="220">
        <f t="shared" si="70"/>
        <v>53815</v>
      </c>
      <c r="M323" s="220">
        <f aca="true" t="shared" si="71" ref="M323:Q324">M327+M331+M335</f>
        <v>0</v>
      </c>
      <c r="N323" s="220">
        <f t="shared" si="71"/>
        <v>0</v>
      </c>
      <c r="O323" s="220">
        <f t="shared" si="71"/>
        <v>0</v>
      </c>
      <c r="P323" s="220">
        <f t="shared" si="71"/>
        <v>0</v>
      </c>
      <c r="Q323" s="220">
        <f t="shared" si="71"/>
        <v>53815</v>
      </c>
      <c r="R323" s="453"/>
    </row>
    <row r="324" spans="1:18" s="16" customFormat="1" ht="11.25" customHeight="1">
      <c r="A324" s="205"/>
      <c r="B324" s="206"/>
      <c r="C324" s="207"/>
      <c r="D324" s="157" t="s">
        <v>151</v>
      </c>
      <c r="E324" s="220">
        <f t="shared" si="70"/>
        <v>0</v>
      </c>
      <c r="F324" s="220">
        <f t="shared" si="70"/>
        <v>0</v>
      </c>
      <c r="G324" s="220">
        <f t="shared" si="70"/>
        <v>4691</v>
      </c>
      <c r="H324" s="220">
        <f t="shared" si="70"/>
        <v>0</v>
      </c>
      <c r="I324" s="220">
        <f t="shared" si="70"/>
        <v>42293</v>
      </c>
      <c r="J324" s="220">
        <f t="shared" si="70"/>
        <v>0</v>
      </c>
      <c r="K324" s="220">
        <f t="shared" si="70"/>
        <v>0</v>
      </c>
      <c r="L324" s="220">
        <f t="shared" si="70"/>
        <v>46984</v>
      </c>
      <c r="M324" s="220">
        <f t="shared" si="71"/>
        <v>0</v>
      </c>
      <c r="N324" s="220">
        <f t="shared" si="71"/>
        <v>0</v>
      </c>
      <c r="O324" s="220">
        <f t="shared" si="71"/>
        <v>0</v>
      </c>
      <c r="P324" s="220">
        <f t="shared" si="71"/>
        <v>0</v>
      </c>
      <c r="Q324" s="220">
        <f t="shared" si="71"/>
        <v>46984</v>
      </c>
      <c r="R324" s="453"/>
    </row>
    <row r="325" spans="1:18" ht="11.25" customHeight="1">
      <c r="A325" s="205"/>
      <c r="B325" s="206">
        <v>1</v>
      </c>
      <c r="C325" s="207" t="s">
        <v>110</v>
      </c>
      <c r="D325" s="235" t="s">
        <v>103</v>
      </c>
      <c r="E325" s="197"/>
      <c r="F325" s="197"/>
      <c r="G325" s="197"/>
      <c r="H325" s="197"/>
      <c r="I325" s="197"/>
      <c r="J325" s="197"/>
      <c r="K325" s="197"/>
      <c r="L325" s="220"/>
      <c r="M325" s="197"/>
      <c r="N325" s="197"/>
      <c r="O325" s="197"/>
      <c r="P325" s="197"/>
      <c r="Q325" s="243"/>
      <c r="R325" s="453"/>
    </row>
    <row r="326" spans="1:18" ht="11.25" customHeight="1">
      <c r="A326" s="205"/>
      <c r="B326" s="206"/>
      <c r="C326" s="207"/>
      <c r="D326" s="157" t="s">
        <v>149</v>
      </c>
      <c r="E326" s="197"/>
      <c r="F326" s="197"/>
      <c r="G326" s="197">
        <v>5700</v>
      </c>
      <c r="H326" s="197"/>
      <c r="I326" s="197"/>
      <c r="J326" s="197">
        <v>1198</v>
      </c>
      <c r="K326" s="197"/>
      <c r="L326" s="220">
        <f>SUM(E326:K326)</f>
        <v>6898</v>
      </c>
      <c r="M326" s="197"/>
      <c r="N326" s="197"/>
      <c r="O326" s="197"/>
      <c r="P326" s="197"/>
      <c r="Q326" s="243">
        <f>SUM(L326:P326)</f>
        <v>6898</v>
      </c>
      <c r="R326" s="453"/>
    </row>
    <row r="327" spans="1:18" ht="11.25" customHeight="1">
      <c r="A327" s="205"/>
      <c r="B327" s="206"/>
      <c r="C327" s="207"/>
      <c r="D327" s="157" t="s">
        <v>150</v>
      </c>
      <c r="E327" s="197"/>
      <c r="F327" s="197"/>
      <c r="G327" s="197">
        <v>5700</v>
      </c>
      <c r="H327" s="197"/>
      <c r="I327" s="197"/>
      <c r="J327" s="197">
        <v>1198</v>
      </c>
      <c r="K327" s="197"/>
      <c r="L327" s="220">
        <f aca="true" t="shared" si="72" ref="L327:L336">SUM(E327:K327)</f>
        <v>6898</v>
      </c>
      <c r="M327" s="197"/>
      <c r="N327" s="197"/>
      <c r="O327" s="197"/>
      <c r="P327" s="197"/>
      <c r="Q327" s="243">
        <f aca="true" t="shared" si="73" ref="Q327:Q336">SUM(L327:P327)</f>
        <v>6898</v>
      </c>
      <c r="R327" s="453"/>
    </row>
    <row r="328" spans="1:18" ht="11.25" customHeight="1">
      <c r="A328" s="205"/>
      <c r="B328" s="206"/>
      <c r="C328" s="207"/>
      <c r="D328" s="157" t="s">
        <v>151</v>
      </c>
      <c r="E328" s="197"/>
      <c r="F328" s="197"/>
      <c r="G328" s="197">
        <v>4691</v>
      </c>
      <c r="H328" s="197"/>
      <c r="I328" s="197"/>
      <c r="J328" s="197">
        <v>0</v>
      </c>
      <c r="K328" s="197"/>
      <c r="L328" s="220">
        <f>SUM(E328:K328)</f>
        <v>4691</v>
      </c>
      <c r="M328" s="197"/>
      <c r="N328" s="197"/>
      <c r="O328" s="197"/>
      <c r="P328" s="197"/>
      <c r="Q328" s="243">
        <f t="shared" si="73"/>
        <v>4691</v>
      </c>
      <c r="R328" s="453"/>
    </row>
    <row r="329" spans="1:18" ht="11.25" customHeight="1">
      <c r="A329" s="205"/>
      <c r="B329" s="206">
        <v>2</v>
      </c>
      <c r="C329" s="207" t="s">
        <v>110</v>
      </c>
      <c r="D329" s="235" t="s">
        <v>105</v>
      </c>
      <c r="E329" s="197"/>
      <c r="F329" s="197"/>
      <c r="G329" s="197"/>
      <c r="H329" s="197"/>
      <c r="I329" s="197"/>
      <c r="J329" s="197"/>
      <c r="K329" s="197"/>
      <c r="L329" s="220"/>
      <c r="M329" s="197"/>
      <c r="N329" s="197"/>
      <c r="O329" s="197"/>
      <c r="P329" s="197"/>
      <c r="Q329" s="243"/>
      <c r="R329" s="453"/>
    </row>
    <row r="330" spans="1:18" ht="11.25" customHeight="1">
      <c r="A330" s="205"/>
      <c r="B330" s="206"/>
      <c r="C330" s="207"/>
      <c r="D330" s="157" t="s">
        <v>149</v>
      </c>
      <c r="E330" s="197"/>
      <c r="F330" s="197"/>
      <c r="G330" s="197">
        <v>4624</v>
      </c>
      <c r="H330" s="197"/>
      <c r="I330" s="197"/>
      <c r="J330" s="197"/>
      <c r="K330" s="197"/>
      <c r="L330" s="220">
        <f t="shared" si="72"/>
        <v>4624</v>
      </c>
      <c r="M330" s="197"/>
      <c r="N330" s="197"/>
      <c r="O330" s="197"/>
      <c r="P330" s="197"/>
      <c r="Q330" s="243">
        <f t="shared" si="73"/>
        <v>4624</v>
      </c>
      <c r="R330" s="453"/>
    </row>
    <row r="331" spans="1:18" ht="11.25" customHeight="1">
      <c r="A331" s="205"/>
      <c r="B331" s="206"/>
      <c r="C331" s="207"/>
      <c r="D331" s="157" t="s">
        <v>150</v>
      </c>
      <c r="E331" s="197"/>
      <c r="F331" s="197"/>
      <c r="G331" s="197">
        <v>4624</v>
      </c>
      <c r="H331" s="197"/>
      <c r="I331" s="197"/>
      <c r="J331" s="197"/>
      <c r="K331" s="197"/>
      <c r="L331" s="220">
        <f t="shared" si="72"/>
        <v>4624</v>
      </c>
      <c r="M331" s="197"/>
      <c r="N331" s="197"/>
      <c r="O331" s="197"/>
      <c r="P331" s="197"/>
      <c r="Q331" s="243">
        <f t="shared" si="73"/>
        <v>4624</v>
      </c>
      <c r="R331" s="453"/>
    </row>
    <row r="332" spans="1:18" ht="11.25" customHeight="1">
      <c r="A332" s="205"/>
      <c r="B332" s="206"/>
      <c r="C332" s="207"/>
      <c r="D332" s="157" t="s">
        <v>151</v>
      </c>
      <c r="E332" s="197"/>
      <c r="F332" s="197"/>
      <c r="G332" s="197">
        <v>0</v>
      </c>
      <c r="H332" s="197"/>
      <c r="I332" s="197"/>
      <c r="J332" s="197"/>
      <c r="K332" s="197"/>
      <c r="L332" s="220">
        <f t="shared" si="72"/>
        <v>0</v>
      </c>
      <c r="M332" s="197"/>
      <c r="N332" s="197"/>
      <c r="O332" s="197"/>
      <c r="P332" s="197"/>
      <c r="Q332" s="243">
        <f>SUM(L332:P332)</f>
        <v>0</v>
      </c>
      <c r="R332" s="453"/>
    </row>
    <row r="333" spans="1:18" ht="11.25" customHeight="1">
      <c r="A333" s="205"/>
      <c r="B333" s="206">
        <v>3</v>
      </c>
      <c r="C333" s="207" t="s">
        <v>110</v>
      </c>
      <c r="D333" s="727" t="s">
        <v>729</v>
      </c>
      <c r="E333" s="197"/>
      <c r="F333" s="197"/>
      <c r="G333" s="197"/>
      <c r="H333" s="197"/>
      <c r="I333" s="197"/>
      <c r="J333" s="197"/>
      <c r="K333" s="197"/>
      <c r="L333" s="220"/>
      <c r="M333" s="197"/>
      <c r="N333" s="197"/>
      <c r="O333" s="197"/>
      <c r="P333" s="197"/>
      <c r="Q333" s="243"/>
      <c r="R333" s="453"/>
    </row>
    <row r="334" spans="1:18" ht="11.25" customHeight="1">
      <c r="A334" s="205"/>
      <c r="B334" s="206"/>
      <c r="C334" s="207"/>
      <c r="D334" s="157" t="s">
        <v>149</v>
      </c>
      <c r="E334" s="197"/>
      <c r="F334" s="197"/>
      <c r="G334" s="197">
        <v>0</v>
      </c>
      <c r="H334" s="197"/>
      <c r="I334" s="197">
        <v>40293</v>
      </c>
      <c r="J334" s="197"/>
      <c r="K334" s="197"/>
      <c r="L334" s="220">
        <f t="shared" si="72"/>
        <v>40293</v>
      </c>
      <c r="M334" s="197"/>
      <c r="N334" s="197"/>
      <c r="O334" s="197"/>
      <c r="P334" s="197"/>
      <c r="Q334" s="243">
        <f t="shared" si="73"/>
        <v>40293</v>
      </c>
      <c r="R334" s="453"/>
    </row>
    <row r="335" spans="1:18" ht="11.25" customHeight="1">
      <c r="A335" s="205"/>
      <c r="B335" s="206"/>
      <c r="C335" s="207"/>
      <c r="D335" s="157" t="s">
        <v>150</v>
      </c>
      <c r="E335" s="197"/>
      <c r="F335" s="197"/>
      <c r="G335" s="197">
        <v>0</v>
      </c>
      <c r="H335" s="197"/>
      <c r="I335" s="197">
        <v>42293</v>
      </c>
      <c r="J335" s="197"/>
      <c r="K335" s="197"/>
      <c r="L335" s="220">
        <f t="shared" si="72"/>
        <v>42293</v>
      </c>
      <c r="M335" s="197"/>
      <c r="N335" s="197"/>
      <c r="O335" s="197"/>
      <c r="P335" s="197"/>
      <c r="Q335" s="243">
        <f t="shared" si="73"/>
        <v>42293</v>
      </c>
      <c r="R335" s="453"/>
    </row>
    <row r="336" spans="1:18" ht="11.25" customHeight="1" thickBot="1">
      <c r="A336" s="266"/>
      <c r="B336" s="209"/>
      <c r="C336" s="268"/>
      <c r="D336" s="136" t="s">
        <v>151</v>
      </c>
      <c r="E336" s="211"/>
      <c r="F336" s="211"/>
      <c r="G336" s="211">
        <v>0</v>
      </c>
      <c r="H336" s="211"/>
      <c r="I336" s="211">
        <v>42293</v>
      </c>
      <c r="J336" s="211"/>
      <c r="K336" s="211"/>
      <c r="L336" s="270">
        <f t="shared" si="72"/>
        <v>42293</v>
      </c>
      <c r="M336" s="211"/>
      <c r="N336" s="211"/>
      <c r="O336" s="211"/>
      <c r="P336" s="211"/>
      <c r="Q336" s="271">
        <f t="shared" si="73"/>
        <v>42293</v>
      </c>
      <c r="R336" s="481"/>
    </row>
    <row r="337" spans="1:18" s="16" customFormat="1" ht="11.25" customHeight="1">
      <c r="A337" s="263">
        <v>17</v>
      </c>
      <c r="B337" s="256" t="s">
        <v>4</v>
      </c>
      <c r="C337" s="283" t="s">
        <v>110</v>
      </c>
      <c r="D337" s="257" t="s">
        <v>76</v>
      </c>
      <c r="E337" s="224"/>
      <c r="F337" s="224"/>
      <c r="G337" s="257"/>
      <c r="H337" s="224"/>
      <c r="I337" s="224"/>
      <c r="J337" s="224"/>
      <c r="K337" s="224"/>
      <c r="L337" s="224"/>
      <c r="M337" s="224"/>
      <c r="N337" s="224"/>
      <c r="O337" s="224"/>
      <c r="P337" s="224"/>
      <c r="Q337" s="257"/>
      <c r="R337" s="466"/>
    </row>
    <row r="338" spans="1:18" s="16" customFormat="1" ht="11.25" customHeight="1">
      <c r="A338" s="205"/>
      <c r="B338" s="206"/>
      <c r="C338" s="258"/>
      <c r="D338" s="157" t="s">
        <v>149</v>
      </c>
      <c r="E338" s="220"/>
      <c r="F338" s="220"/>
      <c r="G338" s="243">
        <v>3000</v>
      </c>
      <c r="H338" s="220"/>
      <c r="I338" s="220"/>
      <c r="J338" s="220">
        <v>2000</v>
      </c>
      <c r="K338" s="220"/>
      <c r="L338" s="220">
        <f>SUM(E338:K338)</f>
        <v>5000</v>
      </c>
      <c r="M338" s="220"/>
      <c r="N338" s="220"/>
      <c r="O338" s="220"/>
      <c r="P338" s="220"/>
      <c r="Q338" s="243">
        <f>SUM(L338:P338)</f>
        <v>5000</v>
      </c>
      <c r="R338" s="453"/>
    </row>
    <row r="339" spans="1:18" s="16" customFormat="1" ht="11.25" customHeight="1">
      <c r="A339" s="205"/>
      <c r="B339" s="206"/>
      <c r="C339" s="258"/>
      <c r="D339" s="157" t="s">
        <v>150</v>
      </c>
      <c r="E339" s="220"/>
      <c r="F339" s="220"/>
      <c r="G339" s="243">
        <v>3000</v>
      </c>
      <c r="H339" s="220"/>
      <c r="I339" s="220"/>
      <c r="J339" s="220">
        <v>14941</v>
      </c>
      <c r="K339" s="220"/>
      <c r="L339" s="220">
        <f>SUM(E339:K339)</f>
        <v>17941</v>
      </c>
      <c r="M339" s="220"/>
      <c r="N339" s="220"/>
      <c r="O339" s="220">
        <v>7520</v>
      </c>
      <c r="P339" s="220"/>
      <c r="Q339" s="243">
        <f>SUM(L339:P339)</f>
        <v>25461</v>
      </c>
      <c r="R339" s="453"/>
    </row>
    <row r="340" spans="1:18" s="16" customFormat="1" ht="11.25" customHeight="1" thickBot="1">
      <c r="A340" s="244"/>
      <c r="B340" s="227"/>
      <c r="C340" s="261"/>
      <c r="D340" s="246" t="s">
        <v>151</v>
      </c>
      <c r="E340" s="248"/>
      <c r="F340" s="248"/>
      <c r="G340" s="262">
        <f>1+84</f>
        <v>85</v>
      </c>
      <c r="H340" s="248"/>
      <c r="I340" s="248"/>
      <c r="J340" s="248">
        <f>224+12807</f>
        <v>13031</v>
      </c>
      <c r="K340" s="248"/>
      <c r="L340" s="248">
        <f>SUM(G340:J340)</f>
        <v>13116</v>
      </c>
      <c r="M340" s="248"/>
      <c r="N340" s="248"/>
      <c r="O340" s="248">
        <v>7520</v>
      </c>
      <c r="P340" s="248"/>
      <c r="Q340" s="262">
        <f>SUM(L340:P340)</f>
        <v>20636</v>
      </c>
      <c r="R340" s="455"/>
    </row>
    <row r="341" spans="1:18" s="16" customFormat="1" ht="12.75" customHeight="1">
      <c r="A341" s="263">
        <v>18</v>
      </c>
      <c r="B341" s="256" t="s">
        <v>4</v>
      </c>
      <c r="C341" s="223" t="s">
        <v>111</v>
      </c>
      <c r="D341" s="257" t="s">
        <v>77</v>
      </c>
      <c r="E341" s="224"/>
      <c r="F341" s="224"/>
      <c r="G341" s="257"/>
      <c r="H341" s="224"/>
      <c r="I341" s="224"/>
      <c r="J341" s="224"/>
      <c r="K341" s="224"/>
      <c r="L341" s="224"/>
      <c r="M341" s="224"/>
      <c r="N341" s="224"/>
      <c r="O341" s="224"/>
      <c r="P341" s="224"/>
      <c r="Q341" s="257"/>
      <c r="R341" s="466"/>
    </row>
    <row r="342" spans="1:18" s="16" customFormat="1" ht="12.75" customHeight="1">
      <c r="A342" s="205"/>
      <c r="B342" s="206"/>
      <c r="C342" s="207"/>
      <c r="D342" s="157" t="s">
        <v>149</v>
      </c>
      <c r="E342" s="220">
        <v>500</v>
      </c>
      <c r="F342" s="220">
        <v>255</v>
      </c>
      <c r="G342" s="243">
        <v>745</v>
      </c>
      <c r="H342" s="220"/>
      <c r="I342" s="220"/>
      <c r="J342" s="220"/>
      <c r="K342" s="220"/>
      <c r="L342" s="220">
        <f>SUM(E342:K342)</f>
        <v>1500</v>
      </c>
      <c r="M342" s="220"/>
      <c r="N342" s="220"/>
      <c r="O342" s="220"/>
      <c r="P342" s="220"/>
      <c r="Q342" s="243">
        <f>SUM(L342:P342)</f>
        <v>1500</v>
      </c>
      <c r="R342" s="453"/>
    </row>
    <row r="343" spans="1:18" s="16" customFormat="1" ht="12.75" customHeight="1">
      <c r="A343" s="205"/>
      <c r="B343" s="206"/>
      <c r="C343" s="207"/>
      <c r="D343" s="157" t="s">
        <v>150</v>
      </c>
      <c r="E343" s="220">
        <v>460</v>
      </c>
      <c r="F343" s="220">
        <v>295</v>
      </c>
      <c r="G343" s="243">
        <v>745</v>
      </c>
      <c r="H343" s="220"/>
      <c r="I343" s="220"/>
      <c r="J343" s="220"/>
      <c r="K343" s="220"/>
      <c r="L343" s="220">
        <f>SUM(E343:K343)</f>
        <v>1500</v>
      </c>
      <c r="M343" s="220"/>
      <c r="N343" s="220"/>
      <c r="O343" s="220"/>
      <c r="P343" s="220"/>
      <c r="Q343" s="243">
        <f>SUM(L343:P343)</f>
        <v>1500</v>
      </c>
      <c r="R343" s="453"/>
    </row>
    <row r="344" spans="1:18" s="16" customFormat="1" ht="12.75" customHeight="1" thickBot="1">
      <c r="A344" s="244"/>
      <c r="B344" s="227"/>
      <c r="C344" s="245"/>
      <c r="D344" s="246" t="s">
        <v>151</v>
      </c>
      <c r="E344" s="248">
        <v>456</v>
      </c>
      <c r="F344" s="248">
        <v>290</v>
      </c>
      <c r="G344" s="262">
        <v>596</v>
      </c>
      <c r="H344" s="248"/>
      <c r="I344" s="248"/>
      <c r="J344" s="248"/>
      <c r="K344" s="248"/>
      <c r="L344" s="248">
        <f>SUM(E344:K344)</f>
        <v>1342</v>
      </c>
      <c r="M344" s="248"/>
      <c r="N344" s="248"/>
      <c r="O344" s="248"/>
      <c r="P344" s="248"/>
      <c r="Q344" s="262">
        <f>SUM(L344:P344)</f>
        <v>1342</v>
      </c>
      <c r="R344" s="455"/>
    </row>
    <row r="345" spans="1:18" s="16" customFormat="1" ht="12.75" customHeight="1">
      <c r="A345" s="263">
        <v>19</v>
      </c>
      <c r="B345" s="256" t="s">
        <v>4</v>
      </c>
      <c r="C345" s="223" t="s">
        <v>111</v>
      </c>
      <c r="D345" s="257" t="s">
        <v>78</v>
      </c>
      <c r="E345" s="224"/>
      <c r="F345" s="224"/>
      <c r="G345" s="257"/>
      <c r="H345" s="224"/>
      <c r="I345" s="224"/>
      <c r="J345" s="224"/>
      <c r="K345" s="224"/>
      <c r="L345" s="224"/>
      <c r="M345" s="224"/>
      <c r="N345" s="224"/>
      <c r="O345" s="224"/>
      <c r="P345" s="224"/>
      <c r="Q345" s="257"/>
      <c r="R345" s="466"/>
    </row>
    <row r="346" spans="1:18" s="16" customFormat="1" ht="12.75" customHeight="1">
      <c r="A346" s="205"/>
      <c r="B346" s="206"/>
      <c r="C346" s="207"/>
      <c r="D346" s="157" t="s">
        <v>149</v>
      </c>
      <c r="E346" s="220">
        <v>2525</v>
      </c>
      <c r="F346" s="220">
        <v>695</v>
      </c>
      <c r="G346" s="243">
        <v>480</v>
      </c>
      <c r="H346" s="220"/>
      <c r="I346" s="220"/>
      <c r="J346" s="220"/>
      <c r="K346" s="220"/>
      <c r="L346" s="220">
        <f>SUM(E346:K346)</f>
        <v>3700</v>
      </c>
      <c r="M346" s="220"/>
      <c r="N346" s="220"/>
      <c r="O346" s="220"/>
      <c r="P346" s="220"/>
      <c r="Q346" s="243">
        <f>SUM(L346:P346)</f>
        <v>3700</v>
      </c>
      <c r="R346" s="453">
        <v>1</v>
      </c>
    </row>
    <row r="347" spans="1:18" s="16" customFormat="1" ht="12.75" customHeight="1">
      <c r="A347" s="205"/>
      <c r="B347" s="206"/>
      <c r="C347" s="207"/>
      <c r="D347" s="157" t="s">
        <v>150</v>
      </c>
      <c r="E347" s="220">
        <v>2658</v>
      </c>
      <c r="F347" s="220">
        <v>732</v>
      </c>
      <c r="G347" s="243">
        <v>480</v>
      </c>
      <c r="H347" s="220"/>
      <c r="I347" s="220"/>
      <c r="J347" s="220"/>
      <c r="K347" s="220"/>
      <c r="L347" s="220">
        <f>SUM(E347:G347)</f>
        <v>3870</v>
      </c>
      <c r="M347" s="220"/>
      <c r="N347" s="220"/>
      <c r="O347" s="220"/>
      <c r="P347" s="220"/>
      <c r="Q347" s="243">
        <f>SUM(L347:P347)</f>
        <v>3870</v>
      </c>
      <c r="R347" s="453">
        <v>1</v>
      </c>
    </row>
    <row r="348" spans="1:18" s="16" customFormat="1" ht="12.75" customHeight="1" thickBot="1">
      <c r="A348" s="244"/>
      <c r="B348" s="227"/>
      <c r="C348" s="245"/>
      <c r="D348" s="246" t="s">
        <v>151</v>
      </c>
      <c r="E348" s="248">
        <v>1651</v>
      </c>
      <c r="F348" s="248">
        <v>492</v>
      </c>
      <c r="G348" s="262">
        <v>315</v>
      </c>
      <c r="H348" s="248"/>
      <c r="I348" s="248"/>
      <c r="J348" s="248"/>
      <c r="K348" s="248"/>
      <c r="L348" s="248">
        <f>SUM(E348:K348)</f>
        <v>2458</v>
      </c>
      <c r="M348" s="248"/>
      <c r="N348" s="248"/>
      <c r="O348" s="248"/>
      <c r="P348" s="248"/>
      <c r="Q348" s="262">
        <f>SUM(L348:P348)</f>
        <v>2458</v>
      </c>
      <c r="R348" s="455">
        <v>1</v>
      </c>
    </row>
    <row r="349" spans="1:18" s="16" customFormat="1" ht="12.75" customHeight="1">
      <c r="A349" s="193">
        <v>20</v>
      </c>
      <c r="B349" s="199"/>
      <c r="C349" s="195"/>
      <c r="D349" s="200" t="s">
        <v>79</v>
      </c>
      <c r="E349" s="358"/>
      <c r="F349" s="358"/>
      <c r="G349" s="272"/>
      <c r="H349" s="358"/>
      <c r="I349" s="358"/>
      <c r="J349" s="358"/>
      <c r="K349" s="358"/>
      <c r="L349" s="358"/>
      <c r="M349" s="358"/>
      <c r="N349" s="358"/>
      <c r="O349" s="358"/>
      <c r="P349" s="358"/>
      <c r="Q349" s="200"/>
      <c r="R349" s="364"/>
    </row>
    <row r="350" spans="1:18" s="16" customFormat="1" ht="12.75" customHeight="1">
      <c r="A350" s="193"/>
      <c r="B350" s="199"/>
      <c r="C350" s="195"/>
      <c r="D350" s="157" t="s">
        <v>149</v>
      </c>
      <c r="E350" s="272">
        <f>E354+E358+E366+E362+E370</f>
        <v>70</v>
      </c>
      <c r="F350" s="272">
        <f aca="true" t="shared" si="74" ref="F350:K350">F354+F358+F366+F362+F370</f>
        <v>50</v>
      </c>
      <c r="G350" s="272">
        <f t="shared" si="74"/>
        <v>5040</v>
      </c>
      <c r="H350" s="272">
        <f t="shared" si="74"/>
        <v>0</v>
      </c>
      <c r="I350" s="272">
        <f t="shared" si="74"/>
        <v>500</v>
      </c>
      <c r="J350" s="272">
        <f t="shared" si="74"/>
        <v>500</v>
      </c>
      <c r="K350" s="272">
        <f t="shared" si="74"/>
        <v>0</v>
      </c>
      <c r="L350" s="272">
        <f>SUM(E350:K350)</f>
        <v>6160</v>
      </c>
      <c r="M350" s="272">
        <f aca="true" t="shared" si="75" ref="M350:P352">M354+M358+M366+M362</f>
        <v>0</v>
      </c>
      <c r="N350" s="272">
        <f t="shared" si="75"/>
        <v>0</v>
      </c>
      <c r="O350" s="272">
        <f t="shared" si="75"/>
        <v>0</v>
      </c>
      <c r="P350" s="272">
        <f t="shared" si="75"/>
        <v>0</v>
      </c>
      <c r="Q350" s="272">
        <f>SUM(L350:P350)</f>
        <v>6160</v>
      </c>
      <c r="R350" s="364"/>
    </row>
    <row r="351" spans="1:18" s="16" customFormat="1" ht="12.75" customHeight="1">
      <c r="A351" s="193"/>
      <c r="B351" s="199"/>
      <c r="C351" s="195"/>
      <c r="D351" s="157" t="s">
        <v>150</v>
      </c>
      <c r="E351" s="272">
        <f aca="true" t="shared" si="76" ref="E351:K352">E355+E359+E367+E363+E371</f>
        <v>170</v>
      </c>
      <c r="F351" s="272">
        <f t="shared" si="76"/>
        <v>110</v>
      </c>
      <c r="G351" s="272">
        <f t="shared" si="76"/>
        <v>5480</v>
      </c>
      <c r="H351" s="272">
        <f t="shared" si="76"/>
        <v>0</v>
      </c>
      <c r="I351" s="272">
        <f t="shared" si="76"/>
        <v>500</v>
      </c>
      <c r="J351" s="272">
        <f t="shared" si="76"/>
        <v>500</v>
      </c>
      <c r="K351" s="272">
        <f t="shared" si="76"/>
        <v>0</v>
      </c>
      <c r="L351" s="272">
        <f>SUM(E351:K351)</f>
        <v>6760</v>
      </c>
      <c r="M351" s="272">
        <f t="shared" si="75"/>
        <v>0</v>
      </c>
      <c r="N351" s="272">
        <f t="shared" si="75"/>
        <v>0</v>
      </c>
      <c r="O351" s="272">
        <f t="shared" si="75"/>
        <v>0</v>
      </c>
      <c r="P351" s="272">
        <f t="shared" si="75"/>
        <v>0</v>
      </c>
      <c r="Q351" s="272">
        <f>SUM(L351:P351)</f>
        <v>6760</v>
      </c>
      <c r="R351" s="364"/>
    </row>
    <row r="352" spans="1:18" s="16" customFormat="1" ht="12.75" customHeight="1">
      <c r="A352" s="193"/>
      <c r="B352" s="199"/>
      <c r="C352" s="195"/>
      <c r="D352" s="157" t="s">
        <v>151</v>
      </c>
      <c r="E352" s="272">
        <f t="shared" si="76"/>
        <v>68</v>
      </c>
      <c r="F352" s="272">
        <f t="shared" si="76"/>
        <v>43</v>
      </c>
      <c r="G352" s="272">
        <f t="shared" si="76"/>
        <v>2802</v>
      </c>
      <c r="H352" s="272">
        <f t="shared" si="76"/>
        <v>0</v>
      </c>
      <c r="I352" s="272">
        <f t="shared" si="76"/>
        <v>500</v>
      </c>
      <c r="J352" s="272">
        <f t="shared" si="76"/>
        <v>500</v>
      </c>
      <c r="K352" s="272">
        <f t="shared" si="76"/>
        <v>0</v>
      </c>
      <c r="L352" s="272">
        <f>SUM(E352:K352)</f>
        <v>3913</v>
      </c>
      <c r="M352" s="272">
        <f t="shared" si="75"/>
        <v>0</v>
      </c>
      <c r="N352" s="272">
        <f t="shared" si="75"/>
        <v>0</v>
      </c>
      <c r="O352" s="272">
        <f t="shared" si="75"/>
        <v>0</v>
      </c>
      <c r="P352" s="272">
        <f t="shared" si="75"/>
        <v>0</v>
      </c>
      <c r="Q352" s="272">
        <f>SUM(L352:P352)</f>
        <v>3913</v>
      </c>
      <c r="R352" s="364"/>
    </row>
    <row r="353" spans="1:18" ht="11.25" customHeight="1">
      <c r="A353" s="205"/>
      <c r="B353" s="274" t="s">
        <v>4</v>
      </c>
      <c r="C353" s="207" t="s">
        <v>111</v>
      </c>
      <c r="D353" s="208" t="s">
        <v>141</v>
      </c>
      <c r="E353" s="197"/>
      <c r="F353" s="197"/>
      <c r="G353" s="208"/>
      <c r="H353" s="197"/>
      <c r="I353" s="197"/>
      <c r="J353" s="197"/>
      <c r="K353" s="197"/>
      <c r="L353" s="220"/>
      <c r="M353" s="197"/>
      <c r="N353" s="197"/>
      <c r="O353" s="197"/>
      <c r="P353" s="197"/>
      <c r="Q353" s="243"/>
      <c r="R353" s="453"/>
    </row>
    <row r="354" spans="1:18" ht="11.25" customHeight="1">
      <c r="A354" s="205"/>
      <c r="B354" s="274"/>
      <c r="C354" s="195"/>
      <c r="D354" s="157" t="s">
        <v>149</v>
      </c>
      <c r="E354" s="197"/>
      <c r="F354" s="197"/>
      <c r="G354" s="208">
        <v>4400</v>
      </c>
      <c r="H354" s="197"/>
      <c r="I354" s="197"/>
      <c r="J354" s="197"/>
      <c r="K354" s="197"/>
      <c r="L354" s="220">
        <f>SUM(E354:K354)</f>
        <v>4400</v>
      </c>
      <c r="M354" s="197"/>
      <c r="N354" s="197"/>
      <c r="O354" s="197"/>
      <c r="P354" s="197"/>
      <c r="Q354" s="243">
        <f>SUM(L354:P354)</f>
        <v>4400</v>
      </c>
      <c r="R354" s="453"/>
    </row>
    <row r="355" spans="1:18" ht="11.25" customHeight="1">
      <c r="A355" s="205"/>
      <c r="B355" s="274"/>
      <c r="C355" s="195"/>
      <c r="D355" s="157" t="s">
        <v>150</v>
      </c>
      <c r="E355" s="197"/>
      <c r="F355" s="197"/>
      <c r="G355" s="208">
        <v>4400</v>
      </c>
      <c r="H355" s="197"/>
      <c r="I355" s="197"/>
      <c r="J355" s="197"/>
      <c r="K355" s="197"/>
      <c r="L355" s="220">
        <f>SUM(E355:K355)</f>
        <v>4400</v>
      </c>
      <c r="M355" s="197"/>
      <c r="N355" s="197"/>
      <c r="O355" s="197"/>
      <c r="P355" s="197"/>
      <c r="Q355" s="243">
        <f>SUM(L355:P355)</f>
        <v>4400</v>
      </c>
      <c r="R355" s="453"/>
    </row>
    <row r="356" spans="1:18" ht="11.25" customHeight="1">
      <c r="A356" s="205"/>
      <c r="B356" s="274"/>
      <c r="C356" s="195"/>
      <c r="D356" s="157" t="s">
        <v>151</v>
      </c>
      <c r="E356" s="197"/>
      <c r="F356" s="197"/>
      <c r="G356" s="208">
        <v>2743</v>
      </c>
      <c r="H356" s="197"/>
      <c r="I356" s="197"/>
      <c r="J356" s="197"/>
      <c r="K356" s="197"/>
      <c r="L356" s="220">
        <f>SUM(E356:K356)</f>
        <v>2743</v>
      </c>
      <c r="M356" s="197"/>
      <c r="N356" s="197"/>
      <c r="O356" s="197"/>
      <c r="P356" s="197"/>
      <c r="Q356" s="243">
        <f>SUM(L356:P356)</f>
        <v>2743</v>
      </c>
      <c r="R356" s="453"/>
    </row>
    <row r="357" spans="1:18" ht="11.25" customHeight="1">
      <c r="A357" s="205"/>
      <c r="B357" s="206" t="s">
        <v>5</v>
      </c>
      <c r="C357" s="195" t="s">
        <v>111</v>
      </c>
      <c r="D357" s="196" t="s">
        <v>80</v>
      </c>
      <c r="E357" s="197"/>
      <c r="F357" s="197"/>
      <c r="G357" s="208"/>
      <c r="H357" s="197"/>
      <c r="I357" s="197"/>
      <c r="J357" s="197"/>
      <c r="K357" s="197"/>
      <c r="L357" s="220"/>
      <c r="M357" s="197"/>
      <c r="N357" s="197"/>
      <c r="O357" s="197"/>
      <c r="P357" s="197"/>
      <c r="Q357" s="243"/>
      <c r="R357" s="453"/>
    </row>
    <row r="358" spans="1:18" ht="11.25" customHeight="1">
      <c r="A358" s="205"/>
      <c r="B358" s="206"/>
      <c r="C358" s="195"/>
      <c r="D358" s="157" t="s">
        <v>149</v>
      </c>
      <c r="E358" s="197"/>
      <c r="F358" s="197"/>
      <c r="G358" s="208">
        <v>160</v>
      </c>
      <c r="H358" s="197"/>
      <c r="I358" s="197">
        <v>500</v>
      </c>
      <c r="J358" s="197"/>
      <c r="K358" s="197"/>
      <c r="L358" s="220">
        <f>SUM(E358:K358)</f>
        <v>660</v>
      </c>
      <c r="M358" s="197"/>
      <c r="N358" s="197"/>
      <c r="O358" s="197"/>
      <c r="P358" s="197"/>
      <c r="Q358" s="243">
        <f>SUM(L358:P358)</f>
        <v>660</v>
      </c>
      <c r="R358" s="453"/>
    </row>
    <row r="359" spans="1:18" ht="11.25" customHeight="1">
      <c r="A359" s="205"/>
      <c r="B359" s="206"/>
      <c r="C359" s="195"/>
      <c r="D359" s="157" t="s">
        <v>150</v>
      </c>
      <c r="E359" s="197"/>
      <c r="F359" s="197"/>
      <c r="G359" s="208">
        <v>160</v>
      </c>
      <c r="H359" s="197"/>
      <c r="I359" s="197">
        <v>500</v>
      </c>
      <c r="J359" s="197"/>
      <c r="K359" s="197"/>
      <c r="L359" s="220">
        <f>SUM(E359:K359)</f>
        <v>660</v>
      </c>
      <c r="M359" s="197"/>
      <c r="N359" s="197"/>
      <c r="O359" s="197"/>
      <c r="P359" s="197"/>
      <c r="Q359" s="243">
        <f>SUM(L359:P359)</f>
        <v>660</v>
      </c>
      <c r="R359" s="453"/>
    </row>
    <row r="360" spans="1:18" ht="11.25" customHeight="1">
      <c r="A360" s="205"/>
      <c r="B360" s="206"/>
      <c r="C360" s="207"/>
      <c r="D360" s="157" t="s">
        <v>151</v>
      </c>
      <c r="E360" s="197"/>
      <c r="F360" s="197"/>
      <c r="G360" s="208">
        <v>0</v>
      </c>
      <c r="H360" s="197"/>
      <c r="I360" s="197">
        <v>500</v>
      </c>
      <c r="J360" s="197"/>
      <c r="K360" s="197"/>
      <c r="L360" s="220">
        <f>SUM(E360:K360)</f>
        <v>500</v>
      </c>
      <c r="M360" s="197"/>
      <c r="N360" s="197"/>
      <c r="O360" s="197"/>
      <c r="P360" s="197"/>
      <c r="Q360" s="243">
        <f>SUM(L360:P360)</f>
        <v>500</v>
      </c>
      <c r="R360" s="453"/>
    </row>
    <row r="361" spans="1:18" ht="11.25" customHeight="1">
      <c r="A361" s="205"/>
      <c r="B361" s="206" t="s">
        <v>6</v>
      </c>
      <c r="C361" s="207" t="s">
        <v>111</v>
      </c>
      <c r="D361" s="517" t="s">
        <v>211</v>
      </c>
      <c r="E361" s="197"/>
      <c r="F361" s="197"/>
      <c r="G361" s="208"/>
      <c r="H361" s="197"/>
      <c r="I361" s="197"/>
      <c r="J361" s="197"/>
      <c r="K361" s="197"/>
      <c r="L361" s="220"/>
      <c r="M361" s="197"/>
      <c r="N361" s="197"/>
      <c r="O361" s="197"/>
      <c r="P361" s="197"/>
      <c r="Q361" s="243"/>
      <c r="R361" s="453"/>
    </row>
    <row r="362" spans="1:18" ht="11.25" customHeight="1">
      <c r="A362" s="205"/>
      <c r="B362" s="206"/>
      <c r="C362" s="207"/>
      <c r="D362" s="157" t="s">
        <v>149</v>
      </c>
      <c r="E362" s="197"/>
      <c r="F362" s="197"/>
      <c r="G362" s="208"/>
      <c r="H362" s="197"/>
      <c r="I362" s="197"/>
      <c r="J362" s="197">
        <v>500</v>
      </c>
      <c r="K362" s="197"/>
      <c r="L362" s="220">
        <f>SUM(E362:K362)</f>
        <v>500</v>
      </c>
      <c r="M362" s="197"/>
      <c r="N362" s="197"/>
      <c r="O362" s="197"/>
      <c r="P362" s="197"/>
      <c r="Q362" s="243">
        <f>SUM(L362:P362)</f>
        <v>500</v>
      </c>
      <c r="R362" s="453"/>
    </row>
    <row r="363" spans="1:18" ht="11.25" customHeight="1">
      <c r="A363" s="205"/>
      <c r="B363" s="206"/>
      <c r="C363" s="207"/>
      <c r="D363" s="157" t="s">
        <v>150</v>
      </c>
      <c r="E363" s="197"/>
      <c r="F363" s="197"/>
      <c r="G363" s="208"/>
      <c r="H363" s="197"/>
      <c r="I363" s="197"/>
      <c r="J363" s="197">
        <v>500</v>
      </c>
      <c r="K363" s="197"/>
      <c r="L363" s="220">
        <f>SUM(E363:K363)</f>
        <v>500</v>
      </c>
      <c r="M363" s="197"/>
      <c r="N363" s="197"/>
      <c r="O363" s="197"/>
      <c r="P363" s="197"/>
      <c r="Q363" s="243">
        <f>SUM(L363:P363)</f>
        <v>500</v>
      </c>
      <c r="R363" s="453"/>
    </row>
    <row r="364" spans="1:18" ht="11.25" customHeight="1">
      <c r="A364" s="205"/>
      <c r="B364" s="206"/>
      <c r="C364" s="207"/>
      <c r="D364" s="157" t="s">
        <v>151</v>
      </c>
      <c r="E364" s="197"/>
      <c r="F364" s="197"/>
      <c r="G364" s="208"/>
      <c r="H364" s="197"/>
      <c r="I364" s="197"/>
      <c r="J364" s="197">
        <v>500</v>
      </c>
      <c r="K364" s="197"/>
      <c r="L364" s="220">
        <f>SUM(E364:K364)</f>
        <v>500</v>
      </c>
      <c r="M364" s="197"/>
      <c r="N364" s="197"/>
      <c r="O364" s="197"/>
      <c r="P364" s="197"/>
      <c r="Q364" s="243">
        <f>SUM(L364:P364)</f>
        <v>500</v>
      </c>
      <c r="R364" s="453"/>
    </row>
    <row r="365" spans="1:18" ht="11.25" customHeight="1">
      <c r="A365" s="205"/>
      <c r="B365" s="206" t="s">
        <v>7</v>
      </c>
      <c r="C365" s="207" t="s">
        <v>110</v>
      </c>
      <c r="D365" s="1593" t="s">
        <v>181</v>
      </c>
      <c r="E365" s="1594"/>
      <c r="F365" s="197"/>
      <c r="G365" s="208"/>
      <c r="H365" s="197"/>
      <c r="I365" s="197"/>
      <c r="J365" s="197"/>
      <c r="K365" s="197"/>
      <c r="L365" s="220"/>
      <c r="M365" s="197"/>
      <c r="N365" s="197"/>
      <c r="O365" s="197"/>
      <c r="P365" s="197"/>
      <c r="Q365" s="243"/>
      <c r="R365" s="453"/>
    </row>
    <row r="366" spans="1:18" ht="11.25" customHeight="1">
      <c r="A366" s="205"/>
      <c r="B366" s="206"/>
      <c r="C366" s="195"/>
      <c r="D366" s="157" t="s">
        <v>149</v>
      </c>
      <c r="E366" s="197">
        <v>70</v>
      </c>
      <c r="F366" s="197">
        <v>50</v>
      </c>
      <c r="G366" s="208">
        <v>480</v>
      </c>
      <c r="H366" s="197"/>
      <c r="I366" s="197"/>
      <c r="J366" s="197"/>
      <c r="K366" s="197"/>
      <c r="L366" s="220">
        <f>SUM(E366:K366)</f>
        <v>600</v>
      </c>
      <c r="M366" s="197"/>
      <c r="N366" s="197"/>
      <c r="O366" s="197"/>
      <c r="P366" s="197"/>
      <c r="Q366" s="243">
        <f>SUM(L366:P366)</f>
        <v>600</v>
      </c>
      <c r="R366" s="453"/>
    </row>
    <row r="367" spans="1:18" ht="11.25" customHeight="1">
      <c r="A367" s="205"/>
      <c r="B367" s="206"/>
      <c r="C367" s="195"/>
      <c r="D367" s="157" t="s">
        <v>150</v>
      </c>
      <c r="E367" s="197">
        <v>170</v>
      </c>
      <c r="F367" s="197">
        <v>110</v>
      </c>
      <c r="G367" s="208">
        <v>320</v>
      </c>
      <c r="H367" s="197"/>
      <c r="I367" s="197"/>
      <c r="J367" s="197"/>
      <c r="K367" s="197"/>
      <c r="L367" s="220">
        <f>SUM(E367:K367)</f>
        <v>600</v>
      </c>
      <c r="M367" s="197"/>
      <c r="N367" s="197"/>
      <c r="O367" s="197"/>
      <c r="P367" s="197"/>
      <c r="Q367" s="243">
        <f>SUM(L367:P367)</f>
        <v>600</v>
      </c>
      <c r="R367" s="453"/>
    </row>
    <row r="368" spans="1:18" ht="11.25" customHeight="1">
      <c r="A368" s="205"/>
      <c r="B368" s="206"/>
      <c r="C368" s="195"/>
      <c r="D368" s="157" t="s">
        <v>151</v>
      </c>
      <c r="E368" s="197">
        <v>68</v>
      </c>
      <c r="F368" s="197">
        <v>43</v>
      </c>
      <c r="G368" s="208">
        <v>19</v>
      </c>
      <c r="H368" s="197"/>
      <c r="I368" s="197"/>
      <c r="J368" s="197"/>
      <c r="K368" s="197"/>
      <c r="L368" s="220">
        <f>SUM(E368:K368)</f>
        <v>130</v>
      </c>
      <c r="M368" s="197"/>
      <c r="N368" s="197"/>
      <c r="O368" s="197"/>
      <c r="P368" s="197"/>
      <c r="Q368" s="243">
        <f>SUM(L368:P368)</f>
        <v>130</v>
      </c>
      <c r="R368" s="453"/>
    </row>
    <row r="369" spans="1:18" ht="11.25" customHeight="1">
      <c r="A369" s="228"/>
      <c r="B369" s="201" t="s">
        <v>8</v>
      </c>
      <c r="C369" s="202" t="s">
        <v>111</v>
      </c>
      <c r="D369" s="1259" t="s">
        <v>840</v>
      </c>
      <c r="E369" s="203"/>
      <c r="F369" s="203"/>
      <c r="G369" s="204"/>
      <c r="H369" s="203"/>
      <c r="I369" s="203"/>
      <c r="J369" s="203"/>
      <c r="K369" s="203"/>
      <c r="L369" s="222"/>
      <c r="M369" s="203"/>
      <c r="N369" s="203"/>
      <c r="O369" s="203"/>
      <c r="P369" s="203"/>
      <c r="Q369" s="212"/>
      <c r="R369" s="465"/>
    </row>
    <row r="370" spans="1:18" ht="11.25" customHeight="1">
      <c r="A370" s="205"/>
      <c r="B370" s="206"/>
      <c r="C370" s="207"/>
      <c r="D370" s="157" t="s">
        <v>149</v>
      </c>
      <c r="E370" s="197"/>
      <c r="F370" s="197"/>
      <c r="G370" s="208">
        <v>0</v>
      </c>
      <c r="H370" s="197"/>
      <c r="I370" s="197"/>
      <c r="J370" s="197"/>
      <c r="K370" s="197"/>
      <c r="L370" s="220">
        <f>SUM(E370:K370)</f>
        <v>0</v>
      </c>
      <c r="M370" s="197"/>
      <c r="N370" s="197"/>
      <c r="O370" s="197"/>
      <c r="P370" s="197"/>
      <c r="Q370" s="243">
        <f>SUM(L370:P370)</f>
        <v>0</v>
      </c>
      <c r="R370" s="453"/>
    </row>
    <row r="371" spans="1:18" ht="11.25" customHeight="1">
      <c r="A371" s="205"/>
      <c r="B371" s="206"/>
      <c r="C371" s="207"/>
      <c r="D371" s="157" t="s">
        <v>150</v>
      </c>
      <c r="E371" s="197"/>
      <c r="F371" s="197"/>
      <c r="G371" s="208">
        <v>600</v>
      </c>
      <c r="H371" s="197"/>
      <c r="I371" s="197"/>
      <c r="J371" s="197"/>
      <c r="K371" s="197"/>
      <c r="L371" s="220">
        <f>SUM(E371:K371)</f>
        <v>600</v>
      </c>
      <c r="M371" s="197"/>
      <c r="N371" s="197"/>
      <c r="O371" s="197"/>
      <c r="P371" s="197"/>
      <c r="Q371" s="243">
        <f>SUM(L371:P371)</f>
        <v>600</v>
      </c>
      <c r="R371" s="453"/>
    </row>
    <row r="372" spans="1:18" ht="11.25" customHeight="1" thickBot="1">
      <c r="A372" s="228"/>
      <c r="B372" s="201"/>
      <c r="C372" s="202"/>
      <c r="D372" s="155" t="s">
        <v>151</v>
      </c>
      <c r="E372" s="203"/>
      <c r="F372" s="203"/>
      <c r="G372" s="204">
        <f>20+20</f>
        <v>40</v>
      </c>
      <c r="H372" s="203"/>
      <c r="I372" s="203"/>
      <c r="J372" s="203"/>
      <c r="K372" s="203"/>
      <c r="L372" s="220">
        <f>SUM(E372:K372)</f>
        <v>40</v>
      </c>
      <c r="M372" s="203"/>
      <c r="N372" s="203"/>
      <c r="O372" s="203"/>
      <c r="P372" s="203"/>
      <c r="Q372" s="243">
        <f>SUM(L372:P372)</f>
        <v>40</v>
      </c>
      <c r="R372" s="465"/>
    </row>
    <row r="373" spans="1:18" s="16" customFormat="1" ht="12.75" customHeight="1">
      <c r="A373" s="238">
        <v>21</v>
      </c>
      <c r="B373" s="239" t="s">
        <v>4</v>
      </c>
      <c r="C373" s="240" t="s">
        <v>110</v>
      </c>
      <c r="D373" s="241" t="s">
        <v>81</v>
      </c>
      <c r="E373" s="216"/>
      <c r="F373" s="216"/>
      <c r="G373" s="241"/>
      <c r="H373" s="216"/>
      <c r="I373" s="216"/>
      <c r="J373" s="216"/>
      <c r="K373" s="216"/>
      <c r="L373" s="216"/>
      <c r="M373" s="216"/>
      <c r="N373" s="216"/>
      <c r="O373" s="216"/>
      <c r="P373" s="216"/>
      <c r="Q373" s="241"/>
      <c r="R373" s="366"/>
    </row>
    <row r="374" spans="1:18" s="16" customFormat="1" ht="10.5" customHeight="1">
      <c r="A374" s="205"/>
      <c r="B374" s="206"/>
      <c r="C374" s="207"/>
      <c r="D374" s="157" t="s">
        <v>149</v>
      </c>
      <c r="E374" s="220"/>
      <c r="F374" s="220"/>
      <c r="G374" s="208">
        <v>17000</v>
      </c>
      <c r="H374" s="220"/>
      <c r="I374" s="220"/>
      <c r="J374" s="220"/>
      <c r="K374" s="220"/>
      <c r="L374" s="220">
        <f>SUM(E374:K374)</f>
        <v>17000</v>
      </c>
      <c r="M374" s="220"/>
      <c r="N374" s="220"/>
      <c r="O374" s="220"/>
      <c r="P374" s="220"/>
      <c r="Q374" s="243">
        <f>SUM(L374:P374)</f>
        <v>17000</v>
      </c>
      <c r="R374" s="453"/>
    </row>
    <row r="375" spans="1:18" s="16" customFormat="1" ht="10.5" customHeight="1">
      <c r="A375" s="205"/>
      <c r="B375" s="206"/>
      <c r="C375" s="207"/>
      <c r="D375" s="157" t="s">
        <v>150</v>
      </c>
      <c r="E375" s="220"/>
      <c r="F375" s="220"/>
      <c r="G375" s="208">
        <v>26747</v>
      </c>
      <c r="H375" s="220"/>
      <c r="I375" s="220"/>
      <c r="J375" s="220"/>
      <c r="K375" s="220"/>
      <c r="L375" s="220">
        <f>SUM(E375:K375)</f>
        <v>26747</v>
      </c>
      <c r="M375" s="220">
        <v>57876</v>
      </c>
      <c r="N375" s="220"/>
      <c r="O375" s="220"/>
      <c r="P375" s="220"/>
      <c r="Q375" s="243">
        <f>SUM(L375:P375)</f>
        <v>84623</v>
      </c>
      <c r="R375" s="453"/>
    </row>
    <row r="376" spans="1:18" s="16" customFormat="1" ht="10.5" customHeight="1" thickBot="1">
      <c r="A376" s="244"/>
      <c r="B376" s="227"/>
      <c r="C376" s="245"/>
      <c r="D376" s="246" t="s">
        <v>151</v>
      </c>
      <c r="E376" s="248"/>
      <c r="F376" s="248"/>
      <c r="G376" s="276">
        <v>8612</v>
      </c>
      <c r="H376" s="248"/>
      <c r="I376" s="248"/>
      <c r="J376" s="248"/>
      <c r="K376" s="248"/>
      <c r="L376" s="248">
        <f>SUM(G376:K376)</f>
        <v>8612</v>
      </c>
      <c r="M376" s="248">
        <f>22945+2985</f>
        <v>25930</v>
      </c>
      <c r="N376" s="248"/>
      <c r="O376" s="248"/>
      <c r="P376" s="248"/>
      <c r="Q376" s="262">
        <f>SUM(L376:P376)</f>
        <v>34542</v>
      </c>
      <c r="R376" s="455"/>
    </row>
    <row r="377" spans="1:18" ht="12.75" customHeight="1">
      <c r="A377" s="228">
        <v>22</v>
      </c>
      <c r="B377" s="201"/>
      <c r="C377" s="202"/>
      <c r="D377" s="212" t="s">
        <v>99</v>
      </c>
      <c r="E377" s="222"/>
      <c r="F377" s="222"/>
      <c r="G377" s="222"/>
      <c r="H377" s="222"/>
      <c r="I377" s="285"/>
      <c r="J377" s="285"/>
      <c r="K377" s="285"/>
      <c r="L377" s="285"/>
      <c r="M377" s="285"/>
      <c r="N377" s="285"/>
      <c r="O377" s="285"/>
      <c r="P377" s="285"/>
      <c r="Q377" s="212"/>
      <c r="R377" s="465"/>
    </row>
    <row r="378" spans="1:18" ht="12.75" customHeight="1">
      <c r="A378" s="205"/>
      <c r="B378" s="206"/>
      <c r="C378" s="207"/>
      <c r="D378" s="157" t="s">
        <v>149</v>
      </c>
      <c r="E378" s="220">
        <f>E382+E386+E390+E394+E398</f>
        <v>0</v>
      </c>
      <c r="F378" s="220">
        <f aca="true" t="shared" si="77" ref="F378:K378">F382+F386+F390+F394+F398</f>
        <v>0</v>
      </c>
      <c r="G378" s="220">
        <f t="shared" si="77"/>
        <v>58340</v>
      </c>
      <c r="H378" s="220">
        <f t="shared" si="77"/>
        <v>0</v>
      </c>
      <c r="I378" s="220">
        <f t="shared" si="77"/>
        <v>0</v>
      </c>
      <c r="J378" s="220">
        <f t="shared" si="77"/>
        <v>700</v>
      </c>
      <c r="K378" s="220">
        <f t="shared" si="77"/>
        <v>0</v>
      </c>
      <c r="L378" s="220">
        <f>SUM(E378:K378)</f>
        <v>59040</v>
      </c>
      <c r="M378" s="220">
        <f aca="true" t="shared" si="78" ref="M378:P380">M382+M386+M390+M394+M398</f>
        <v>35000</v>
      </c>
      <c r="N378" s="220">
        <f t="shared" si="78"/>
        <v>9754</v>
      </c>
      <c r="O378" s="220">
        <f t="shared" si="78"/>
        <v>0</v>
      </c>
      <c r="P378" s="220">
        <f t="shared" si="78"/>
        <v>0</v>
      </c>
      <c r="Q378" s="220">
        <f>SUM(L378:P378)</f>
        <v>103794</v>
      </c>
      <c r="R378" s="453"/>
    </row>
    <row r="379" spans="1:18" ht="12.75" customHeight="1">
      <c r="A379" s="205"/>
      <c r="B379" s="206"/>
      <c r="C379" s="207"/>
      <c r="D379" s="157" t="s">
        <v>150</v>
      </c>
      <c r="E379" s="220">
        <f aca="true" t="shared" si="79" ref="E379:K380">E383+E387+E391+E395+E399</f>
        <v>0</v>
      </c>
      <c r="F379" s="220">
        <f t="shared" si="79"/>
        <v>0</v>
      </c>
      <c r="G379" s="220">
        <f t="shared" si="79"/>
        <v>58340</v>
      </c>
      <c r="H379" s="220">
        <f t="shared" si="79"/>
        <v>0</v>
      </c>
      <c r="I379" s="220">
        <f t="shared" si="79"/>
        <v>0</v>
      </c>
      <c r="J379" s="220">
        <f t="shared" si="79"/>
        <v>1367</v>
      </c>
      <c r="K379" s="220">
        <f t="shared" si="79"/>
        <v>0</v>
      </c>
      <c r="L379" s="220">
        <f>SUM(E379:K379)</f>
        <v>59707</v>
      </c>
      <c r="M379" s="220">
        <f t="shared" si="78"/>
        <v>116716</v>
      </c>
      <c r="N379" s="220">
        <f t="shared" si="78"/>
        <v>9754</v>
      </c>
      <c r="O379" s="220">
        <f t="shared" si="78"/>
        <v>0</v>
      </c>
      <c r="P379" s="220">
        <f t="shared" si="78"/>
        <v>0</v>
      </c>
      <c r="Q379" s="220">
        <f>SUM(L379:P379)</f>
        <v>186177</v>
      </c>
      <c r="R379" s="453"/>
    </row>
    <row r="380" spans="1:18" ht="12.75" customHeight="1">
      <c r="A380" s="205"/>
      <c r="B380" s="206"/>
      <c r="C380" s="207"/>
      <c r="D380" s="157" t="s">
        <v>151</v>
      </c>
      <c r="E380" s="220">
        <f t="shared" si="79"/>
        <v>0</v>
      </c>
      <c r="F380" s="220">
        <f t="shared" si="79"/>
        <v>0</v>
      </c>
      <c r="G380" s="220">
        <f t="shared" si="79"/>
        <v>53861</v>
      </c>
      <c r="H380" s="220">
        <f t="shared" si="79"/>
        <v>0</v>
      </c>
      <c r="I380" s="220">
        <f t="shared" si="79"/>
        <v>0</v>
      </c>
      <c r="J380" s="220">
        <f t="shared" si="79"/>
        <v>1350</v>
      </c>
      <c r="K380" s="220">
        <f t="shared" si="79"/>
        <v>0</v>
      </c>
      <c r="L380" s="220">
        <f>SUM(E380:K380)</f>
        <v>55211</v>
      </c>
      <c r="M380" s="220">
        <f t="shared" si="78"/>
        <v>17383</v>
      </c>
      <c r="N380" s="220">
        <f t="shared" si="78"/>
        <v>0</v>
      </c>
      <c r="O380" s="220">
        <f t="shared" si="78"/>
        <v>0</v>
      </c>
      <c r="P380" s="220">
        <f t="shared" si="78"/>
        <v>0</v>
      </c>
      <c r="Q380" s="220">
        <f>SUM(L380:P380)</f>
        <v>72594</v>
      </c>
      <c r="R380" s="453"/>
    </row>
    <row r="381" spans="1:18" ht="14.25" customHeight="1">
      <c r="A381" s="266"/>
      <c r="B381" s="206">
        <v>1</v>
      </c>
      <c r="C381" s="268" t="s">
        <v>111</v>
      </c>
      <c r="D381" s="1601" t="s">
        <v>100</v>
      </c>
      <c r="E381" s="1602"/>
      <c r="F381" s="1602"/>
      <c r="G381" s="1602"/>
      <c r="H381" s="1603"/>
      <c r="I381" s="211"/>
      <c r="J381" s="211"/>
      <c r="K381" s="211"/>
      <c r="L381" s="220"/>
      <c r="M381" s="211"/>
      <c r="N381" s="211"/>
      <c r="O381" s="211"/>
      <c r="P381" s="211"/>
      <c r="Q381" s="243"/>
      <c r="R381" s="481"/>
    </row>
    <row r="382" spans="1:18" ht="11.25" customHeight="1">
      <c r="A382" s="266"/>
      <c r="B382" s="209"/>
      <c r="C382" s="268"/>
      <c r="D382" s="157" t="s">
        <v>149</v>
      </c>
      <c r="E382" s="211"/>
      <c r="F382" s="211"/>
      <c r="G382" s="211"/>
      <c r="H382" s="211"/>
      <c r="I382" s="211"/>
      <c r="J382" s="211">
        <v>700</v>
      </c>
      <c r="K382" s="211"/>
      <c r="L382" s="220">
        <f aca="true" t="shared" si="80" ref="L382:L396">SUM(E382:K382)</f>
        <v>700</v>
      </c>
      <c r="M382" s="211"/>
      <c r="N382" s="211"/>
      <c r="O382" s="211"/>
      <c r="P382" s="211"/>
      <c r="Q382" s="243">
        <f aca="true" t="shared" si="81" ref="Q382:Q395">SUM(L382:P382)</f>
        <v>700</v>
      </c>
      <c r="R382" s="481"/>
    </row>
    <row r="383" spans="1:18" ht="11.25" customHeight="1">
      <c r="A383" s="266"/>
      <c r="B383" s="209"/>
      <c r="C383" s="268"/>
      <c r="D383" s="157" t="s">
        <v>150</v>
      </c>
      <c r="E383" s="211"/>
      <c r="F383" s="211"/>
      <c r="G383" s="211"/>
      <c r="H383" s="211"/>
      <c r="I383" s="211"/>
      <c r="J383" s="211">
        <v>700</v>
      </c>
      <c r="K383" s="211"/>
      <c r="L383" s="220">
        <f t="shared" si="80"/>
        <v>700</v>
      </c>
      <c r="M383" s="211"/>
      <c r="N383" s="211"/>
      <c r="O383" s="211"/>
      <c r="P383" s="211"/>
      <c r="Q383" s="243">
        <f t="shared" si="81"/>
        <v>700</v>
      </c>
      <c r="R383" s="481"/>
    </row>
    <row r="384" spans="1:18" ht="11.25" customHeight="1">
      <c r="A384" s="205"/>
      <c r="B384" s="206"/>
      <c r="C384" s="207"/>
      <c r="D384" s="157" t="s">
        <v>151</v>
      </c>
      <c r="E384" s="197"/>
      <c r="F384" s="197"/>
      <c r="G384" s="197"/>
      <c r="H384" s="197"/>
      <c r="I384" s="197"/>
      <c r="J384" s="197">
        <v>683</v>
      </c>
      <c r="K384" s="197"/>
      <c r="L384" s="220">
        <f t="shared" si="80"/>
        <v>683</v>
      </c>
      <c r="M384" s="197"/>
      <c r="N384" s="197"/>
      <c r="O384" s="197"/>
      <c r="P384" s="197"/>
      <c r="Q384" s="243">
        <f t="shared" si="81"/>
        <v>683</v>
      </c>
      <c r="R384" s="453"/>
    </row>
    <row r="385" spans="1:18" ht="11.25" customHeight="1">
      <c r="A385" s="205"/>
      <c r="B385" s="206">
        <v>2</v>
      </c>
      <c r="C385" s="207" t="s">
        <v>111</v>
      </c>
      <c r="D385" s="235" t="s">
        <v>765</v>
      </c>
      <c r="E385" s="197"/>
      <c r="F385" s="197"/>
      <c r="G385" s="208"/>
      <c r="H385" s="197"/>
      <c r="I385" s="197"/>
      <c r="J385" s="197"/>
      <c r="K385" s="197"/>
      <c r="L385" s="220"/>
      <c r="M385" s="197"/>
      <c r="N385" s="197"/>
      <c r="O385" s="197"/>
      <c r="P385" s="197"/>
      <c r="Q385" s="243"/>
      <c r="R385" s="453"/>
    </row>
    <row r="386" spans="1:18" ht="11.25" customHeight="1">
      <c r="A386" s="266"/>
      <c r="B386" s="206"/>
      <c r="C386" s="207"/>
      <c r="D386" s="157" t="s">
        <v>149</v>
      </c>
      <c r="E386" s="211"/>
      <c r="F386" s="211"/>
      <c r="G386" s="269">
        <v>53340</v>
      </c>
      <c r="H386" s="211"/>
      <c r="I386" s="211"/>
      <c r="J386" s="211"/>
      <c r="K386" s="211"/>
      <c r="L386" s="220">
        <f t="shared" si="80"/>
        <v>53340</v>
      </c>
      <c r="M386" s="211"/>
      <c r="N386" s="211"/>
      <c r="O386" s="211"/>
      <c r="P386" s="211"/>
      <c r="Q386" s="243">
        <f t="shared" si="81"/>
        <v>53340</v>
      </c>
      <c r="R386" s="481"/>
    </row>
    <row r="387" spans="1:18" ht="11.25" customHeight="1">
      <c r="A387" s="266"/>
      <c r="B387" s="206"/>
      <c r="C387" s="207"/>
      <c r="D387" s="157" t="s">
        <v>150</v>
      </c>
      <c r="E387" s="211"/>
      <c r="F387" s="211"/>
      <c r="G387" s="269">
        <v>53340</v>
      </c>
      <c r="H387" s="211"/>
      <c r="I387" s="211"/>
      <c r="J387" s="211"/>
      <c r="K387" s="211"/>
      <c r="L387" s="220">
        <f t="shared" si="80"/>
        <v>53340</v>
      </c>
      <c r="M387" s="211"/>
      <c r="N387" s="211"/>
      <c r="O387" s="211"/>
      <c r="P387" s="211"/>
      <c r="Q387" s="243">
        <f t="shared" si="81"/>
        <v>53340</v>
      </c>
      <c r="R387" s="481"/>
    </row>
    <row r="388" spans="1:18" ht="11.25" customHeight="1">
      <c r="A388" s="266"/>
      <c r="B388" s="206"/>
      <c r="C388" s="207"/>
      <c r="D388" s="157" t="s">
        <v>151</v>
      </c>
      <c r="E388" s="211"/>
      <c r="F388" s="211"/>
      <c r="G388" s="269">
        <v>53340</v>
      </c>
      <c r="H388" s="211"/>
      <c r="I388" s="211"/>
      <c r="J388" s="211"/>
      <c r="K388" s="211"/>
      <c r="L388" s="220">
        <f t="shared" si="80"/>
        <v>53340</v>
      </c>
      <c r="M388" s="211"/>
      <c r="N388" s="211"/>
      <c r="O388" s="211"/>
      <c r="P388" s="211"/>
      <c r="Q388" s="243">
        <f t="shared" si="81"/>
        <v>53340</v>
      </c>
      <c r="R388" s="481"/>
    </row>
    <row r="389" spans="1:18" ht="11.25" customHeight="1">
      <c r="A389" s="266"/>
      <c r="B389" s="206">
        <v>3</v>
      </c>
      <c r="C389" s="207" t="s">
        <v>110</v>
      </c>
      <c r="D389" s="208" t="s">
        <v>841</v>
      </c>
      <c r="E389" s="211"/>
      <c r="F389" s="211"/>
      <c r="G389" s="269"/>
      <c r="H389" s="211"/>
      <c r="I389" s="211"/>
      <c r="J389" s="211"/>
      <c r="K389" s="211"/>
      <c r="L389" s="220"/>
      <c r="M389" s="211"/>
      <c r="N389" s="211"/>
      <c r="O389" s="211"/>
      <c r="P389" s="211"/>
      <c r="Q389" s="243"/>
      <c r="R389" s="481"/>
    </row>
    <row r="390" spans="1:18" ht="11.25" customHeight="1">
      <c r="A390" s="266"/>
      <c r="B390" s="209"/>
      <c r="C390" s="268"/>
      <c r="D390" s="157" t="s">
        <v>149</v>
      </c>
      <c r="E390" s="211"/>
      <c r="F390" s="211"/>
      <c r="G390" s="269">
        <v>5000</v>
      </c>
      <c r="H390" s="211"/>
      <c r="I390" s="211"/>
      <c r="J390" s="211"/>
      <c r="K390" s="211"/>
      <c r="L390" s="220">
        <f t="shared" si="80"/>
        <v>5000</v>
      </c>
      <c r="M390" s="211">
        <v>20000</v>
      </c>
      <c r="N390" s="211"/>
      <c r="O390" s="211"/>
      <c r="P390" s="211"/>
      <c r="Q390" s="243">
        <f t="shared" si="81"/>
        <v>25000</v>
      </c>
      <c r="R390" s="481"/>
    </row>
    <row r="391" spans="1:18" ht="11.25" customHeight="1">
      <c r="A391" s="266"/>
      <c r="B391" s="209"/>
      <c r="C391" s="268"/>
      <c r="D391" s="157" t="s">
        <v>150</v>
      </c>
      <c r="E391" s="211"/>
      <c r="F391" s="211"/>
      <c r="G391" s="269">
        <v>5000</v>
      </c>
      <c r="H391" s="211"/>
      <c r="I391" s="211"/>
      <c r="J391" s="211"/>
      <c r="K391" s="211"/>
      <c r="L391" s="220">
        <f t="shared" si="80"/>
        <v>5000</v>
      </c>
      <c r="M391" s="211">
        <v>70000</v>
      </c>
      <c r="N391" s="211"/>
      <c r="O391" s="211"/>
      <c r="P391" s="211"/>
      <c r="Q391" s="243">
        <f t="shared" si="81"/>
        <v>75000</v>
      </c>
      <c r="R391" s="481"/>
    </row>
    <row r="392" spans="1:18" ht="11.25" customHeight="1">
      <c r="A392" s="266"/>
      <c r="B392" s="209"/>
      <c r="C392" s="268"/>
      <c r="D392" s="157" t="s">
        <v>151</v>
      </c>
      <c r="E392" s="211"/>
      <c r="F392" s="211"/>
      <c r="G392" s="269">
        <v>521</v>
      </c>
      <c r="H392" s="211"/>
      <c r="I392" s="211"/>
      <c r="J392" s="211"/>
      <c r="K392" s="211"/>
      <c r="L392" s="220">
        <f t="shared" si="80"/>
        <v>521</v>
      </c>
      <c r="M392" s="211">
        <v>4074</v>
      </c>
      <c r="N392" s="211"/>
      <c r="O392" s="211"/>
      <c r="P392" s="211"/>
      <c r="Q392" s="243">
        <f>SUM(L392:P392)</f>
        <v>4595</v>
      </c>
      <c r="R392" s="481"/>
    </row>
    <row r="393" spans="1:18" ht="11.25" customHeight="1">
      <c r="A393" s="266"/>
      <c r="B393" s="209">
        <v>4</v>
      </c>
      <c r="C393" s="268" t="s">
        <v>110</v>
      </c>
      <c r="D393" s="269" t="s">
        <v>842</v>
      </c>
      <c r="E393" s="211"/>
      <c r="F393" s="211"/>
      <c r="G393" s="269"/>
      <c r="H393" s="211"/>
      <c r="I393" s="211"/>
      <c r="J393" s="211"/>
      <c r="K393" s="211"/>
      <c r="L393" s="220"/>
      <c r="M393" s="211"/>
      <c r="N393" s="211"/>
      <c r="O393" s="211"/>
      <c r="P393" s="211"/>
      <c r="Q393" s="243"/>
      <c r="R393" s="481"/>
    </row>
    <row r="394" spans="1:18" ht="11.25" customHeight="1">
      <c r="A394" s="266"/>
      <c r="B394" s="209"/>
      <c r="C394" s="268"/>
      <c r="D394" s="157" t="s">
        <v>149</v>
      </c>
      <c r="E394" s="211"/>
      <c r="F394" s="211"/>
      <c r="G394" s="269"/>
      <c r="H394" s="211"/>
      <c r="I394" s="211"/>
      <c r="J394" s="211"/>
      <c r="K394" s="211"/>
      <c r="L394" s="220">
        <f t="shared" si="80"/>
        <v>0</v>
      </c>
      <c r="M394" s="211">
        <v>15000</v>
      </c>
      <c r="N394" s="211">
        <v>9754</v>
      </c>
      <c r="O394" s="211"/>
      <c r="P394" s="211"/>
      <c r="Q394" s="243">
        <f t="shared" si="81"/>
        <v>24754</v>
      </c>
      <c r="R394" s="481"/>
    </row>
    <row r="395" spans="1:18" ht="11.25" customHeight="1">
      <c r="A395" s="266"/>
      <c r="B395" s="209"/>
      <c r="C395" s="268"/>
      <c r="D395" s="157" t="s">
        <v>150</v>
      </c>
      <c r="E395" s="211"/>
      <c r="F395" s="211"/>
      <c r="G395" s="269"/>
      <c r="H395" s="211"/>
      <c r="I395" s="211"/>
      <c r="J395" s="211"/>
      <c r="K395" s="211"/>
      <c r="L395" s="220">
        <f t="shared" si="80"/>
        <v>0</v>
      </c>
      <c r="M395" s="211">
        <v>46716</v>
      </c>
      <c r="N395" s="211">
        <v>9754</v>
      </c>
      <c r="O395" s="211"/>
      <c r="P395" s="211"/>
      <c r="Q395" s="243">
        <f t="shared" si="81"/>
        <v>56470</v>
      </c>
      <c r="R395" s="481"/>
    </row>
    <row r="396" spans="1:18" ht="11.25" customHeight="1">
      <c r="A396" s="266"/>
      <c r="B396" s="209"/>
      <c r="C396" s="268"/>
      <c r="D396" s="157" t="s">
        <v>151</v>
      </c>
      <c r="E396" s="211"/>
      <c r="F396" s="211"/>
      <c r="G396" s="269"/>
      <c r="H396" s="211"/>
      <c r="I396" s="211"/>
      <c r="J396" s="211"/>
      <c r="K396" s="211"/>
      <c r="L396" s="220">
        <f t="shared" si="80"/>
        <v>0</v>
      </c>
      <c r="M396" s="211">
        <v>13309</v>
      </c>
      <c r="N396" s="211">
        <v>0</v>
      </c>
      <c r="O396" s="211"/>
      <c r="P396" s="211"/>
      <c r="Q396" s="243">
        <f>SUM(L396:P396)</f>
        <v>13309</v>
      </c>
      <c r="R396" s="481"/>
    </row>
    <row r="397" spans="1:18" ht="13.5" customHeight="1">
      <c r="A397" s="266"/>
      <c r="B397" s="209">
        <v>5</v>
      </c>
      <c r="C397" s="268" t="s">
        <v>110</v>
      </c>
      <c r="D397" s="1588" t="s">
        <v>843</v>
      </c>
      <c r="E397" s="1600"/>
      <c r="F397" s="1600"/>
      <c r="G397" s="1589"/>
      <c r="H397" s="211"/>
      <c r="I397" s="211"/>
      <c r="J397" s="211"/>
      <c r="K397" s="211"/>
      <c r="L397" s="220"/>
      <c r="M397" s="211"/>
      <c r="N397" s="211"/>
      <c r="O397" s="211"/>
      <c r="P397" s="211"/>
      <c r="Q397" s="243"/>
      <c r="R397" s="481"/>
    </row>
    <row r="398" spans="1:18" ht="11.25" customHeight="1">
      <c r="A398" s="266"/>
      <c r="B398" s="209"/>
      <c r="C398" s="268"/>
      <c r="D398" s="157" t="s">
        <v>149</v>
      </c>
      <c r="E398" s="211"/>
      <c r="F398" s="211"/>
      <c r="G398" s="269"/>
      <c r="H398" s="211"/>
      <c r="I398" s="211"/>
      <c r="J398" s="211">
        <v>0</v>
      </c>
      <c r="K398" s="211"/>
      <c r="L398" s="220">
        <f>SUM(E398:K398)</f>
        <v>0</v>
      </c>
      <c r="M398" s="211"/>
      <c r="N398" s="211"/>
      <c r="O398" s="211"/>
      <c r="P398" s="211"/>
      <c r="Q398" s="243">
        <f>SUM(L398:P398)</f>
        <v>0</v>
      </c>
      <c r="R398" s="481"/>
    </row>
    <row r="399" spans="1:18" ht="11.25" customHeight="1">
      <c r="A399" s="266"/>
      <c r="B399" s="209"/>
      <c r="C399" s="268"/>
      <c r="D399" s="157" t="s">
        <v>150</v>
      </c>
      <c r="E399" s="211"/>
      <c r="F399" s="211"/>
      <c r="G399" s="269"/>
      <c r="H399" s="211"/>
      <c r="I399" s="211"/>
      <c r="J399" s="211">
        <v>667</v>
      </c>
      <c r="K399" s="211"/>
      <c r="L399" s="220">
        <f>SUM(E399:K399)</f>
        <v>667</v>
      </c>
      <c r="M399" s="211"/>
      <c r="N399" s="211"/>
      <c r="O399" s="211"/>
      <c r="P399" s="211"/>
      <c r="Q399" s="243">
        <f>SUM(L399:P399)</f>
        <v>667</v>
      </c>
      <c r="R399" s="481"/>
    </row>
    <row r="400" spans="1:18" ht="11.25" customHeight="1" thickBot="1">
      <c r="A400" s="266"/>
      <c r="B400" s="209"/>
      <c r="C400" s="268"/>
      <c r="D400" s="157" t="s">
        <v>151</v>
      </c>
      <c r="E400" s="211"/>
      <c r="F400" s="211"/>
      <c r="G400" s="269"/>
      <c r="H400" s="211"/>
      <c r="I400" s="211"/>
      <c r="J400" s="211">
        <v>667</v>
      </c>
      <c r="K400" s="211"/>
      <c r="L400" s="220">
        <f>SUM(E400:K400)</f>
        <v>667</v>
      </c>
      <c r="M400" s="211"/>
      <c r="N400" s="211"/>
      <c r="O400" s="211"/>
      <c r="P400" s="211"/>
      <c r="Q400" s="243">
        <f>SUM(L400:P400)</f>
        <v>667</v>
      </c>
      <c r="R400" s="481"/>
    </row>
    <row r="401" spans="1:18" s="16" customFormat="1" ht="12.75" customHeight="1">
      <c r="A401" s="238">
        <v>23</v>
      </c>
      <c r="B401" s="239" t="s">
        <v>4</v>
      </c>
      <c r="C401" s="240" t="s">
        <v>110</v>
      </c>
      <c r="D401" s="1655" t="s">
        <v>182</v>
      </c>
      <c r="E401" s="1656"/>
      <c r="F401" s="1657"/>
      <c r="G401" s="241"/>
      <c r="H401" s="216"/>
      <c r="I401" s="216"/>
      <c r="J401" s="216"/>
      <c r="K401" s="216"/>
      <c r="L401" s="216"/>
      <c r="M401" s="216"/>
      <c r="N401" s="216"/>
      <c r="O401" s="216"/>
      <c r="P401" s="291"/>
      <c r="Q401" s="241"/>
      <c r="R401" s="366"/>
    </row>
    <row r="402" spans="1:18" s="16" customFormat="1" ht="12.75" customHeight="1">
      <c r="A402" s="205"/>
      <c r="B402" s="206"/>
      <c r="C402" s="292"/>
      <c r="D402" s="157" t="s">
        <v>149</v>
      </c>
      <c r="E402" s="284"/>
      <c r="F402" s="284"/>
      <c r="G402" s="243"/>
      <c r="H402" s="220"/>
      <c r="I402" s="220"/>
      <c r="J402" s="220">
        <v>8036</v>
      </c>
      <c r="K402" s="220"/>
      <c r="L402" s="220">
        <v>7521</v>
      </c>
      <c r="M402" s="220"/>
      <c r="N402" s="220"/>
      <c r="O402" s="220"/>
      <c r="P402" s="284"/>
      <c r="Q402" s="243">
        <v>7521</v>
      </c>
      <c r="R402" s="453"/>
    </row>
    <row r="403" spans="1:18" s="16" customFormat="1" ht="12.75" customHeight="1">
      <c r="A403" s="205"/>
      <c r="B403" s="206"/>
      <c r="C403" s="292"/>
      <c r="D403" s="157" t="s">
        <v>150</v>
      </c>
      <c r="E403" s="284"/>
      <c r="F403" s="284"/>
      <c r="G403" s="243"/>
      <c r="H403" s="220"/>
      <c r="I403" s="220"/>
      <c r="J403" s="220">
        <v>8036</v>
      </c>
      <c r="K403" s="220"/>
      <c r="L403" s="220">
        <f>SUM(E403:K403)</f>
        <v>8036</v>
      </c>
      <c r="M403" s="220"/>
      <c r="N403" s="220"/>
      <c r="O403" s="220"/>
      <c r="P403" s="284"/>
      <c r="Q403" s="243">
        <f>SUM(L403:P403)</f>
        <v>8036</v>
      </c>
      <c r="R403" s="453"/>
    </row>
    <row r="404" spans="1:18" s="16" customFormat="1" ht="10.5" customHeight="1" thickBot="1">
      <c r="A404" s="244"/>
      <c r="B404" s="227"/>
      <c r="C404" s="245"/>
      <c r="D404" s="246" t="s">
        <v>151</v>
      </c>
      <c r="E404" s="355"/>
      <c r="F404" s="355"/>
      <c r="G404" s="262"/>
      <c r="H404" s="248"/>
      <c r="I404" s="248"/>
      <c r="J404" s="248">
        <v>7542</v>
      </c>
      <c r="K404" s="248"/>
      <c r="L404" s="248">
        <f>SUM(E404:K404)</f>
        <v>7542</v>
      </c>
      <c r="M404" s="248"/>
      <c r="N404" s="248"/>
      <c r="O404" s="248"/>
      <c r="P404" s="355"/>
      <c r="Q404" s="262">
        <f>SUM(L404:P404)</f>
        <v>7542</v>
      </c>
      <c r="R404" s="455"/>
    </row>
    <row r="405" spans="1:18" ht="12.75" customHeight="1">
      <c r="A405" s="263">
        <v>24</v>
      </c>
      <c r="B405" s="264"/>
      <c r="C405" s="273"/>
      <c r="D405" s="257" t="s">
        <v>845</v>
      </c>
      <c r="E405" s="282"/>
      <c r="F405" s="282"/>
      <c r="G405" s="224"/>
      <c r="H405" s="282"/>
      <c r="I405" s="282"/>
      <c r="J405" s="282"/>
      <c r="K405" s="282"/>
      <c r="L405" s="282"/>
      <c r="M405" s="282"/>
      <c r="N405" s="282"/>
      <c r="O405" s="282"/>
      <c r="P405" s="282"/>
      <c r="Q405" s="257"/>
      <c r="R405" s="466"/>
    </row>
    <row r="406" spans="1:18" ht="12.75" customHeight="1">
      <c r="A406" s="193"/>
      <c r="B406" s="194"/>
      <c r="C406" s="294"/>
      <c r="D406" s="157" t="s">
        <v>149</v>
      </c>
      <c r="E406" s="272">
        <f>E410+E414+E418</f>
        <v>0</v>
      </c>
      <c r="F406" s="272">
        <f aca="true" t="shared" si="82" ref="F406:K406">F410+F414+F418</f>
        <v>0</v>
      </c>
      <c r="G406" s="272">
        <f t="shared" si="82"/>
        <v>130</v>
      </c>
      <c r="H406" s="272">
        <f t="shared" si="82"/>
        <v>7600</v>
      </c>
      <c r="I406" s="272">
        <f t="shared" si="82"/>
        <v>0</v>
      </c>
      <c r="J406" s="272">
        <f t="shared" si="82"/>
        <v>0</v>
      </c>
      <c r="K406" s="272">
        <f t="shared" si="82"/>
        <v>0</v>
      </c>
      <c r="L406" s="272">
        <f>SUM(E406:K406)</f>
        <v>7730</v>
      </c>
      <c r="M406" s="272">
        <f>M410+M414+M418</f>
        <v>0</v>
      </c>
      <c r="N406" s="272">
        <f>N410+N414+N418</f>
        <v>0</v>
      </c>
      <c r="O406" s="272">
        <f>O410+O414+O418</f>
        <v>0</v>
      </c>
      <c r="P406" s="272">
        <f>P410+P414+P418</f>
        <v>0</v>
      </c>
      <c r="Q406" s="272">
        <f>SUM(L406:P406)</f>
        <v>7730</v>
      </c>
      <c r="R406" s="364"/>
    </row>
    <row r="407" spans="1:18" ht="12.75" customHeight="1">
      <c r="A407" s="193"/>
      <c r="B407" s="194"/>
      <c r="C407" s="294"/>
      <c r="D407" s="157" t="s">
        <v>150</v>
      </c>
      <c r="E407" s="272">
        <f aca="true" t="shared" si="83" ref="E407:K408">E411+E415+E419</f>
        <v>0</v>
      </c>
      <c r="F407" s="272">
        <f t="shared" si="83"/>
        <v>0</v>
      </c>
      <c r="G407" s="272">
        <f t="shared" si="83"/>
        <v>130</v>
      </c>
      <c r="H407" s="272">
        <f t="shared" si="83"/>
        <v>11620</v>
      </c>
      <c r="I407" s="272">
        <f t="shared" si="83"/>
        <v>0</v>
      </c>
      <c r="J407" s="272">
        <f t="shared" si="83"/>
        <v>0</v>
      </c>
      <c r="K407" s="272">
        <f t="shared" si="83"/>
        <v>0</v>
      </c>
      <c r="L407" s="272">
        <f>SUM(E407:K407)</f>
        <v>11750</v>
      </c>
      <c r="M407" s="272">
        <f aca="true" t="shared" si="84" ref="M407:P408">M411+M415+M419</f>
        <v>0</v>
      </c>
      <c r="N407" s="272">
        <f t="shared" si="84"/>
        <v>0</v>
      </c>
      <c r="O407" s="272">
        <f t="shared" si="84"/>
        <v>0</v>
      </c>
      <c r="P407" s="272">
        <f t="shared" si="84"/>
        <v>0</v>
      </c>
      <c r="Q407" s="272">
        <f>SUM(L407:P407)</f>
        <v>11750</v>
      </c>
      <c r="R407" s="364"/>
    </row>
    <row r="408" spans="1:18" ht="12.75" customHeight="1">
      <c r="A408" s="193"/>
      <c r="B408" s="194"/>
      <c r="C408" s="294"/>
      <c r="D408" s="157" t="s">
        <v>151</v>
      </c>
      <c r="E408" s="272">
        <f t="shared" si="83"/>
        <v>0</v>
      </c>
      <c r="F408" s="272">
        <f t="shared" si="83"/>
        <v>0</v>
      </c>
      <c r="G408" s="272">
        <f t="shared" si="83"/>
        <v>38</v>
      </c>
      <c r="H408" s="272">
        <f t="shared" si="83"/>
        <v>7639</v>
      </c>
      <c r="I408" s="272">
        <f t="shared" si="83"/>
        <v>0</v>
      </c>
      <c r="J408" s="272">
        <f t="shared" si="83"/>
        <v>0</v>
      </c>
      <c r="K408" s="272">
        <f t="shared" si="83"/>
        <v>0</v>
      </c>
      <c r="L408" s="272">
        <f>SUM(E408:K408)</f>
        <v>7677</v>
      </c>
      <c r="M408" s="272">
        <f t="shared" si="84"/>
        <v>0</v>
      </c>
      <c r="N408" s="272">
        <f t="shared" si="84"/>
        <v>0</v>
      </c>
      <c r="O408" s="272">
        <f t="shared" si="84"/>
        <v>0</v>
      </c>
      <c r="P408" s="272">
        <f t="shared" si="84"/>
        <v>0</v>
      </c>
      <c r="Q408" s="272">
        <f>SUM(L408:P408)</f>
        <v>7677</v>
      </c>
      <c r="R408" s="364"/>
    </row>
    <row r="409" spans="1:18" ht="11.25" customHeight="1">
      <c r="A409" s="205"/>
      <c r="B409" s="206" t="s">
        <v>4</v>
      </c>
      <c r="C409" s="207" t="s">
        <v>111</v>
      </c>
      <c r="D409" s="235" t="s">
        <v>212</v>
      </c>
      <c r="E409" s="197"/>
      <c r="F409" s="197"/>
      <c r="G409" s="208"/>
      <c r="H409" s="197"/>
      <c r="I409" s="197"/>
      <c r="J409" s="197"/>
      <c r="K409" s="197"/>
      <c r="L409" s="220"/>
      <c r="M409" s="197"/>
      <c r="N409" s="197"/>
      <c r="O409" s="197"/>
      <c r="P409" s="197"/>
      <c r="Q409" s="243"/>
      <c r="R409" s="453"/>
    </row>
    <row r="410" spans="1:18" ht="11.25" customHeight="1">
      <c r="A410" s="205"/>
      <c r="B410" s="206"/>
      <c r="C410" s="207"/>
      <c r="D410" s="157" t="s">
        <v>149</v>
      </c>
      <c r="E410" s="197"/>
      <c r="F410" s="197"/>
      <c r="G410" s="208">
        <v>130</v>
      </c>
      <c r="H410" s="197"/>
      <c r="I410" s="197"/>
      <c r="J410" s="197"/>
      <c r="K410" s="197"/>
      <c r="L410" s="220">
        <f>SUM(E410:K410)</f>
        <v>130</v>
      </c>
      <c r="M410" s="197"/>
      <c r="N410" s="197"/>
      <c r="O410" s="197"/>
      <c r="P410" s="197"/>
      <c r="Q410" s="243">
        <f>SUM(L410:P410)</f>
        <v>130</v>
      </c>
      <c r="R410" s="453"/>
    </row>
    <row r="411" spans="1:18" ht="11.25" customHeight="1">
      <c r="A411" s="205"/>
      <c r="B411" s="206"/>
      <c r="C411" s="207"/>
      <c r="D411" s="157" t="s">
        <v>150</v>
      </c>
      <c r="E411" s="197"/>
      <c r="F411" s="197"/>
      <c r="G411" s="208">
        <v>130</v>
      </c>
      <c r="H411" s="197"/>
      <c r="I411" s="197"/>
      <c r="J411" s="197"/>
      <c r="K411" s="197"/>
      <c r="L411" s="220">
        <f aca="true" t="shared" si="85" ref="L411:L420">SUM(E411:K411)</f>
        <v>130</v>
      </c>
      <c r="M411" s="197"/>
      <c r="N411" s="197"/>
      <c r="O411" s="197"/>
      <c r="P411" s="197"/>
      <c r="Q411" s="243">
        <f aca="true" t="shared" si="86" ref="Q411:Q420">SUM(L411:P411)</f>
        <v>130</v>
      </c>
      <c r="R411" s="453"/>
    </row>
    <row r="412" spans="1:18" ht="11.25" customHeight="1">
      <c r="A412" s="205"/>
      <c r="B412" s="206"/>
      <c r="C412" s="207"/>
      <c r="D412" s="157" t="s">
        <v>151</v>
      </c>
      <c r="E412" s="197"/>
      <c r="F412" s="197"/>
      <c r="G412" s="208">
        <v>38</v>
      </c>
      <c r="H412" s="197"/>
      <c r="I412" s="197"/>
      <c r="J412" s="197"/>
      <c r="K412" s="197"/>
      <c r="L412" s="220">
        <f t="shared" si="85"/>
        <v>38</v>
      </c>
      <c r="M412" s="197"/>
      <c r="N412" s="197"/>
      <c r="O412" s="197"/>
      <c r="P412" s="197"/>
      <c r="Q412" s="243">
        <f t="shared" si="86"/>
        <v>38</v>
      </c>
      <c r="R412" s="453"/>
    </row>
    <row r="413" spans="1:18" ht="11.25" customHeight="1">
      <c r="A413" s="205"/>
      <c r="B413" s="206" t="s">
        <v>5</v>
      </c>
      <c r="C413" s="207" t="s">
        <v>110</v>
      </c>
      <c r="D413" s="235" t="s">
        <v>59</v>
      </c>
      <c r="E413" s="197"/>
      <c r="F413" s="197"/>
      <c r="G413" s="208"/>
      <c r="H413" s="197"/>
      <c r="I413" s="197"/>
      <c r="J413" s="197"/>
      <c r="K413" s="197"/>
      <c r="L413" s="220"/>
      <c r="M413" s="197"/>
      <c r="N413" s="197"/>
      <c r="O413" s="197"/>
      <c r="P413" s="197"/>
      <c r="Q413" s="243"/>
      <c r="R413" s="453"/>
    </row>
    <row r="414" spans="1:18" ht="11.25" customHeight="1">
      <c r="A414" s="205"/>
      <c r="B414" s="206"/>
      <c r="C414" s="207"/>
      <c r="D414" s="157" t="s">
        <v>149</v>
      </c>
      <c r="E414" s="197"/>
      <c r="F414" s="197"/>
      <c r="G414" s="208"/>
      <c r="H414" s="197">
        <v>600</v>
      </c>
      <c r="I414" s="197"/>
      <c r="J414" s="197"/>
      <c r="K414" s="197"/>
      <c r="L414" s="220">
        <f t="shared" si="85"/>
        <v>600</v>
      </c>
      <c r="M414" s="197"/>
      <c r="N414" s="197"/>
      <c r="O414" s="197"/>
      <c r="P414" s="197"/>
      <c r="Q414" s="243">
        <f t="shared" si="86"/>
        <v>600</v>
      </c>
      <c r="R414" s="453"/>
    </row>
    <row r="415" spans="1:18" ht="11.25" customHeight="1">
      <c r="A415" s="205"/>
      <c r="B415" s="206"/>
      <c r="C415" s="207"/>
      <c r="D415" s="157" t="s">
        <v>150</v>
      </c>
      <c r="E415" s="197"/>
      <c r="F415" s="197"/>
      <c r="G415" s="208"/>
      <c r="H415" s="197">
        <v>600</v>
      </c>
      <c r="I415" s="197"/>
      <c r="J415" s="197"/>
      <c r="K415" s="197"/>
      <c r="L415" s="220">
        <f t="shared" si="85"/>
        <v>600</v>
      </c>
      <c r="M415" s="197"/>
      <c r="N415" s="197"/>
      <c r="O415" s="197"/>
      <c r="P415" s="197"/>
      <c r="Q415" s="243">
        <f t="shared" si="86"/>
        <v>600</v>
      </c>
      <c r="R415" s="453"/>
    </row>
    <row r="416" spans="1:18" ht="11.25" customHeight="1">
      <c r="A416" s="205"/>
      <c r="B416" s="206"/>
      <c r="C416" s="207"/>
      <c r="D416" s="157" t="s">
        <v>151</v>
      </c>
      <c r="E416" s="197"/>
      <c r="F416" s="197"/>
      <c r="G416" s="208"/>
      <c r="H416" s="197">
        <v>124</v>
      </c>
      <c r="I416" s="197"/>
      <c r="J416" s="197"/>
      <c r="K416" s="197"/>
      <c r="L416" s="220">
        <f t="shared" si="85"/>
        <v>124</v>
      </c>
      <c r="M416" s="197"/>
      <c r="N416" s="197"/>
      <c r="O416" s="197"/>
      <c r="P416" s="197"/>
      <c r="Q416" s="243">
        <f t="shared" si="86"/>
        <v>124</v>
      </c>
      <c r="R416" s="453"/>
    </row>
    <row r="417" spans="1:18" ht="11.25" customHeight="1">
      <c r="A417" s="205"/>
      <c r="B417" s="206" t="s">
        <v>6</v>
      </c>
      <c r="C417" s="207" t="s">
        <v>110</v>
      </c>
      <c r="D417" s="727" t="s">
        <v>844</v>
      </c>
      <c r="E417" s="197"/>
      <c r="F417" s="197"/>
      <c r="G417" s="208"/>
      <c r="H417" s="197"/>
      <c r="I417" s="197"/>
      <c r="J417" s="197"/>
      <c r="K417" s="197"/>
      <c r="L417" s="220"/>
      <c r="M417" s="197"/>
      <c r="N417" s="197"/>
      <c r="O417" s="197"/>
      <c r="P417" s="197"/>
      <c r="Q417" s="243"/>
      <c r="R417" s="453"/>
    </row>
    <row r="418" spans="1:18" ht="11.25" customHeight="1">
      <c r="A418" s="205"/>
      <c r="B418" s="206"/>
      <c r="C418" s="207"/>
      <c r="D418" s="157" t="s">
        <v>149</v>
      </c>
      <c r="E418" s="197"/>
      <c r="F418" s="197"/>
      <c r="G418" s="208"/>
      <c r="H418" s="197">
        <v>7000</v>
      </c>
      <c r="I418" s="197"/>
      <c r="J418" s="197"/>
      <c r="K418" s="197"/>
      <c r="L418" s="220">
        <f t="shared" si="85"/>
        <v>7000</v>
      </c>
      <c r="M418" s="197"/>
      <c r="N418" s="197"/>
      <c r="O418" s="197"/>
      <c r="P418" s="197"/>
      <c r="Q418" s="243">
        <f t="shared" si="86"/>
        <v>7000</v>
      </c>
      <c r="R418" s="453"/>
    </row>
    <row r="419" spans="1:18" ht="11.25" customHeight="1">
      <c r="A419" s="205"/>
      <c r="B419" s="206"/>
      <c r="C419" s="207"/>
      <c r="D419" s="157" t="s">
        <v>150</v>
      </c>
      <c r="E419" s="197"/>
      <c r="F419" s="197"/>
      <c r="G419" s="208"/>
      <c r="H419" s="197">
        <v>11020</v>
      </c>
      <c r="I419" s="197"/>
      <c r="J419" s="197"/>
      <c r="K419" s="197"/>
      <c r="L419" s="220">
        <f t="shared" si="85"/>
        <v>11020</v>
      </c>
      <c r="M419" s="197"/>
      <c r="N419" s="197"/>
      <c r="O419" s="197"/>
      <c r="P419" s="197"/>
      <c r="Q419" s="243">
        <f t="shared" si="86"/>
        <v>11020</v>
      </c>
      <c r="R419" s="453"/>
    </row>
    <row r="420" spans="1:18" ht="11.25" customHeight="1" thickBot="1">
      <c r="A420" s="205"/>
      <c r="B420" s="206"/>
      <c r="C420" s="207"/>
      <c r="D420" s="157" t="s">
        <v>151</v>
      </c>
      <c r="E420" s="197"/>
      <c r="F420" s="197"/>
      <c r="G420" s="208"/>
      <c r="H420" s="197">
        <f>4019+3496</f>
        <v>7515</v>
      </c>
      <c r="I420" s="197"/>
      <c r="J420" s="197"/>
      <c r="K420" s="197"/>
      <c r="L420" s="220">
        <f t="shared" si="85"/>
        <v>7515</v>
      </c>
      <c r="M420" s="197"/>
      <c r="N420" s="197"/>
      <c r="O420" s="197"/>
      <c r="P420" s="197"/>
      <c r="Q420" s="243">
        <f t="shared" si="86"/>
        <v>7515</v>
      </c>
      <c r="R420" s="453"/>
    </row>
    <row r="421" spans="1:18" ht="12.75" customHeight="1">
      <c r="A421" s="263">
        <v>25</v>
      </c>
      <c r="B421" s="256"/>
      <c r="C421" s="273"/>
      <c r="D421" s="257" t="s">
        <v>82</v>
      </c>
      <c r="E421" s="282"/>
      <c r="F421" s="282"/>
      <c r="G421" s="224"/>
      <c r="H421" s="282"/>
      <c r="I421" s="282"/>
      <c r="J421" s="282"/>
      <c r="K421" s="282"/>
      <c r="L421" s="282"/>
      <c r="M421" s="282"/>
      <c r="N421" s="282"/>
      <c r="O421" s="282"/>
      <c r="P421" s="282"/>
      <c r="Q421" s="257"/>
      <c r="R421" s="466"/>
    </row>
    <row r="422" spans="1:18" ht="12.75" customHeight="1">
      <c r="A422" s="193"/>
      <c r="B422" s="199"/>
      <c r="C422" s="294"/>
      <c r="D422" s="157" t="s">
        <v>149</v>
      </c>
      <c r="E422" s="272">
        <f>E426+E430+E434+E438</f>
        <v>4980</v>
      </c>
      <c r="F422" s="272">
        <f aca="true" t="shared" si="87" ref="F422:K422">F426+F430+F434+F438</f>
        <v>1345</v>
      </c>
      <c r="G422" s="272">
        <f t="shared" si="87"/>
        <v>18875</v>
      </c>
      <c r="H422" s="272">
        <f t="shared" si="87"/>
        <v>0</v>
      </c>
      <c r="I422" s="272">
        <f t="shared" si="87"/>
        <v>5900</v>
      </c>
      <c r="J422" s="272">
        <f t="shared" si="87"/>
        <v>0</v>
      </c>
      <c r="K422" s="272">
        <f t="shared" si="87"/>
        <v>0</v>
      </c>
      <c r="L422" s="272">
        <f>SUM(E422:K422)</f>
        <v>31100</v>
      </c>
      <c r="M422" s="272">
        <f aca="true" t="shared" si="88" ref="M422:P424">M426+M430+M434+M438</f>
        <v>2000</v>
      </c>
      <c r="N422" s="272">
        <f t="shared" si="88"/>
        <v>0</v>
      </c>
      <c r="O422" s="272">
        <f t="shared" si="88"/>
        <v>0</v>
      </c>
      <c r="P422" s="272">
        <f t="shared" si="88"/>
        <v>0</v>
      </c>
      <c r="Q422" s="272">
        <f>SUM(L422:P422)</f>
        <v>33100</v>
      </c>
      <c r="R422" s="364">
        <f>R426+R438</f>
        <v>2</v>
      </c>
    </row>
    <row r="423" spans="1:18" ht="12.75" customHeight="1">
      <c r="A423" s="193"/>
      <c r="B423" s="199"/>
      <c r="C423" s="294"/>
      <c r="D423" s="157" t="s">
        <v>150</v>
      </c>
      <c r="E423" s="272">
        <f aca="true" t="shared" si="89" ref="E423:K424">E427+E431+E435+E439</f>
        <v>5580</v>
      </c>
      <c r="F423" s="272">
        <f t="shared" si="89"/>
        <v>1507</v>
      </c>
      <c r="G423" s="272">
        <f t="shared" si="89"/>
        <v>18875</v>
      </c>
      <c r="H423" s="272">
        <f t="shared" si="89"/>
        <v>0</v>
      </c>
      <c r="I423" s="272">
        <f t="shared" si="89"/>
        <v>5900</v>
      </c>
      <c r="J423" s="272">
        <f t="shared" si="89"/>
        <v>0</v>
      </c>
      <c r="K423" s="272">
        <f t="shared" si="89"/>
        <v>0</v>
      </c>
      <c r="L423" s="272">
        <f>SUM(E423:K423)</f>
        <v>31862</v>
      </c>
      <c r="M423" s="272">
        <f t="shared" si="88"/>
        <v>2000</v>
      </c>
      <c r="N423" s="272">
        <f t="shared" si="88"/>
        <v>0</v>
      </c>
      <c r="O423" s="272">
        <f t="shared" si="88"/>
        <v>0</v>
      </c>
      <c r="P423" s="272">
        <f t="shared" si="88"/>
        <v>0</v>
      </c>
      <c r="Q423" s="272">
        <f>SUM(L423:P423)</f>
        <v>33862</v>
      </c>
      <c r="R423" s="364">
        <f>R427+R439</f>
        <v>2</v>
      </c>
    </row>
    <row r="424" spans="1:18" ht="12.75" customHeight="1">
      <c r="A424" s="193"/>
      <c r="B424" s="199"/>
      <c r="C424" s="294"/>
      <c r="D424" s="157" t="s">
        <v>151</v>
      </c>
      <c r="E424" s="272">
        <f t="shared" si="89"/>
        <v>5357</v>
      </c>
      <c r="F424" s="272">
        <f t="shared" si="89"/>
        <v>1407</v>
      </c>
      <c r="G424" s="272">
        <f>G428+G432+G436+G440</f>
        <v>16467</v>
      </c>
      <c r="H424" s="272">
        <f t="shared" si="89"/>
        <v>0</v>
      </c>
      <c r="I424" s="272">
        <f t="shared" si="89"/>
        <v>5400</v>
      </c>
      <c r="J424" s="272">
        <f t="shared" si="89"/>
        <v>0</v>
      </c>
      <c r="K424" s="272">
        <f t="shared" si="89"/>
        <v>0</v>
      </c>
      <c r="L424" s="272">
        <f>SUM(E424:K424)</f>
        <v>28631</v>
      </c>
      <c r="M424" s="272">
        <f t="shared" si="88"/>
        <v>1478</v>
      </c>
      <c r="N424" s="272">
        <f t="shared" si="88"/>
        <v>0</v>
      </c>
      <c r="O424" s="272">
        <f t="shared" si="88"/>
        <v>0</v>
      </c>
      <c r="P424" s="272">
        <f t="shared" si="88"/>
        <v>0</v>
      </c>
      <c r="Q424" s="272">
        <f>SUM(L424:P424)</f>
        <v>30109</v>
      </c>
      <c r="R424" s="364">
        <f>R428+R440</f>
        <v>2</v>
      </c>
    </row>
    <row r="425" spans="1:18" ht="15" customHeight="1">
      <c r="A425" s="205"/>
      <c r="B425" s="206" t="s">
        <v>4</v>
      </c>
      <c r="C425" s="207" t="s">
        <v>111</v>
      </c>
      <c r="D425" s="1260" t="s">
        <v>990</v>
      </c>
      <c r="E425" s="1268"/>
      <c r="F425" s="1261"/>
      <c r="G425" s="208"/>
      <c r="H425" s="197"/>
      <c r="I425" s="197"/>
      <c r="J425" s="197"/>
      <c r="K425" s="197"/>
      <c r="L425" s="272"/>
      <c r="M425" s="197"/>
      <c r="N425" s="197"/>
      <c r="O425" s="197"/>
      <c r="P425" s="197"/>
      <c r="Q425" s="200"/>
      <c r="R425" s="453"/>
    </row>
    <row r="426" spans="1:18" ht="11.25" customHeight="1">
      <c r="A426" s="205"/>
      <c r="B426" s="206"/>
      <c r="C426" s="207"/>
      <c r="D426" s="157" t="s">
        <v>149</v>
      </c>
      <c r="E426" s="197">
        <v>4980</v>
      </c>
      <c r="F426" s="197">
        <v>1345</v>
      </c>
      <c r="G426" s="208">
        <v>18875</v>
      </c>
      <c r="H426" s="197"/>
      <c r="I426" s="197"/>
      <c r="J426" s="197"/>
      <c r="K426" s="197"/>
      <c r="L426" s="272">
        <f>SUM(E426:K426)</f>
        <v>25200</v>
      </c>
      <c r="M426" s="197"/>
      <c r="N426" s="197"/>
      <c r="O426" s="197"/>
      <c r="P426" s="197"/>
      <c r="Q426" s="200">
        <f>SUM(L426:P426)</f>
        <v>25200</v>
      </c>
      <c r="R426" s="453">
        <v>2</v>
      </c>
    </row>
    <row r="427" spans="1:18" ht="11.25" customHeight="1">
      <c r="A427" s="205"/>
      <c r="B427" s="206"/>
      <c r="C427" s="207"/>
      <c r="D427" s="157" t="s">
        <v>150</v>
      </c>
      <c r="E427" s="197">
        <v>5580</v>
      </c>
      <c r="F427" s="197">
        <v>1507</v>
      </c>
      <c r="G427" s="208">
        <v>18875</v>
      </c>
      <c r="H427" s="197"/>
      <c r="I427" s="197"/>
      <c r="J427" s="197">
        <v>0</v>
      </c>
      <c r="K427" s="197"/>
      <c r="L427" s="272">
        <f aca="true" t="shared" si="90" ref="L427:L436">SUM(E427:K427)</f>
        <v>25962</v>
      </c>
      <c r="M427" s="197"/>
      <c r="N427" s="197"/>
      <c r="O427" s="197"/>
      <c r="P427" s="197"/>
      <c r="Q427" s="200">
        <f aca="true" t="shared" si="91" ref="Q427:Q436">SUM(L427:P427)</f>
        <v>25962</v>
      </c>
      <c r="R427" s="453">
        <v>2</v>
      </c>
    </row>
    <row r="428" spans="1:18" ht="11.25" customHeight="1">
      <c r="A428" s="205"/>
      <c r="B428" s="206"/>
      <c r="C428" s="207"/>
      <c r="D428" s="157" t="s">
        <v>151</v>
      </c>
      <c r="E428" s="197">
        <v>5357</v>
      </c>
      <c r="F428" s="197">
        <v>1407</v>
      </c>
      <c r="G428" s="208">
        <v>16467</v>
      </c>
      <c r="H428" s="197"/>
      <c r="I428" s="197"/>
      <c r="J428" s="197"/>
      <c r="K428" s="197"/>
      <c r="L428" s="272">
        <f>SUM(E428:K428)</f>
        <v>23231</v>
      </c>
      <c r="M428" s="197"/>
      <c r="N428" s="197"/>
      <c r="O428" s="197"/>
      <c r="P428" s="197"/>
      <c r="Q428" s="200">
        <f>SUM(L428:P428)</f>
        <v>23231</v>
      </c>
      <c r="R428" s="453">
        <v>2</v>
      </c>
    </row>
    <row r="429" spans="1:18" ht="15.75" customHeight="1">
      <c r="A429" s="205"/>
      <c r="B429" s="206" t="s">
        <v>5</v>
      </c>
      <c r="C429" s="207" t="s">
        <v>110</v>
      </c>
      <c r="D429" s="1590" t="s">
        <v>101</v>
      </c>
      <c r="E429" s="1591"/>
      <c r="F429" s="1591"/>
      <c r="G429" s="1591"/>
      <c r="H429" s="1592"/>
      <c r="I429" s="197"/>
      <c r="J429" s="197"/>
      <c r="K429" s="197"/>
      <c r="L429" s="272"/>
      <c r="M429" s="197"/>
      <c r="N429" s="208"/>
      <c r="O429" s="208"/>
      <c r="P429" s="208"/>
      <c r="Q429" s="200"/>
      <c r="R429" s="453"/>
    </row>
    <row r="430" spans="1:18" ht="12" customHeight="1">
      <c r="A430" s="205"/>
      <c r="B430" s="206"/>
      <c r="C430" s="207"/>
      <c r="D430" s="157" t="s">
        <v>149</v>
      </c>
      <c r="E430" s="197"/>
      <c r="F430" s="197"/>
      <c r="G430" s="208"/>
      <c r="H430" s="197"/>
      <c r="I430" s="197">
        <v>500</v>
      </c>
      <c r="J430" s="197"/>
      <c r="K430" s="197"/>
      <c r="L430" s="272">
        <f t="shared" si="90"/>
        <v>500</v>
      </c>
      <c r="M430" s="197"/>
      <c r="N430" s="208"/>
      <c r="O430" s="208"/>
      <c r="P430" s="208"/>
      <c r="Q430" s="200">
        <f t="shared" si="91"/>
        <v>500</v>
      </c>
      <c r="R430" s="453"/>
    </row>
    <row r="431" spans="1:18" ht="12" customHeight="1">
      <c r="A431" s="205"/>
      <c r="B431" s="206"/>
      <c r="C431" s="207"/>
      <c r="D431" s="157" t="s">
        <v>150</v>
      </c>
      <c r="E431" s="197"/>
      <c r="F431" s="197"/>
      <c r="G431" s="208"/>
      <c r="H431" s="197"/>
      <c r="I431" s="197">
        <v>500</v>
      </c>
      <c r="J431" s="197"/>
      <c r="K431" s="197"/>
      <c r="L431" s="272">
        <f t="shared" si="90"/>
        <v>500</v>
      </c>
      <c r="M431" s="197"/>
      <c r="N431" s="208"/>
      <c r="O431" s="208"/>
      <c r="P431" s="208"/>
      <c r="Q431" s="200">
        <f t="shared" si="91"/>
        <v>500</v>
      </c>
      <c r="R431" s="453"/>
    </row>
    <row r="432" spans="1:18" ht="12" customHeight="1">
      <c r="A432" s="205"/>
      <c r="B432" s="206"/>
      <c r="C432" s="207"/>
      <c r="D432" s="157" t="s">
        <v>151</v>
      </c>
      <c r="E432" s="197"/>
      <c r="F432" s="197"/>
      <c r="G432" s="208"/>
      <c r="H432" s="197"/>
      <c r="I432" s="197">
        <v>0</v>
      </c>
      <c r="J432" s="197"/>
      <c r="K432" s="197"/>
      <c r="L432" s="272">
        <f t="shared" si="90"/>
        <v>0</v>
      </c>
      <c r="M432" s="197"/>
      <c r="N432" s="208"/>
      <c r="O432" s="208"/>
      <c r="P432" s="208"/>
      <c r="Q432" s="200">
        <f t="shared" si="91"/>
        <v>0</v>
      </c>
      <c r="R432" s="453"/>
    </row>
    <row r="433" spans="1:18" s="1271" customFormat="1" ht="25.5" customHeight="1">
      <c r="A433" s="368"/>
      <c r="B433" s="232" t="s">
        <v>6</v>
      </c>
      <c r="C433" s="207" t="s">
        <v>110</v>
      </c>
      <c r="D433" s="1595" t="s">
        <v>846</v>
      </c>
      <c r="E433" s="1596"/>
      <c r="F433" s="1596"/>
      <c r="G433" s="1597"/>
      <c r="H433" s="232"/>
      <c r="I433" s="232"/>
      <c r="J433" s="232"/>
      <c r="K433" s="232"/>
      <c r="L433" s="1269"/>
      <c r="M433" s="232"/>
      <c r="N433" s="232"/>
      <c r="O433" s="232"/>
      <c r="P433" s="232"/>
      <c r="Q433" s="1269"/>
      <c r="R433" s="1270"/>
    </row>
    <row r="434" spans="1:18" ht="12.75" customHeight="1">
      <c r="A434" s="205"/>
      <c r="B434" s="206"/>
      <c r="C434" s="207"/>
      <c r="D434" s="157" t="s">
        <v>149</v>
      </c>
      <c r="E434" s="197"/>
      <c r="F434" s="197"/>
      <c r="G434" s="208"/>
      <c r="H434" s="197"/>
      <c r="I434" s="197">
        <v>5400</v>
      </c>
      <c r="J434" s="197"/>
      <c r="K434" s="197"/>
      <c r="L434" s="272">
        <f t="shared" si="90"/>
        <v>5400</v>
      </c>
      <c r="M434" s="197"/>
      <c r="N434" s="208"/>
      <c r="O434" s="208"/>
      <c r="P434" s="208"/>
      <c r="Q434" s="200">
        <f t="shared" si="91"/>
        <v>5400</v>
      </c>
      <c r="R434" s="453"/>
    </row>
    <row r="435" spans="1:18" ht="12.75" customHeight="1">
      <c r="A435" s="205"/>
      <c r="B435" s="206"/>
      <c r="C435" s="207"/>
      <c r="D435" s="157" t="s">
        <v>150</v>
      </c>
      <c r="E435" s="197"/>
      <c r="F435" s="197"/>
      <c r="G435" s="208"/>
      <c r="H435" s="197"/>
      <c r="I435" s="197">
        <v>5400</v>
      </c>
      <c r="J435" s="197"/>
      <c r="K435" s="197"/>
      <c r="L435" s="272">
        <f t="shared" si="90"/>
        <v>5400</v>
      </c>
      <c r="M435" s="197"/>
      <c r="N435" s="208"/>
      <c r="O435" s="208"/>
      <c r="P435" s="208"/>
      <c r="Q435" s="200">
        <f t="shared" si="91"/>
        <v>5400</v>
      </c>
      <c r="R435" s="453"/>
    </row>
    <row r="436" spans="1:18" ht="12.75" customHeight="1">
      <c r="A436" s="266"/>
      <c r="B436" s="209"/>
      <c r="C436" s="268"/>
      <c r="D436" s="136" t="s">
        <v>151</v>
      </c>
      <c r="E436" s="211"/>
      <c r="F436" s="211"/>
      <c r="G436" s="269"/>
      <c r="H436" s="211"/>
      <c r="I436" s="211">
        <v>5400</v>
      </c>
      <c r="J436" s="211"/>
      <c r="K436" s="211"/>
      <c r="L436" s="222">
        <f t="shared" si="90"/>
        <v>5400</v>
      </c>
      <c r="M436" s="211"/>
      <c r="N436" s="269"/>
      <c r="O436" s="269"/>
      <c r="P436" s="269"/>
      <c r="Q436" s="212">
        <f t="shared" si="91"/>
        <v>5400</v>
      </c>
      <c r="R436" s="481"/>
    </row>
    <row r="437" spans="1:18" ht="14.25" customHeight="1">
      <c r="A437" s="205"/>
      <c r="B437" s="206" t="s">
        <v>7</v>
      </c>
      <c r="C437" s="207" t="s">
        <v>110</v>
      </c>
      <c r="D437" s="1588" t="s">
        <v>730</v>
      </c>
      <c r="E437" s="1600"/>
      <c r="F437" s="1600"/>
      <c r="G437" s="1589"/>
      <c r="H437" s="197"/>
      <c r="I437" s="197"/>
      <c r="J437" s="197"/>
      <c r="K437" s="197"/>
      <c r="L437" s="220"/>
      <c r="M437" s="197"/>
      <c r="N437" s="208"/>
      <c r="O437" s="208"/>
      <c r="P437" s="208"/>
      <c r="Q437" s="243"/>
      <c r="R437" s="453"/>
    </row>
    <row r="438" spans="1:18" ht="12.75" customHeight="1">
      <c r="A438" s="205"/>
      <c r="B438" s="206"/>
      <c r="C438" s="207"/>
      <c r="D438" s="157" t="s">
        <v>149</v>
      </c>
      <c r="E438" s="197"/>
      <c r="F438" s="197"/>
      <c r="G438" s="208"/>
      <c r="H438" s="197"/>
      <c r="I438" s="197"/>
      <c r="J438" s="197"/>
      <c r="K438" s="197"/>
      <c r="L438" s="220">
        <f>SUM(E438:K438)</f>
        <v>0</v>
      </c>
      <c r="M438" s="197">
        <v>2000</v>
      </c>
      <c r="N438" s="208"/>
      <c r="O438" s="208"/>
      <c r="P438" s="208"/>
      <c r="Q438" s="243">
        <f>SUM(L438:P438)</f>
        <v>2000</v>
      </c>
      <c r="R438" s="453"/>
    </row>
    <row r="439" spans="1:18" ht="12.75" customHeight="1">
      <c r="A439" s="205"/>
      <c r="B439" s="206"/>
      <c r="C439" s="207"/>
      <c r="D439" s="157" t="s">
        <v>150</v>
      </c>
      <c r="E439" s="197"/>
      <c r="F439" s="197"/>
      <c r="G439" s="208"/>
      <c r="H439" s="197"/>
      <c r="I439" s="197"/>
      <c r="J439" s="197"/>
      <c r="K439" s="197"/>
      <c r="L439" s="220">
        <f>SUM(E439:K439)</f>
        <v>0</v>
      </c>
      <c r="M439" s="197">
        <v>2000</v>
      </c>
      <c r="N439" s="208"/>
      <c r="O439" s="208"/>
      <c r="P439" s="208"/>
      <c r="Q439" s="243">
        <f>SUM(L439:P439)</f>
        <v>2000</v>
      </c>
      <c r="R439" s="453"/>
    </row>
    <row r="440" spans="1:18" ht="12.75" customHeight="1" thickBot="1">
      <c r="A440" s="244"/>
      <c r="B440" s="227"/>
      <c r="C440" s="245"/>
      <c r="D440" s="246" t="s">
        <v>151</v>
      </c>
      <c r="E440" s="247"/>
      <c r="F440" s="247"/>
      <c r="G440" s="276"/>
      <c r="H440" s="247"/>
      <c r="I440" s="247"/>
      <c r="J440" s="247"/>
      <c r="K440" s="247"/>
      <c r="L440" s="248">
        <f>SUM(E440:K440)</f>
        <v>0</v>
      </c>
      <c r="M440" s="247">
        <f>1478</f>
        <v>1478</v>
      </c>
      <c r="N440" s="276"/>
      <c r="O440" s="276"/>
      <c r="P440" s="276"/>
      <c r="Q440" s="262">
        <f>SUM(L440:P440)</f>
        <v>1478</v>
      </c>
      <c r="R440" s="455"/>
    </row>
    <row r="441" spans="1:18" ht="13.5" customHeight="1">
      <c r="A441" s="263">
        <v>26</v>
      </c>
      <c r="B441" s="256" t="s">
        <v>4</v>
      </c>
      <c r="C441" s="223" t="s">
        <v>111</v>
      </c>
      <c r="D441" s="1051" t="s">
        <v>135</v>
      </c>
      <c r="E441" s="1052"/>
      <c r="F441" s="1052"/>
      <c r="G441" s="264"/>
      <c r="H441" s="1052"/>
      <c r="I441" s="1052"/>
      <c r="J441" s="1052"/>
      <c r="K441" s="1052"/>
      <c r="L441" s="224"/>
      <c r="M441" s="1052"/>
      <c r="N441" s="264"/>
      <c r="O441" s="264"/>
      <c r="P441" s="264"/>
      <c r="Q441" s="257"/>
      <c r="R441" s="466"/>
    </row>
    <row r="442" spans="1:18" ht="13.5" customHeight="1">
      <c r="A442" s="205"/>
      <c r="B442" s="206"/>
      <c r="C442" s="207"/>
      <c r="D442" s="157" t="s">
        <v>149</v>
      </c>
      <c r="E442" s="197"/>
      <c r="F442" s="197"/>
      <c r="G442" s="208"/>
      <c r="H442" s="197"/>
      <c r="I442" s="197">
        <v>650</v>
      </c>
      <c r="J442" s="197"/>
      <c r="K442" s="197"/>
      <c r="L442" s="220">
        <v>650</v>
      </c>
      <c r="M442" s="197"/>
      <c r="N442" s="208"/>
      <c r="O442" s="208"/>
      <c r="P442" s="208"/>
      <c r="Q442" s="243">
        <v>650</v>
      </c>
      <c r="R442" s="453"/>
    </row>
    <row r="443" spans="1:18" ht="13.5" customHeight="1">
      <c r="A443" s="205"/>
      <c r="B443" s="206"/>
      <c r="C443" s="207"/>
      <c r="D443" s="157" t="s">
        <v>150</v>
      </c>
      <c r="E443" s="197"/>
      <c r="F443" s="197"/>
      <c r="G443" s="208"/>
      <c r="H443" s="197"/>
      <c r="I443" s="197">
        <v>650</v>
      </c>
      <c r="J443" s="197"/>
      <c r="K443" s="197"/>
      <c r="L443" s="220">
        <f>SUM(E443:K443)</f>
        <v>650</v>
      </c>
      <c r="M443" s="197"/>
      <c r="N443" s="208"/>
      <c r="O443" s="208"/>
      <c r="P443" s="208"/>
      <c r="Q443" s="243">
        <f>SUM(L443:P443)</f>
        <v>650</v>
      </c>
      <c r="R443" s="453"/>
    </row>
    <row r="444" spans="1:18" ht="13.5" customHeight="1" thickBot="1">
      <c r="A444" s="244"/>
      <c r="B444" s="227"/>
      <c r="C444" s="245"/>
      <c r="D444" s="246" t="s">
        <v>151</v>
      </c>
      <c r="E444" s="247"/>
      <c r="F444" s="247"/>
      <c r="G444" s="276"/>
      <c r="H444" s="247"/>
      <c r="I444" s="247">
        <v>0</v>
      </c>
      <c r="J444" s="247"/>
      <c r="K444" s="247"/>
      <c r="L444" s="248">
        <f>I444</f>
        <v>0</v>
      </c>
      <c r="M444" s="247"/>
      <c r="N444" s="276"/>
      <c r="O444" s="276"/>
      <c r="P444" s="276"/>
      <c r="Q444" s="262">
        <f>L444</f>
        <v>0</v>
      </c>
      <c r="R444" s="455"/>
    </row>
    <row r="445" spans="1:18" s="16" customFormat="1" ht="12.75" customHeight="1">
      <c r="A445" s="263">
        <v>27</v>
      </c>
      <c r="B445" s="256">
        <v>1</v>
      </c>
      <c r="C445" s="223" t="s">
        <v>55</v>
      </c>
      <c r="D445" s="257" t="s">
        <v>0</v>
      </c>
      <c r="E445" s="224"/>
      <c r="F445" s="224"/>
      <c r="G445" s="224"/>
      <c r="H445" s="224"/>
      <c r="I445" s="224"/>
      <c r="J445" s="224"/>
      <c r="K445" s="224"/>
      <c r="L445" s="224"/>
      <c r="M445" s="224"/>
      <c r="N445" s="224"/>
      <c r="O445" s="224"/>
      <c r="P445" s="224"/>
      <c r="Q445" s="257"/>
      <c r="R445" s="466"/>
    </row>
    <row r="446" spans="1:18" s="16" customFormat="1" ht="12.75" customHeight="1">
      <c r="A446" s="205"/>
      <c r="B446" s="206"/>
      <c r="C446" s="207" t="s">
        <v>110</v>
      </c>
      <c r="D446" s="157" t="s">
        <v>149</v>
      </c>
      <c r="E446" s="220">
        <v>66050</v>
      </c>
      <c r="F446" s="220">
        <v>8920</v>
      </c>
      <c r="G446" s="220">
        <v>25000</v>
      </c>
      <c r="H446" s="220"/>
      <c r="I446" s="220"/>
      <c r="J446" s="220"/>
      <c r="K446" s="220"/>
      <c r="L446" s="220">
        <f>SUM(E446:K446)</f>
        <v>99970</v>
      </c>
      <c r="M446" s="220">
        <v>5000</v>
      </c>
      <c r="N446" s="220"/>
      <c r="O446" s="220"/>
      <c r="P446" s="220"/>
      <c r="Q446" s="220">
        <f>SUM(L446:P446)</f>
        <v>104970</v>
      </c>
      <c r="R446" s="453">
        <v>100</v>
      </c>
    </row>
    <row r="447" spans="1:18" s="16" customFormat="1" ht="12.75" customHeight="1">
      <c r="A447" s="205"/>
      <c r="B447" s="206"/>
      <c r="C447" s="207"/>
      <c r="D447" s="157" t="s">
        <v>150</v>
      </c>
      <c r="E447" s="220">
        <v>66050</v>
      </c>
      <c r="F447" s="220">
        <v>8920</v>
      </c>
      <c r="G447" s="220">
        <v>29577</v>
      </c>
      <c r="H447" s="220"/>
      <c r="I447" s="220"/>
      <c r="J447" s="220"/>
      <c r="K447" s="220">
        <v>0</v>
      </c>
      <c r="L447" s="220">
        <f>SUM(E447:K447)</f>
        <v>104547</v>
      </c>
      <c r="M447" s="220">
        <v>5000</v>
      </c>
      <c r="N447" s="220"/>
      <c r="O447" s="220"/>
      <c r="P447" s="220"/>
      <c r="Q447" s="220">
        <f>SUM(L447:P447)</f>
        <v>109547</v>
      </c>
      <c r="R447" s="453">
        <v>100</v>
      </c>
    </row>
    <row r="448" spans="1:18" s="16" customFormat="1" ht="12.75" customHeight="1" thickBot="1">
      <c r="A448" s="266"/>
      <c r="B448" s="209"/>
      <c r="C448" s="268"/>
      <c r="D448" s="136" t="s">
        <v>151</v>
      </c>
      <c r="E448" s="270">
        <v>65186</v>
      </c>
      <c r="F448" s="270">
        <v>8769</v>
      </c>
      <c r="G448" s="270">
        <v>28420</v>
      </c>
      <c r="H448" s="270"/>
      <c r="I448" s="270"/>
      <c r="J448" s="270"/>
      <c r="K448" s="270"/>
      <c r="L448" s="270">
        <f>SUM(E448:K448)</f>
        <v>102375</v>
      </c>
      <c r="M448" s="270">
        <v>1373</v>
      </c>
      <c r="N448" s="270"/>
      <c r="O448" s="270"/>
      <c r="P448" s="270"/>
      <c r="Q448" s="270">
        <f>SUM(L448:P448)</f>
        <v>103748</v>
      </c>
      <c r="R448" s="481">
        <v>70</v>
      </c>
    </row>
    <row r="449" spans="1:18" s="16" customFormat="1" ht="12.75" customHeight="1">
      <c r="A449" s="263">
        <v>28</v>
      </c>
      <c r="B449" s="256"/>
      <c r="C449" s="223"/>
      <c r="D449" s="257" t="s">
        <v>83</v>
      </c>
      <c r="E449" s="224"/>
      <c r="F449" s="224"/>
      <c r="G449" s="224"/>
      <c r="H449" s="224"/>
      <c r="I449" s="224"/>
      <c r="J449" s="224"/>
      <c r="K449" s="224"/>
      <c r="L449" s="224"/>
      <c r="M449" s="224"/>
      <c r="N449" s="224"/>
      <c r="O449" s="224"/>
      <c r="P449" s="224"/>
      <c r="Q449" s="257"/>
      <c r="R449" s="466"/>
    </row>
    <row r="450" spans="1:18" s="16" customFormat="1" ht="12.75" customHeight="1">
      <c r="A450" s="193"/>
      <c r="B450" s="199"/>
      <c r="C450" s="195"/>
      <c r="D450" s="157" t="s">
        <v>149</v>
      </c>
      <c r="E450" s="272">
        <f>E454+E458+E470+E474+E462+E466</f>
        <v>0</v>
      </c>
      <c r="F450" s="272">
        <f aca="true" t="shared" si="92" ref="F450:K450">F454+F458+F470+F474+F462+F466</f>
        <v>0</v>
      </c>
      <c r="G450" s="272">
        <f t="shared" si="92"/>
        <v>27000</v>
      </c>
      <c r="H450" s="272">
        <f t="shared" si="92"/>
        <v>0</v>
      </c>
      <c r="I450" s="272">
        <f t="shared" si="92"/>
        <v>1300</v>
      </c>
      <c r="J450" s="272">
        <f t="shared" si="92"/>
        <v>0</v>
      </c>
      <c r="K450" s="272">
        <f t="shared" si="92"/>
        <v>0</v>
      </c>
      <c r="L450" s="272">
        <f>SUM(E450:K450)</f>
        <v>28300</v>
      </c>
      <c r="M450" s="272">
        <f aca="true" t="shared" si="93" ref="M450:P452">M454+M458+M470+M474+M462+M466</f>
        <v>0</v>
      </c>
      <c r="N450" s="272">
        <f t="shared" si="93"/>
        <v>0</v>
      </c>
      <c r="O450" s="272">
        <f t="shared" si="93"/>
        <v>0</v>
      </c>
      <c r="P450" s="272">
        <f t="shared" si="93"/>
        <v>0</v>
      </c>
      <c r="Q450" s="272">
        <f>SUM(L450:P450)</f>
        <v>28300</v>
      </c>
      <c r="R450" s="364"/>
    </row>
    <row r="451" spans="1:18" s="16" customFormat="1" ht="12.75" customHeight="1">
      <c r="A451" s="193"/>
      <c r="B451" s="199"/>
      <c r="C451" s="195"/>
      <c r="D451" s="157" t="s">
        <v>150</v>
      </c>
      <c r="E451" s="272">
        <f aca="true" t="shared" si="94" ref="E451:K452">E455+E459+E471+E475+E463+E467</f>
        <v>1979</v>
      </c>
      <c r="F451" s="272">
        <f t="shared" si="94"/>
        <v>1312</v>
      </c>
      <c r="G451" s="272">
        <f t="shared" si="94"/>
        <v>35841</v>
      </c>
      <c r="H451" s="272">
        <f t="shared" si="94"/>
        <v>0</v>
      </c>
      <c r="I451" s="272">
        <f t="shared" si="94"/>
        <v>1750</v>
      </c>
      <c r="J451" s="272">
        <f t="shared" si="94"/>
        <v>0</v>
      </c>
      <c r="K451" s="272">
        <f t="shared" si="94"/>
        <v>0</v>
      </c>
      <c r="L451" s="272">
        <f>SUM(E451:K451)</f>
        <v>40882</v>
      </c>
      <c r="M451" s="272">
        <f t="shared" si="93"/>
        <v>6000</v>
      </c>
      <c r="N451" s="272">
        <f t="shared" si="93"/>
        <v>0</v>
      </c>
      <c r="O451" s="272">
        <f t="shared" si="93"/>
        <v>0</v>
      </c>
      <c r="P451" s="272">
        <f t="shared" si="93"/>
        <v>0</v>
      </c>
      <c r="Q451" s="272">
        <f>SUM(L451:P451)</f>
        <v>46882</v>
      </c>
      <c r="R451" s="364"/>
    </row>
    <row r="452" spans="1:18" s="16" customFormat="1" ht="12.75" customHeight="1">
      <c r="A452" s="193"/>
      <c r="B452" s="199"/>
      <c r="C452" s="195"/>
      <c r="D452" s="155" t="s">
        <v>151</v>
      </c>
      <c r="E452" s="272">
        <f t="shared" si="94"/>
        <v>1378</v>
      </c>
      <c r="F452" s="272">
        <f t="shared" si="94"/>
        <v>888</v>
      </c>
      <c r="G452" s="272">
        <f t="shared" si="94"/>
        <v>22481</v>
      </c>
      <c r="H452" s="272">
        <f t="shared" si="94"/>
        <v>0</v>
      </c>
      <c r="I452" s="272">
        <f t="shared" si="94"/>
        <v>1350</v>
      </c>
      <c r="J452" s="272">
        <f t="shared" si="94"/>
        <v>0</v>
      </c>
      <c r="K452" s="272">
        <f t="shared" si="94"/>
        <v>0</v>
      </c>
      <c r="L452" s="272">
        <f>SUM(E452:K452)</f>
        <v>26097</v>
      </c>
      <c r="M452" s="272">
        <f t="shared" si="93"/>
        <v>5862</v>
      </c>
      <c r="N452" s="272">
        <f t="shared" si="93"/>
        <v>0</v>
      </c>
      <c r="O452" s="272">
        <f t="shared" si="93"/>
        <v>0</v>
      </c>
      <c r="P452" s="272">
        <f t="shared" si="93"/>
        <v>0</v>
      </c>
      <c r="Q452" s="272">
        <f>SUM(L452:P452)</f>
        <v>31959</v>
      </c>
      <c r="R452" s="364"/>
    </row>
    <row r="453" spans="1:18" ht="10.5" customHeight="1">
      <c r="A453" s="193"/>
      <c r="B453" s="296" t="s">
        <v>4</v>
      </c>
      <c r="C453" s="195" t="s">
        <v>111</v>
      </c>
      <c r="D453" s="208" t="s">
        <v>84</v>
      </c>
      <c r="E453" s="198"/>
      <c r="F453" s="198"/>
      <c r="G453" s="194"/>
      <c r="H453" s="194"/>
      <c r="I453" s="198"/>
      <c r="J453" s="198"/>
      <c r="K453" s="198"/>
      <c r="L453" s="220"/>
      <c r="M453" s="194"/>
      <c r="N453" s="194"/>
      <c r="O453" s="194"/>
      <c r="P453" s="194"/>
      <c r="Q453" s="243"/>
      <c r="R453" s="364"/>
    </row>
    <row r="454" spans="1:18" ht="10.5" customHeight="1">
      <c r="A454" s="193"/>
      <c r="B454" s="296"/>
      <c r="C454" s="195"/>
      <c r="D454" s="157" t="s">
        <v>149</v>
      </c>
      <c r="E454" s="198">
        <v>0</v>
      </c>
      <c r="F454" s="198">
        <v>0</v>
      </c>
      <c r="G454" s="194">
        <v>15000</v>
      </c>
      <c r="H454" s="194"/>
      <c r="I454" s="198"/>
      <c r="J454" s="198"/>
      <c r="K454" s="198"/>
      <c r="L454" s="272">
        <f>SUM(E454:K454)</f>
        <v>15000</v>
      </c>
      <c r="M454" s="194"/>
      <c r="N454" s="194"/>
      <c r="O454" s="194"/>
      <c r="P454" s="194"/>
      <c r="Q454" s="200">
        <f>SUM(L454:P454)</f>
        <v>15000</v>
      </c>
      <c r="R454" s="364"/>
    </row>
    <row r="455" spans="1:18" ht="10.5" customHeight="1">
      <c r="A455" s="193"/>
      <c r="B455" s="296"/>
      <c r="C455" s="195"/>
      <c r="D455" s="157" t="s">
        <v>150</v>
      </c>
      <c r="E455" s="198">
        <v>1200</v>
      </c>
      <c r="F455" s="198">
        <v>894</v>
      </c>
      <c r="G455" s="194">
        <v>12097</v>
      </c>
      <c r="H455" s="194"/>
      <c r="I455" s="198"/>
      <c r="J455" s="198"/>
      <c r="K455" s="198"/>
      <c r="L455" s="272">
        <f aca="true" t="shared" si="95" ref="L455:L476">SUM(E455:K455)</f>
        <v>14191</v>
      </c>
      <c r="M455" s="194"/>
      <c r="N455" s="194"/>
      <c r="O455" s="194"/>
      <c r="P455" s="194"/>
      <c r="Q455" s="200">
        <f>SUM(L455:P455)</f>
        <v>14191</v>
      </c>
      <c r="R455" s="364"/>
    </row>
    <row r="456" spans="1:18" ht="10.5" customHeight="1">
      <c r="A456" s="193"/>
      <c r="B456" s="296"/>
      <c r="C456" s="195"/>
      <c r="D456" s="155" t="s">
        <v>151</v>
      </c>
      <c r="E456" s="198">
        <v>894</v>
      </c>
      <c r="F456" s="198">
        <v>567</v>
      </c>
      <c r="G456" s="194">
        <v>5486</v>
      </c>
      <c r="H456" s="194"/>
      <c r="I456" s="198"/>
      <c r="J456" s="198"/>
      <c r="K456" s="198"/>
      <c r="L456" s="272">
        <f t="shared" si="95"/>
        <v>6947</v>
      </c>
      <c r="M456" s="194"/>
      <c r="N456" s="194"/>
      <c r="O456" s="194"/>
      <c r="P456" s="194"/>
      <c r="Q456" s="200">
        <f>SUM(L456:P456)</f>
        <v>6947</v>
      </c>
      <c r="R456" s="364"/>
    </row>
    <row r="457" spans="1:18" ht="10.5" customHeight="1">
      <c r="A457" s="193"/>
      <c r="B457" s="296" t="s">
        <v>5</v>
      </c>
      <c r="C457" s="195" t="s">
        <v>111</v>
      </c>
      <c r="D457" s="196" t="s">
        <v>137</v>
      </c>
      <c r="E457" s="198"/>
      <c r="F457" s="198"/>
      <c r="G457" s="194"/>
      <c r="H457" s="194"/>
      <c r="I457" s="198"/>
      <c r="J457" s="198"/>
      <c r="K457" s="198"/>
      <c r="L457" s="272"/>
      <c r="M457" s="194"/>
      <c r="N457" s="194"/>
      <c r="O457" s="194"/>
      <c r="P457" s="194"/>
      <c r="Q457" s="200"/>
      <c r="R457" s="364"/>
    </row>
    <row r="458" spans="1:18" ht="10.5" customHeight="1">
      <c r="A458" s="193"/>
      <c r="B458" s="296"/>
      <c r="C458" s="195"/>
      <c r="D458" s="157" t="s">
        <v>149</v>
      </c>
      <c r="E458" s="198">
        <v>0</v>
      </c>
      <c r="F458" s="198">
        <v>0</v>
      </c>
      <c r="G458" s="194">
        <v>10000</v>
      </c>
      <c r="H458" s="194"/>
      <c r="I458" s="198"/>
      <c r="J458" s="198"/>
      <c r="K458" s="198"/>
      <c r="L458" s="272">
        <f t="shared" si="95"/>
        <v>10000</v>
      </c>
      <c r="M458" s="194"/>
      <c r="N458" s="194"/>
      <c r="O458" s="194"/>
      <c r="P458" s="194"/>
      <c r="Q458" s="200">
        <f>SUM(L458:P458)</f>
        <v>10000</v>
      </c>
      <c r="R458" s="364"/>
    </row>
    <row r="459" spans="1:18" ht="10.5" customHeight="1">
      <c r="A459" s="193"/>
      <c r="B459" s="296"/>
      <c r="C459" s="195"/>
      <c r="D459" s="157" t="s">
        <v>150</v>
      </c>
      <c r="E459" s="198">
        <v>700</v>
      </c>
      <c r="F459" s="198">
        <v>353</v>
      </c>
      <c r="G459" s="194">
        <v>13225</v>
      </c>
      <c r="H459" s="194"/>
      <c r="I459" s="198"/>
      <c r="J459" s="198"/>
      <c r="K459" s="198"/>
      <c r="L459" s="272">
        <f t="shared" si="95"/>
        <v>14278</v>
      </c>
      <c r="M459" s="194"/>
      <c r="N459" s="194"/>
      <c r="O459" s="194"/>
      <c r="P459" s="194"/>
      <c r="Q459" s="200">
        <f>SUM(L459:P459)</f>
        <v>14278</v>
      </c>
      <c r="R459" s="364"/>
    </row>
    <row r="460" spans="1:18" ht="10.5" customHeight="1">
      <c r="A460" s="193"/>
      <c r="B460" s="296"/>
      <c r="C460" s="195"/>
      <c r="D460" s="155" t="s">
        <v>151</v>
      </c>
      <c r="E460" s="198">
        <v>405</v>
      </c>
      <c r="F460" s="198">
        <v>257</v>
      </c>
      <c r="G460" s="194">
        <v>9490</v>
      </c>
      <c r="H460" s="194"/>
      <c r="I460" s="198"/>
      <c r="J460" s="198"/>
      <c r="K460" s="198"/>
      <c r="L460" s="272">
        <f>SUM(E460:K460)</f>
        <v>10152</v>
      </c>
      <c r="M460" s="194"/>
      <c r="N460" s="194"/>
      <c r="O460" s="194"/>
      <c r="P460" s="194"/>
      <c r="Q460" s="200">
        <f>SUM(L460:P460)</f>
        <v>10152</v>
      </c>
      <c r="R460" s="364"/>
    </row>
    <row r="461" spans="1:18" ht="10.5" customHeight="1">
      <c r="A461" s="193"/>
      <c r="B461" s="296" t="s">
        <v>6</v>
      </c>
      <c r="C461" s="195" t="s">
        <v>111</v>
      </c>
      <c r="D461" s="196" t="s">
        <v>139</v>
      </c>
      <c r="E461" s="198"/>
      <c r="F461" s="198"/>
      <c r="G461" s="194"/>
      <c r="H461" s="194"/>
      <c r="I461" s="198"/>
      <c r="J461" s="198"/>
      <c r="K461" s="198"/>
      <c r="L461" s="272"/>
      <c r="M461" s="194"/>
      <c r="N461" s="194"/>
      <c r="O461" s="194"/>
      <c r="P461" s="194"/>
      <c r="Q461" s="200"/>
      <c r="R461" s="364"/>
    </row>
    <row r="462" spans="1:18" ht="10.5" customHeight="1">
      <c r="A462" s="193"/>
      <c r="B462" s="296"/>
      <c r="C462" s="195"/>
      <c r="D462" s="157" t="s">
        <v>149</v>
      </c>
      <c r="E462" s="198"/>
      <c r="F462" s="198"/>
      <c r="G462" s="194">
        <v>2000</v>
      </c>
      <c r="H462" s="194"/>
      <c r="I462" s="198"/>
      <c r="J462" s="198"/>
      <c r="K462" s="198"/>
      <c r="L462" s="272">
        <f t="shared" si="95"/>
        <v>2000</v>
      </c>
      <c r="M462" s="194"/>
      <c r="N462" s="194"/>
      <c r="O462" s="194"/>
      <c r="P462" s="194"/>
      <c r="Q462" s="200">
        <f aca="true" t="shared" si="96" ref="Q462:Q468">SUM(L462:P462)</f>
        <v>2000</v>
      </c>
      <c r="R462" s="364"/>
    </row>
    <row r="463" spans="1:18" ht="10.5" customHeight="1">
      <c r="A463" s="193"/>
      <c r="B463" s="296"/>
      <c r="C463" s="195"/>
      <c r="D463" s="157" t="s">
        <v>150</v>
      </c>
      <c r="E463" s="198"/>
      <c r="F463" s="198"/>
      <c r="G463" s="194">
        <v>2000</v>
      </c>
      <c r="H463" s="194"/>
      <c r="I463" s="198"/>
      <c r="J463" s="198"/>
      <c r="K463" s="198"/>
      <c r="L463" s="272">
        <f t="shared" si="95"/>
        <v>2000</v>
      </c>
      <c r="M463" s="194"/>
      <c r="N463" s="194"/>
      <c r="O463" s="194"/>
      <c r="P463" s="194"/>
      <c r="Q463" s="200">
        <f t="shared" si="96"/>
        <v>2000</v>
      </c>
      <c r="R463" s="364"/>
    </row>
    <row r="464" spans="1:18" ht="10.5" customHeight="1">
      <c r="A464" s="193"/>
      <c r="B464" s="296"/>
      <c r="C464" s="195"/>
      <c r="D464" s="155" t="s">
        <v>151</v>
      </c>
      <c r="E464" s="198"/>
      <c r="F464" s="198"/>
      <c r="G464" s="194">
        <v>1231</v>
      </c>
      <c r="H464" s="194"/>
      <c r="I464" s="198"/>
      <c r="J464" s="198"/>
      <c r="K464" s="198"/>
      <c r="L464" s="272">
        <f t="shared" si="95"/>
        <v>1231</v>
      </c>
      <c r="M464" s="194"/>
      <c r="N464" s="194"/>
      <c r="O464" s="194"/>
      <c r="P464" s="194"/>
      <c r="Q464" s="200">
        <f t="shared" si="96"/>
        <v>1231</v>
      </c>
      <c r="R464" s="364"/>
    </row>
    <row r="465" spans="1:18" ht="10.5" customHeight="1">
      <c r="A465" s="193"/>
      <c r="B465" s="296" t="s">
        <v>7</v>
      </c>
      <c r="C465" s="195" t="s">
        <v>111</v>
      </c>
      <c r="D465" s="196" t="s">
        <v>183</v>
      </c>
      <c r="E465" s="198"/>
      <c r="F465" s="198"/>
      <c r="G465" s="194"/>
      <c r="H465" s="194"/>
      <c r="I465" s="198"/>
      <c r="J465" s="198"/>
      <c r="K465" s="198"/>
      <c r="L465" s="272"/>
      <c r="M465" s="194"/>
      <c r="N465" s="194"/>
      <c r="O465" s="194"/>
      <c r="P465" s="194"/>
      <c r="Q465" s="200"/>
      <c r="R465" s="364"/>
    </row>
    <row r="466" spans="1:18" ht="10.5" customHeight="1">
      <c r="A466" s="193"/>
      <c r="B466" s="296"/>
      <c r="C466" s="195"/>
      <c r="D466" s="157" t="s">
        <v>149</v>
      </c>
      <c r="E466" s="198"/>
      <c r="F466" s="198"/>
      <c r="G466" s="194"/>
      <c r="H466" s="194"/>
      <c r="I466" s="198">
        <v>800</v>
      </c>
      <c r="J466" s="198"/>
      <c r="K466" s="198"/>
      <c r="L466" s="272">
        <f t="shared" si="95"/>
        <v>800</v>
      </c>
      <c r="M466" s="194"/>
      <c r="N466" s="194"/>
      <c r="O466" s="194"/>
      <c r="P466" s="194"/>
      <c r="Q466" s="200">
        <f t="shared" si="96"/>
        <v>800</v>
      </c>
      <c r="R466" s="364"/>
    </row>
    <row r="467" spans="1:18" ht="10.5" customHeight="1">
      <c r="A467" s="193"/>
      <c r="B467" s="296"/>
      <c r="C467" s="195"/>
      <c r="D467" s="157" t="s">
        <v>150</v>
      </c>
      <c r="E467" s="198"/>
      <c r="F467" s="198"/>
      <c r="G467" s="194"/>
      <c r="H467" s="194"/>
      <c r="I467" s="198">
        <v>1050</v>
      </c>
      <c r="J467" s="198"/>
      <c r="K467" s="198"/>
      <c r="L467" s="272">
        <f t="shared" si="95"/>
        <v>1050</v>
      </c>
      <c r="M467" s="194"/>
      <c r="N467" s="194"/>
      <c r="O467" s="194"/>
      <c r="P467" s="194"/>
      <c r="Q467" s="200">
        <f t="shared" si="96"/>
        <v>1050</v>
      </c>
      <c r="R467" s="364"/>
    </row>
    <row r="468" spans="1:18" ht="10.5" customHeight="1">
      <c r="A468" s="193"/>
      <c r="B468" s="296"/>
      <c r="C468" s="195"/>
      <c r="D468" s="155" t="s">
        <v>151</v>
      </c>
      <c r="E468" s="198"/>
      <c r="F468" s="198"/>
      <c r="G468" s="194"/>
      <c r="H468" s="194"/>
      <c r="I468" s="198">
        <v>650</v>
      </c>
      <c r="J468" s="198"/>
      <c r="K468" s="198"/>
      <c r="L468" s="272">
        <f t="shared" si="95"/>
        <v>650</v>
      </c>
      <c r="M468" s="194"/>
      <c r="N468" s="194"/>
      <c r="O468" s="194"/>
      <c r="P468" s="194"/>
      <c r="Q468" s="200">
        <f t="shared" si="96"/>
        <v>650</v>
      </c>
      <c r="R468" s="364"/>
    </row>
    <row r="469" spans="1:18" ht="10.5" customHeight="1">
      <c r="A469" s="193"/>
      <c r="B469" s="296" t="s">
        <v>8</v>
      </c>
      <c r="C469" s="195" t="s">
        <v>111</v>
      </c>
      <c r="D469" s="1601" t="s">
        <v>134</v>
      </c>
      <c r="E469" s="1602"/>
      <c r="F469" s="1603"/>
      <c r="G469" s="194"/>
      <c r="H469" s="194"/>
      <c r="I469" s="198"/>
      <c r="J469" s="198"/>
      <c r="K469" s="198"/>
      <c r="L469" s="272"/>
      <c r="M469" s="194"/>
      <c r="N469" s="194"/>
      <c r="O469" s="194"/>
      <c r="P469" s="194"/>
      <c r="Q469" s="200"/>
      <c r="R469" s="364"/>
    </row>
    <row r="470" spans="1:18" ht="10.5" customHeight="1">
      <c r="A470" s="193"/>
      <c r="B470" s="296"/>
      <c r="C470" s="195"/>
      <c r="D470" s="157" t="s">
        <v>149</v>
      </c>
      <c r="E470" s="198"/>
      <c r="F470" s="198"/>
      <c r="G470" s="194"/>
      <c r="H470" s="194"/>
      <c r="I470" s="198">
        <v>500</v>
      </c>
      <c r="J470" s="198"/>
      <c r="K470" s="198"/>
      <c r="L470" s="272">
        <f t="shared" si="95"/>
        <v>500</v>
      </c>
      <c r="M470" s="194"/>
      <c r="N470" s="194"/>
      <c r="O470" s="194"/>
      <c r="P470" s="194"/>
      <c r="Q470" s="200">
        <f>SUM(L470:P470)</f>
        <v>500</v>
      </c>
      <c r="R470" s="364"/>
    </row>
    <row r="471" spans="1:18" ht="10.5" customHeight="1">
      <c r="A471" s="193"/>
      <c r="B471" s="296"/>
      <c r="C471" s="195"/>
      <c r="D471" s="157" t="s">
        <v>150</v>
      </c>
      <c r="E471" s="198"/>
      <c r="F471" s="198"/>
      <c r="G471" s="194"/>
      <c r="H471" s="194"/>
      <c r="I471" s="198">
        <v>700</v>
      </c>
      <c r="J471" s="198"/>
      <c r="K471" s="198"/>
      <c r="L471" s="272">
        <f t="shared" si="95"/>
        <v>700</v>
      </c>
      <c r="M471" s="194"/>
      <c r="N471" s="194"/>
      <c r="O471" s="194"/>
      <c r="P471" s="194"/>
      <c r="Q471" s="200">
        <f>SUM(L471:P471)</f>
        <v>700</v>
      </c>
      <c r="R471" s="364"/>
    </row>
    <row r="472" spans="1:18" ht="10.5" customHeight="1">
      <c r="A472" s="193"/>
      <c r="B472" s="296"/>
      <c r="C472" s="195"/>
      <c r="D472" s="155" t="s">
        <v>151</v>
      </c>
      <c r="E472" s="198"/>
      <c r="F472" s="198"/>
      <c r="G472" s="194"/>
      <c r="H472" s="194"/>
      <c r="I472" s="198">
        <v>700</v>
      </c>
      <c r="J472" s="198"/>
      <c r="K472" s="198"/>
      <c r="L472" s="272">
        <f>SUM(E472:K472)</f>
        <v>700</v>
      </c>
      <c r="M472" s="194"/>
      <c r="N472" s="194"/>
      <c r="O472" s="194"/>
      <c r="P472" s="194"/>
      <c r="Q472" s="200">
        <f>SUM(L472:P472)</f>
        <v>700</v>
      </c>
      <c r="R472" s="364"/>
    </row>
    <row r="473" spans="1:18" ht="24.75" customHeight="1">
      <c r="A473" s="193"/>
      <c r="B473" s="296" t="s">
        <v>9</v>
      </c>
      <c r="C473" s="195" t="s">
        <v>111</v>
      </c>
      <c r="D473" s="1601" t="s">
        <v>797</v>
      </c>
      <c r="E473" s="1602"/>
      <c r="F473" s="1603"/>
      <c r="G473" s="194"/>
      <c r="H473" s="194"/>
      <c r="I473" s="198"/>
      <c r="J473" s="198"/>
      <c r="K473" s="198"/>
      <c r="L473" s="272"/>
      <c r="M473" s="194"/>
      <c r="N473" s="194"/>
      <c r="O473" s="194"/>
      <c r="P473" s="194"/>
      <c r="Q473" s="200"/>
      <c r="R473" s="364"/>
    </row>
    <row r="474" spans="1:18" ht="12" customHeight="1">
      <c r="A474" s="193"/>
      <c r="B474" s="296"/>
      <c r="C474" s="195"/>
      <c r="D474" s="157" t="s">
        <v>149</v>
      </c>
      <c r="E474" s="198">
        <v>0</v>
      </c>
      <c r="F474" s="198">
        <v>0</v>
      </c>
      <c r="G474" s="194">
        <v>0</v>
      </c>
      <c r="H474" s="194"/>
      <c r="I474" s="198"/>
      <c r="J474" s="198"/>
      <c r="K474" s="198"/>
      <c r="L474" s="272">
        <f t="shared" si="95"/>
        <v>0</v>
      </c>
      <c r="M474" s="194">
        <v>0</v>
      </c>
      <c r="N474" s="194"/>
      <c r="O474" s="194"/>
      <c r="P474" s="194"/>
      <c r="Q474" s="200">
        <f>SUM(L474:P474)</f>
        <v>0</v>
      </c>
      <c r="R474" s="364"/>
    </row>
    <row r="475" spans="1:18" ht="12" customHeight="1">
      <c r="A475" s="193"/>
      <c r="B475" s="296"/>
      <c r="C475" s="195"/>
      <c r="D475" s="157" t="s">
        <v>150</v>
      </c>
      <c r="E475" s="198">
        <v>79</v>
      </c>
      <c r="F475" s="198">
        <v>65</v>
      </c>
      <c r="G475" s="194">
        <v>8519</v>
      </c>
      <c r="H475" s="194"/>
      <c r="I475" s="198"/>
      <c r="J475" s="198"/>
      <c r="K475" s="198"/>
      <c r="L475" s="272">
        <f t="shared" si="95"/>
        <v>8663</v>
      </c>
      <c r="M475" s="194">
        <v>6000</v>
      </c>
      <c r="N475" s="194"/>
      <c r="O475" s="194"/>
      <c r="P475" s="194"/>
      <c r="Q475" s="200">
        <f>SUM(L475:P475)</f>
        <v>14663</v>
      </c>
      <c r="R475" s="364"/>
    </row>
    <row r="476" spans="1:18" ht="12" customHeight="1" thickBot="1">
      <c r="A476" s="193"/>
      <c r="B476" s="296"/>
      <c r="C476" s="195"/>
      <c r="D476" s="155" t="s">
        <v>151</v>
      </c>
      <c r="E476" s="198">
        <v>79</v>
      </c>
      <c r="F476" s="198">
        <v>64</v>
      </c>
      <c r="G476" s="194">
        <v>6274</v>
      </c>
      <c r="H476" s="194"/>
      <c r="I476" s="198"/>
      <c r="J476" s="198"/>
      <c r="K476" s="198"/>
      <c r="L476" s="272">
        <f t="shared" si="95"/>
        <v>6417</v>
      </c>
      <c r="M476" s="194">
        <v>5862</v>
      </c>
      <c r="N476" s="194"/>
      <c r="O476" s="194"/>
      <c r="P476" s="194"/>
      <c r="Q476" s="200">
        <f>SUM(L476:P476)</f>
        <v>12279</v>
      </c>
      <c r="R476" s="364"/>
    </row>
    <row r="477" spans="1:18" s="16" customFormat="1" ht="12.75" customHeight="1">
      <c r="A477" s="263">
        <v>29</v>
      </c>
      <c r="B477" s="256"/>
      <c r="C477" s="273"/>
      <c r="D477" s="257" t="s">
        <v>85</v>
      </c>
      <c r="E477" s="282"/>
      <c r="F477" s="282"/>
      <c r="G477" s="224"/>
      <c r="H477" s="282"/>
      <c r="I477" s="282"/>
      <c r="J477" s="282"/>
      <c r="K477" s="282"/>
      <c r="L477" s="282"/>
      <c r="M477" s="282"/>
      <c r="N477" s="282"/>
      <c r="O477" s="282"/>
      <c r="P477" s="282"/>
      <c r="Q477" s="257"/>
      <c r="R477" s="466"/>
    </row>
    <row r="478" spans="1:18" s="16" customFormat="1" ht="12.75" customHeight="1">
      <c r="A478" s="193"/>
      <c r="B478" s="199"/>
      <c r="C478" s="294"/>
      <c r="D478" s="375" t="s">
        <v>149</v>
      </c>
      <c r="E478" s="272">
        <f>E482+E485</f>
        <v>0</v>
      </c>
      <c r="F478" s="272">
        <f aca="true" t="shared" si="97" ref="F478:K478">F482+F485</f>
        <v>0</v>
      </c>
      <c r="G478" s="272">
        <f t="shared" si="97"/>
        <v>38000</v>
      </c>
      <c r="H478" s="272">
        <f t="shared" si="97"/>
        <v>0</v>
      </c>
      <c r="I478" s="272">
        <f t="shared" si="97"/>
        <v>0</v>
      </c>
      <c r="J478" s="272">
        <f t="shared" si="97"/>
        <v>0</v>
      </c>
      <c r="K478" s="272">
        <f t="shared" si="97"/>
        <v>0</v>
      </c>
      <c r="L478" s="272">
        <f>SUM(E478:K478)</f>
        <v>38000</v>
      </c>
      <c r="M478" s="272">
        <f aca="true" t="shared" si="98" ref="M478:P480">M482+M485</f>
        <v>0</v>
      </c>
      <c r="N478" s="272">
        <f t="shared" si="98"/>
        <v>0</v>
      </c>
      <c r="O478" s="272">
        <f t="shared" si="98"/>
        <v>0</v>
      </c>
      <c r="P478" s="272">
        <f t="shared" si="98"/>
        <v>0</v>
      </c>
      <c r="Q478" s="272">
        <f>SUM(L478:P478)</f>
        <v>38000</v>
      </c>
      <c r="R478" s="364"/>
    </row>
    <row r="479" spans="1:18" s="16" customFormat="1" ht="12.75" customHeight="1">
      <c r="A479" s="193"/>
      <c r="B479" s="199"/>
      <c r="C479" s="294"/>
      <c r="D479" s="375" t="s">
        <v>150</v>
      </c>
      <c r="E479" s="272">
        <f aca="true" t="shared" si="99" ref="E479:K480">E483+E486</f>
        <v>0</v>
      </c>
      <c r="F479" s="272">
        <f t="shared" si="99"/>
        <v>0</v>
      </c>
      <c r="G479" s="272">
        <f t="shared" si="99"/>
        <v>61900</v>
      </c>
      <c r="H479" s="272">
        <f t="shared" si="99"/>
        <v>0</v>
      </c>
      <c r="I479" s="272">
        <f t="shared" si="99"/>
        <v>0</v>
      </c>
      <c r="J479" s="272">
        <f t="shared" si="99"/>
        <v>0</v>
      </c>
      <c r="K479" s="272">
        <f t="shared" si="99"/>
        <v>0</v>
      </c>
      <c r="L479" s="272">
        <f>SUM(E479:K479)</f>
        <v>61900</v>
      </c>
      <c r="M479" s="272">
        <f t="shared" si="98"/>
        <v>20732</v>
      </c>
      <c r="N479" s="272">
        <f t="shared" si="98"/>
        <v>0</v>
      </c>
      <c r="O479" s="272">
        <f t="shared" si="98"/>
        <v>0</v>
      </c>
      <c r="P479" s="272">
        <f t="shared" si="98"/>
        <v>0</v>
      </c>
      <c r="Q479" s="272">
        <f>SUM(L479:P479)</f>
        <v>82632</v>
      </c>
      <c r="R479" s="364"/>
    </row>
    <row r="480" spans="1:18" s="16" customFormat="1" ht="12.75" customHeight="1">
      <c r="A480" s="193"/>
      <c r="B480" s="199"/>
      <c r="C480" s="294"/>
      <c r="D480" s="370" t="s">
        <v>151</v>
      </c>
      <c r="E480" s="272">
        <f t="shared" si="99"/>
        <v>0</v>
      </c>
      <c r="F480" s="272">
        <f t="shared" si="99"/>
        <v>0</v>
      </c>
      <c r="G480" s="272">
        <f t="shared" si="99"/>
        <v>40680</v>
      </c>
      <c r="H480" s="272">
        <f t="shared" si="99"/>
        <v>0</v>
      </c>
      <c r="I480" s="272">
        <f t="shared" si="99"/>
        <v>0</v>
      </c>
      <c r="J480" s="272">
        <f t="shared" si="99"/>
        <v>0</v>
      </c>
      <c r="K480" s="272">
        <f t="shared" si="99"/>
        <v>0</v>
      </c>
      <c r="L480" s="272">
        <f>SUM(E480:K480)</f>
        <v>40680</v>
      </c>
      <c r="M480" s="272">
        <f t="shared" si="98"/>
        <v>17726</v>
      </c>
      <c r="N480" s="272">
        <f t="shared" si="98"/>
        <v>0</v>
      </c>
      <c r="O480" s="272">
        <f t="shared" si="98"/>
        <v>0</v>
      </c>
      <c r="P480" s="272">
        <f t="shared" si="98"/>
        <v>0</v>
      </c>
      <c r="Q480" s="272">
        <f>SUM(L480:P480)</f>
        <v>58406</v>
      </c>
      <c r="R480" s="364"/>
    </row>
    <row r="481" spans="1:18" ht="14.25" customHeight="1">
      <c r="A481" s="205"/>
      <c r="B481" s="206" t="s">
        <v>4</v>
      </c>
      <c r="C481" s="207"/>
      <c r="D481" s="752" t="s">
        <v>991</v>
      </c>
      <c r="E481" s="753"/>
      <c r="F481" s="754"/>
      <c r="G481" s="208"/>
      <c r="H481" s="197"/>
      <c r="I481" s="197"/>
      <c r="J481" s="197"/>
      <c r="K481" s="197"/>
      <c r="L481" s="220"/>
      <c r="M481" s="197"/>
      <c r="N481" s="197"/>
      <c r="O481" s="197"/>
      <c r="P481" s="197"/>
      <c r="Q481" s="243"/>
      <c r="R481" s="453"/>
    </row>
    <row r="482" spans="1:18" ht="12" customHeight="1">
      <c r="A482" s="266"/>
      <c r="B482" s="209"/>
      <c r="C482" s="268" t="s">
        <v>111</v>
      </c>
      <c r="D482" s="157" t="s">
        <v>149</v>
      </c>
      <c r="E482" s="211"/>
      <c r="F482" s="211"/>
      <c r="G482" s="269">
        <v>38000</v>
      </c>
      <c r="H482" s="211"/>
      <c r="I482" s="211"/>
      <c r="J482" s="211"/>
      <c r="K482" s="211"/>
      <c r="L482" s="270">
        <f aca="true" t="shared" si="100" ref="L482:L487">SUM(E482:K482)</f>
        <v>38000</v>
      </c>
      <c r="M482" s="211">
        <v>0</v>
      </c>
      <c r="N482" s="211"/>
      <c r="O482" s="211"/>
      <c r="P482" s="211"/>
      <c r="Q482" s="271">
        <f aca="true" t="shared" si="101" ref="Q482:Q487">SUM(L482:P482)</f>
        <v>38000</v>
      </c>
      <c r="R482" s="481"/>
    </row>
    <row r="483" spans="1:18" ht="12" customHeight="1">
      <c r="A483" s="266"/>
      <c r="B483" s="209"/>
      <c r="C483" s="268"/>
      <c r="D483" s="157" t="s">
        <v>150</v>
      </c>
      <c r="E483" s="211"/>
      <c r="F483" s="211"/>
      <c r="G483" s="269">
        <v>41900</v>
      </c>
      <c r="H483" s="211"/>
      <c r="I483" s="211"/>
      <c r="J483" s="211"/>
      <c r="K483" s="211"/>
      <c r="L483" s="270">
        <f t="shared" si="100"/>
        <v>41900</v>
      </c>
      <c r="M483" s="211">
        <v>5482</v>
      </c>
      <c r="N483" s="211"/>
      <c r="O483" s="211"/>
      <c r="P483" s="211"/>
      <c r="Q483" s="271">
        <f t="shared" si="101"/>
        <v>47382</v>
      </c>
      <c r="R483" s="481"/>
    </row>
    <row r="484" spans="1:18" ht="12" customHeight="1">
      <c r="A484" s="266"/>
      <c r="B484" s="209"/>
      <c r="C484" s="268"/>
      <c r="D484" s="136" t="s">
        <v>151</v>
      </c>
      <c r="E484" s="211"/>
      <c r="F484" s="211"/>
      <c r="G484" s="269">
        <v>34140</v>
      </c>
      <c r="H484" s="211"/>
      <c r="I484" s="211"/>
      <c r="J484" s="211"/>
      <c r="K484" s="211"/>
      <c r="L484" s="270">
        <f t="shared" si="100"/>
        <v>34140</v>
      </c>
      <c r="M484" s="211">
        <f>681+1800</f>
        <v>2481</v>
      </c>
      <c r="N484" s="211"/>
      <c r="O484" s="211"/>
      <c r="P484" s="211"/>
      <c r="Q484" s="271">
        <f t="shared" si="101"/>
        <v>36621</v>
      </c>
      <c r="R484" s="481"/>
    </row>
    <row r="485" spans="1:18" ht="12" customHeight="1">
      <c r="A485" s="205"/>
      <c r="B485" s="206"/>
      <c r="C485" s="207" t="s">
        <v>110</v>
      </c>
      <c r="D485" s="157" t="s">
        <v>149</v>
      </c>
      <c r="E485" s="197"/>
      <c r="F485" s="197"/>
      <c r="G485" s="208">
        <v>0</v>
      </c>
      <c r="H485" s="197"/>
      <c r="I485" s="197"/>
      <c r="J485" s="197"/>
      <c r="K485" s="197"/>
      <c r="L485" s="220">
        <f t="shared" si="100"/>
        <v>0</v>
      </c>
      <c r="M485" s="197">
        <v>0</v>
      </c>
      <c r="N485" s="197"/>
      <c r="O485" s="197"/>
      <c r="P485" s="197"/>
      <c r="Q485" s="243">
        <f t="shared" si="101"/>
        <v>0</v>
      </c>
      <c r="R485" s="453"/>
    </row>
    <row r="486" spans="1:18" ht="12" customHeight="1">
      <c r="A486" s="205"/>
      <c r="B486" s="206"/>
      <c r="C486" s="207"/>
      <c r="D486" s="157" t="s">
        <v>150</v>
      </c>
      <c r="E486" s="197"/>
      <c r="F486" s="197"/>
      <c r="G486" s="208">
        <v>20000</v>
      </c>
      <c r="H486" s="197"/>
      <c r="I486" s="197"/>
      <c r="J486" s="197"/>
      <c r="K486" s="197"/>
      <c r="L486" s="220">
        <f t="shared" si="100"/>
        <v>20000</v>
      </c>
      <c r="M486" s="197">
        <v>15250</v>
      </c>
      <c r="N486" s="197"/>
      <c r="O486" s="197"/>
      <c r="P486" s="197"/>
      <c r="Q486" s="243">
        <f t="shared" si="101"/>
        <v>35250</v>
      </c>
      <c r="R486" s="453"/>
    </row>
    <row r="487" spans="1:18" ht="12" customHeight="1" thickBot="1">
      <c r="A487" s="244"/>
      <c r="B487" s="227"/>
      <c r="C487" s="245"/>
      <c r="D487" s="246" t="s">
        <v>151</v>
      </c>
      <c r="E487" s="247"/>
      <c r="F487" s="247"/>
      <c r="G487" s="276">
        <v>6540</v>
      </c>
      <c r="H487" s="247"/>
      <c r="I487" s="247"/>
      <c r="J487" s="247"/>
      <c r="K487" s="247"/>
      <c r="L487" s="248">
        <f t="shared" si="100"/>
        <v>6540</v>
      </c>
      <c r="M487" s="247">
        <v>15245</v>
      </c>
      <c r="N487" s="247"/>
      <c r="O487" s="247"/>
      <c r="P487" s="247"/>
      <c r="Q487" s="262">
        <f t="shared" si="101"/>
        <v>21785</v>
      </c>
      <c r="R487" s="455"/>
    </row>
    <row r="488" spans="1:18" ht="12" customHeight="1">
      <c r="A488" s="263">
        <v>30</v>
      </c>
      <c r="B488" s="256"/>
      <c r="C488" s="223"/>
      <c r="D488" s="350" t="s">
        <v>184</v>
      </c>
      <c r="E488" s="359"/>
      <c r="F488" s="359"/>
      <c r="G488" s="264"/>
      <c r="H488" s="359"/>
      <c r="I488" s="359"/>
      <c r="J488" s="359"/>
      <c r="K488" s="359"/>
      <c r="L488" s="282"/>
      <c r="M488" s="359"/>
      <c r="N488" s="359"/>
      <c r="O488" s="359"/>
      <c r="P488" s="359"/>
      <c r="Q488" s="257"/>
      <c r="R488" s="466"/>
    </row>
    <row r="489" spans="1:18" ht="12" customHeight="1">
      <c r="A489" s="205"/>
      <c r="B489" s="206"/>
      <c r="C489" s="207"/>
      <c r="D489" s="375" t="s">
        <v>149</v>
      </c>
      <c r="E489" s="220">
        <f>E493+E497+E501+E505+E509+E513</f>
        <v>0</v>
      </c>
      <c r="F489" s="220">
        <f aca="true" t="shared" si="102" ref="F489:K489">F493+F497+F501+F505+F509+F513</f>
        <v>0</v>
      </c>
      <c r="G489" s="220">
        <f t="shared" si="102"/>
        <v>0</v>
      </c>
      <c r="H489" s="220">
        <f t="shared" si="102"/>
        <v>0</v>
      </c>
      <c r="I489" s="220">
        <f t="shared" si="102"/>
        <v>27680</v>
      </c>
      <c r="J489" s="220">
        <f t="shared" si="102"/>
        <v>0</v>
      </c>
      <c r="K489" s="220">
        <f t="shared" si="102"/>
        <v>0</v>
      </c>
      <c r="L489" s="220">
        <f>SUM(E489:K489)</f>
        <v>27680</v>
      </c>
      <c r="M489" s="220">
        <f aca="true" t="shared" si="103" ref="M489:P491">M493+M497+M501+M505+M509</f>
        <v>0</v>
      </c>
      <c r="N489" s="220">
        <f t="shared" si="103"/>
        <v>5000</v>
      </c>
      <c r="O489" s="220"/>
      <c r="P489" s="220">
        <f t="shared" si="103"/>
        <v>0</v>
      </c>
      <c r="Q489" s="243">
        <f>SUM(L489:P489)</f>
        <v>32680</v>
      </c>
      <c r="R489" s="453"/>
    </row>
    <row r="490" spans="1:18" ht="12" customHeight="1">
      <c r="A490" s="205"/>
      <c r="B490" s="206"/>
      <c r="C490" s="207"/>
      <c r="D490" s="375" t="s">
        <v>150</v>
      </c>
      <c r="E490" s="220">
        <f aca="true" t="shared" si="104" ref="E490:K491">E494+E498+E502+E506+E510+E514</f>
        <v>0</v>
      </c>
      <c r="F490" s="220">
        <f t="shared" si="104"/>
        <v>0</v>
      </c>
      <c r="G490" s="220">
        <f t="shared" si="104"/>
        <v>0</v>
      </c>
      <c r="H490" s="220">
        <f t="shared" si="104"/>
        <v>0</v>
      </c>
      <c r="I490" s="220">
        <f t="shared" si="104"/>
        <v>39400</v>
      </c>
      <c r="J490" s="220">
        <f t="shared" si="104"/>
        <v>0</v>
      </c>
      <c r="K490" s="220">
        <f t="shared" si="104"/>
        <v>0</v>
      </c>
      <c r="L490" s="220">
        <f aca="true" t="shared" si="105" ref="L490:L511">SUM(E490:K490)</f>
        <v>39400</v>
      </c>
      <c r="M490" s="220">
        <f t="shared" si="103"/>
        <v>5955</v>
      </c>
      <c r="N490" s="220">
        <f t="shared" si="103"/>
        <v>22231</v>
      </c>
      <c r="O490" s="220"/>
      <c r="P490" s="220">
        <f t="shared" si="103"/>
        <v>0</v>
      </c>
      <c r="Q490" s="243">
        <f aca="true" t="shared" si="106" ref="Q490:Q511">SUM(L490:P490)</f>
        <v>67586</v>
      </c>
      <c r="R490" s="453"/>
    </row>
    <row r="491" spans="1:18" ht="12" customHeight="1">
      <c r="A491" s="205"/>
      <c r="B491" s="206"/>
      <c r="C491" s="207"/>
      <c r="D491" s="375" t="s">
        <v>151</v>
      </c>
      <c r="E491" s="220">
        <f t="shared" si="104"/>
        <v>0</v>
      </c>
      <c r="F491" s="220">
        <f t="shared" si="104"/>
        <v>0</v>
      </c>
      <c r="G491" s="220">
        <f t="shared" si="104"/>
        <v>0</v>
      </c>
      <c r="H491" s="220">
        <f t="shared" si="104"/>
        <v>0</v>
      </c>
      <c r="I491" s="220">
        <f t="shared" si="104"/>
        <v>37540</v>
      </c>
      <c r="J491" s="220">
        <f t="shared" si="104"/>
        <v>0</v>
      </c>
      <c r="K491" s="220">
        <f t="shared" si="104"/>
        <v>0</v>
      </c>
      <c r="L491" s="220">
        <f t="shared" si="105"/>
        <v>37540</v>
      </c>
      <c r="M491" s="220">
        <f t="shared" si="103"/>
        <v>0</v>
      </c>
      <c r="N491" s="220">
        <f t="shared" si="103"/>
        <v>2858</v>
      </c>
      <c r="O491" s="220"/>
      <c r="P491" s="220">
        <f t="shared" si="103"/>
        <v>0</v>
      </c>
      <c r="Q491" s="243">
        <f t="shared" si="106"/>
        <v>40398</v>
      </c>
      <c r="R491" s="453"/>
    </row>
    <row r="492" spans="1:18" ht="12" customHeight="1">
      <c r="A492" s="205"/>
      <c r="B492" s="206" t="s">
        <v>4</v>
      </c>
      <c r="C492" s="207" t="s">
        <v>111</v>
      </c>
      <c r="D492" s="235" t="s">
        <v>185</v>
      </c>
      <c r="E492" s="197"/>
      <c r="F492" s="197"/>
      <c r="G492" s="208"/>
      <c r="H492" s="197"/>
      <c r="I492" s="197"/>
      <c r="J492" s="197"/>
      <c r="K492" s="197"/>
      <c r="L492" s="220"/>
      <c r="M492" s="197"/>
      <c r="N492" s="197"/>
      <c r="O492" s="197"/>
      <c r="P492" s="197"/>
      <c r="Q492" s="243"/>
      <c r="R492" s="453"/>
    </row>
    <row r="493" spans="1:18" ht="12" customHeight="1">
      <c r="A493" s="205"/>
      <c r="B493" s="206"/>
      <c r="C493" s="207"/>
      <c r="D493" s="157" t="s">
        <v>149</v>
      </c>
      <c r="E493" s="197"/>
      <c r="F493" s="197"/>
      <c r="G493" s="208"/>
      <c r="H493" s="197"/>
      <c r="I493" s="197">
        <v>530</v>
      </c>
      <c r="J493" s="197"/>
      <c r="K493" s="197"/>
      <c r="L493" s="220">
        <f t="shared" si="105"/>
        <v>530</v>
      </c>
      <c r="M493" s="197"/>
      <c r="N493" s="197">
        <v>0</v>
      </c>
      <c r="O493" s="197"/>
      <c r="P493" s="197"/>
      <c r="Q493" s="243">
        <f t="shared" si="106"/>
        <v>530</v>
      </c>
      <c r="R493" s="453"/>
    </row>
    <row r="494" spans="1:18" ht="12" customHeight="1">
      <c r="A494" s="205"/>
      <c r="B494" s="206"/>
      <c r="C494" s="207"/>
      <c r="D494" s="157" t="s">
        <v>150</v>
      </c>
      <c r="E494" s="197"/>
      <c r="F494" s="197"/>
      <c r="G494" s="208"/>
      <c r="H494" s="197"/>
      <c r="I494" s="197">
        <v>1060</v>
      </c>
      <c r="J494" s="197"/>
      <c r="K494" s="197"/>
      <c r="L494" s="220">
        <f t="shared" si="105"/>
        <v>1060</v>
      </c>
      <c r="M494" s="197"/>
      <c r="N494" s="197">
        <v>22231</v>
      </c>
      <c r="O494" s="197"/>
      <c r="P494" s="197"/>
      <c r="Q494" s="243">
        <f t="shared" si="106"/>
        <v>23291</v>
      </c>
      <c r="R494" s="453"/>
    </row>
    <row r="495" spans="1:18" ht="12" customHeight="1">
      <c r="A495" s="205"/>
      <c r="B495" s="206"/>
      <c r="C495" s="207"/>
      <c r="D495" s="157" t="s">
        <v>151</v>
      </c>
      <c r="E495" s="197"/>
      <c r="F495" s="197"/>
      <c r="G495" s="208"/>
      <c r="H495" s="197"/>
      <c r="I495" s="197">
        <v>1060</v>
      </c>
      <c r="J495" s="197"/>
      <c r="K495" s="197"/>
      <c r="L495" s="220">
        <f t="shared" si="105"/>
        <v>1060</v>
      </c>
      <c r="M495" s="197"/>
      <c r="N495" s="197">
        <v>2858</v>
      </c>
      <c r="O495" s="197"/>
      <c r="P495" s="197"/>
      <c r="Q495" s="243">
        <f t="shared" si="106"/>
        <v>3918</v>
      </c>
      <c r="R495" s="453"/>
    </row>
    <row r="496" spans="1:18" ht="12" customHeight="1">
      <c r="A496" s="205"/>
      <c r="B496" s="206" t="s">
        <v>5</v>
      </c>
      <c r="C496" s="207" t="s">
        <v>111</v>
      </c>
      <c r="D496" s="235" t="s">
        <v>136</v>
      </c>
      <c r="E496" s="197"/>
      <c r="F496" s="197"/>
      <c r="G496" s="208"/>
      <c r="H496" s="197"/>
      <c r="I496" s="197"/>
      <c r="J496" s="197"/>
      <c r="K496" s="197"/>
      <c r="L496" s="220"/>
      <c r="M496" s="197"/>
      <c r="N496" s="197"/>
      <c r="O496" s="197"/>
      <c r="P496" s="197"/>
      <c r="Q496" s="243"/>
      <c r="R496" s="453"/>
    </row>
    <row r="497" spans="1:18" ht="12" customHeight="1">
      <c r="A497" s="205"/>
      <c r="B497" s="206"/>
      <c r="C497" s="207"/>
      <c r="D497" s="157" t="s">
        <v>149</v>
      </c>
      <c r="E497" s="197"/>
      <c r="F497" s="197"/>
      <c r="G497" s="208"/>
      <c r="H497" s="197"/>
      <c r="I497" s="197">
        <v>530</v>
      </c>
      <c r="J497" s="197"/>
      <c r="K497" s="197"/>
      <c r="L497" s="220">
        <f t="shared" si="105"/>
        <v>530</v>
      </c>
      <c r="M497" s="197"/>
      <c r="N497" s="197"/>
      <c r="O497" s="197"/>
      <c r="P497" s="197"/>
      <c r="Q497" s="243">
        <f t="shared" si="106"/>
        <v>530</v>
      </c>
      <c r="R497" s="453"/>
    </row>
    <row r="498" spans="1:18" ht="12" customHeight="1">
      <c r="A498" s="205"/>
      <c r="B498" s="206"/>
      <c r="C498" s="207"/>
      <c r="D498" s="157" t="s">
        <v>150</v>
      </c>
      <c r="E498" s="197"/>
      <c r="F498" s="197"/>
      <c r="G498" s="208"/>
      <c r="H498" s="197"/>
      <c r="I498" s="197">
        <v>530</v>
      </c>
      <c r="J498" s="197"/>
      <c r="K498" s="197"/>
      <c r="L498" s="220">
        <f t="shared" si="105"/>
        <v>530</v>
      </c>
      <c r="M498" s="197"/>
      <c r="N498" s="197"/>
      <c r="O498" s="197"/>
      <c r="P498" s="197"/>
      <c r="Q498" s="243">
        <f t="shared" si="106"/>
        <v>530</v>
      </c>
      <c r="R498" s="453"/>
    </row>
    <row r="499" spans="1:18" ht="12" customHeight="1">
      <c r="A499" s="205"/>
      <c r="B499" s="206"/>
      <c r="C499" s="207"/>
      <c r="D499" s="157" t="s">
        <v>151</v>
      </c>
      <c r="E499" s="197"/>
      <c r="F499" s="197"/>
      <c r="G499" s="208"/>
      <c r="H499" s="197"/>
      <c r="I499" s="197">
        <v>0</v>
      </c>
      <c r="J499" s="197"/>
      <c r="K499" s="197"/>
      <c r="L499" s="220">
        <f t="shared" si="105"/>
        <v>0</v>
      </c>
      <c r="M499" s="197"/>
      <c r="N499" s="197"/>
      <c r="O499" s="197"/>
      <c r="P499" s="197"/>
      <c r="Q499" s="243">
        <f t="shared" si="106"/>
        <v>0</v>
      </c>
      <c r="R499" s="453"/>
    </row>
    <row r="500" spans="1:18" ht="12" customHeight="1">
      <c r="A500" s="205"/>
      <c r="B500" s="206" t="s">
        <v>6</v>
      </c>
      <c r="C500" s="207" t="s">
        <v>111</v>
      </c>
      <c r="D500" s="295" t="s">
        <v>138</v>
      </c>
      <c r="E500" s="197"/>
      <c r="F500" s="197"/>
      <c r="G500" s="208"/>
      <c r="H500" s="197"/>
      <c r="I500" s="197"/>
      <c r="J500" s="197"/>
      <c r="K500" s="197"/>
      <c r="L500" s="220"/>
      <c r="M500" s="197"/>
      <c r="N500" s="197"/>
      <c r="O500" s="197"/>
      <c r="P500" s="197"/>
      <c r="Q500" s="243"/>
      <c r="R500" s="453"/>
    </row>
    <row r="501" spans="1:18" ht="12" customHeight="1">
      <c r="A501" s="205"/>
      <c r="B501" s="206"/>
      <c r="C501" s="207"/>
      <c r="D501" s="157" t="s">
        <v>149</v>
      </c>
      <c r="E501" s="197"/>
      <c r="F501" s="197"/>
      <c r="G501" s="208"/>
      <c r="H501" s="197"/>
      <c r="I501" s="197">
        <v>400</v>
      </c>
      <c r="J501" s="197"/>
      <c r="K501" s="197"/>
      <c r="L501" s="220">
        <f t="shared" si="105"/>
        <v>400</v>
      </c>
      <c r="M501" s="197">
        <v>0</v>
      </c>
      <c r="N501" s="197">
        <v>5000</v>
      </c>
      <c r="O501" s="197"/>
      <c r="P501" s="197"/>
      <c r="Q501" s="243">
        <f t="shared" si="106"/>
        <v>5400</v>
      </c>
      <c r="R501" s="453"/>
    </row>
    <row r="502" spans="1:18" ht="12" customHeight="1">
      <c r="A502" s="205"/>
      <c r="B502" s="206"/>
      <c r="C502" s="207"/>
      <c r="D502" s="157" t="s">
        <v>150</v>
      </c>
      <c r="E502" s="197"/>
      <c r="F502" s="197"/>
      <c r="G502" s="208"/>
      <c r="H502" s="197"/>
      <c r="I502" s="197">
        <v>600</v>
      </c>
      <c r="J502" s="197"/>
      <c r="K502" s="197"/>
      <c r="L502" s="220">
        <f t="shared" si="105"/>
        <v>600</v>
      </c>
      <c r="M502" s="197">
        <v>5955</v>
      </c>
      <c r="N502" s="197">
        <v>0</v>
      </c>
      <c r="O502" s="197"/>
      <c r="P502" s="197"/>
      <c r="Q502" s="243">
        <f t="shared" si="106"/>
        <v>6555</v>
      </c>
      <c r="R502" s="453"/>
    </row>
    <row r="503" spans="1:18" ht="12" customHeight="1">
      <c r="A503" s="205"/>
      <c r="B503" s="206"/>
      <c r="C503" s="207"/>
      <c r="D503" s="157" t="s">
        <v>151</v>
      </c>
      <c r="E503" s="197"/>
      <c r="F503" s="197"/>
      <c r="G503" s="208"/>
      <c r="H503" s="197"/>
      <c r="I503" s="197">
        <v>400</v>
      </c>
      <c r="J503" s="197"/>
      <c r="K503" s="197"/>
      <c r="L503" s="220">
        <f t="shared" si="105"/>
        <v>400</v>
      </c>
      <c r="M503" s="197">
        <v>0</v>
      </c>
      <c r="N503" s="197">
        <v>0</v>
      </c>
      <c r="O503" s="197"/>
      <c r="P503" s="197"/>
      <c r="Q503" s="243">
        <f t="shared" si="106"/>
        <v>400</v>
      </c>
      <c r="R503" s="453"/>
    </row>
    <row r="504" spans="1:18" ht="12" customHeight="1">
      <c r="A504" s="205"/>
      <c r="B504" s="206" t="s">
        <v>7</v>
      </c>
      <c r="C504" s="207" t="s">
        <v>111</v>
      </c>
      <c r="D504" s="235" t="s">
        <v>186</v>
      </c>
      <c r="E504" s="197"/>
      <c r="F504" s="197"/>
      <c r="G504" s="208"/>
      <c r="H504" s="197"/>
      <c r="I504" s="197"/>
      <c r="J504" s="197"/>
      <c r="K504" s="197"/>
      <c r="L504" s="220"/>
      <c r="M504" s="197"/>
      <c r="N504" s="197"/>
      <c r="O504" s="197"/>
      <c r="P504" s="197"/>
      <c r="Q504" s="243"/>
      <c r="R504" s="453"/>
    </row>
    <row r="505" spans="1:18" ht="12" customHeight="1">
      <c r="A505" s="205"/>
      <c r="B505" s="206"/>
      <c r="C505" s="207"/>
      <c r="D505" s="157" t="s">
        <v>149</v>
      </c>
      <c r="E505" s="197"/>
      <c r="F505" s="197"/>
      <c r="G505" s="208"/>
      <c r="H505" s="197"/>
      <c r="I505" s="197">
        <v>690</v>
      </c>
      <c r="J505" s="197"/>
      <c r="K505" s="197"/>
      <c r="L505" s="220">
        <f t="shared" si="105"/>
        <v>690</v>
      </c>
      <c r="M505" s="197"/>
      <c r="N505" s="197"/>
      <c r="O505" s="197"/>
      <c r="P505" s="197"/>
      <c r="Q505" s="243">
        <f t="shared" si="106"/>
        <v>690</v>
      </c>
      <c r="R505" s="453"/>
    </row>
    <row r="506" spans="1:18" ht="12" customHeight="1">
      <c r="A506" s="205"/>
      <c r="B506" s="206"/>
      <c r="C506" s="207"/>
      <c r="D506" s="157" t="s">
        <v>150</v>
      </c>
      <c r="E506" s="197"/>
      <c r="F506" s="197"/>
      <c r="G506" s="208"/>
      <c r="H506" s="197"/>
      <c r="I506" s="197">
        <v>690</v>
      </c>
      <c r="J506" s="197"/>
      <c r="K506" s="197"/>
      <c r="L506" s="220">
        <f t="shared" si="105"/>
        <v>690</v>
      </c>
      <c r="M506" s="197"/>
      <c r="N506" s="197"/>
      <c r="O506" s="197"/>
      <c r="P506" s="197"/>
      <c r="Q506" s="243">
        <f t="shared" si="106"/>
        <v>690</v>
      </c>
      <c r="R506" s="453"/>
    </row>
    <row r="507" spans="1:18" ht="12" customHeight="1">
      <c r="A507" s="205"/>
      <c r="B507" s="206"/>
      <c r="C507" s="207"/>
      <c r="D507" s="157" t="s">
        <v>151</v>
      </c>
      <c r="E507" s="197"/>
      <c r="F507" s="197"/>
      <c r="G507" s="208"/>
      <c r="H507" s="197"/>
      <c r="I507" s="197">
        <v>690</v>
      </c>
      <c r="J507" s="197"/>
      <c r="K507" s="197"/>
      <c r="L507" s="220">
        <f t="shared" si="105"/>
        <v>690</v>
      </c>
      <c r="M507" s="197"/>
      <c r="N507" s="197"/>
      <c r="O507" s="197"/>
      <c r="P507" s="197"/>
      <c r="Q507" s="243">
        <f t="shared" si="106"/>
        <v>690</v>
      </c>
      <c r="R507" s="453"/>
    </row>
    <row r="508" spans="1:18" ht="12" customHeight="1">
      <c r="A508" s="205"/>
      <c r="B508" s="206" t="s">
        <v>8</v>
      </c>
      <c r="C508" s="207" t="s">
        <v>111</v>
      </c>
      <c r="D508" s="295" t="s">
        <v>187</v>
      </c>
      <c r="E508" s="197"/>
      <c r="F508" s="197"/>
      <c r="G508" s="208"/>
      <c r="H508" s="197"/>
      <c r="I508" s="197"/>
      <c r="J508" s="197"/>
      <c r="K508" s="197"/>
      <c r="L508" s="220"/>
      <c r="M508" s="197"/>
      <c r="N508" s="197"/>
      <c r="O508" s="197"/>
      <c r="P508" s="197"/>
      <c r="Q508" s="243"/>
      <c r="R508" s="453"/>
    </row>
    <row r="509" spans="1:18" ht="12" customHeight="1">
      <c r="A509" s="205"/>
      <c r="B509" s="206"/>
      <c r="C509" s="207"/>
      <c r="D509" s="157" t="s">
        <v>149</v>
      </c>
      <c r="E509" s="197"/>
      <c r="F509" s="197"/>
      <c r="G509" s="208"/>
      <c r="H509" s="197"/>
      <c r="I509" s="197">
        <v>1130</v>
      </c>
      <c r="J509" s="197"/>
      <c r="K509" s="197"/>
      <c r="L509" s="220">
        <f t="shared" si="105"/>
        <v>1130</v>
      </c>
      <c r="M509" s="197"/>
      <c r="N509" s="197"/>
      <c r="O509" s="197"/>
      <c r="P509" s="197"/>
      <c r="Q509" s="243">
        <f t="shared" si="106"/>
        <v>1130</v>
      </c>
      <c r="R509" s="453"/>
    </row>
    <row r="510" spans="1:18" ht="12" customHeight="1">
      <c r="A510" s="205"/>
      <c r="B510" s="206"/>
      <c r="C510" s="207"/>
      <c r="D510" s="157" t="s">
        <v>150</v>
      </c>
      <c r="E510" s="197"/>
      <c r="F510" s="197"/>
      <c r="G510" s="208"/>
      <c r="H510" s="197"/>
      <c r="I510" s="197">
        <v>1130</v>
      </c>
      <c r="J510" s="197"/>
      <c r="K510" s="197"/>
      <c r="L510" s="220">
        <f t="shared" si="105"/>
        <v>1130</v>
      </c>
      <c r="M510" s="197"/>
      <c r="N510" s="197"/>
      <c r="O510" s="197"/>
      <c r="P510" s="197"/>
      <c r="Q510" s="243">
        <f t="shared" si="106"/>
        <v>1130</v>
      </c>
      <c r="R510" s="453"/>
    </row>
    <row r="511" spans="1:18" ht="12" customHeight="1">
      <c r="A511" s="228"/>
      <c r="B511" s="201"/>
      <c r="C511" s="202"/>
      <c r="D511" s="210" t="s">
        <v>151</v>
      </c>
      <c r="E511" s="203"/>
      <c r="F511" s="203"/>
      <c r="G511" s="204"/>
      <c r="H511" s="203"/>
      <c r="I511" s="203">
        <v>0</v>
      </c>
      <c r="J511" s="203"/>
      <c r="K511" s="203"/>
      <c r="L511" s="270">
        <f t="shared" si="105"/>
        <v>0</v>
      </c>
      <c r="M511" s="203"/>
      <c r="N511" s="203"/>
      <c r="O511" s="203"/>
      <c r="P511" s="203"/>
      <c r="Q511" s="271">
        <f t="shared" si="106"/>
        <v>0</v>
      </c>
      <c r="R511" s="465"/>
    </row>
    <row r="512" spans="1:18" ht="12" customHeight="1">
      <c r="A512" s="205"/>
      <c r="B512" s="206" t="s">
        <v>9</v>
      </c>
      <c r="C512" s="207" t="s">
        <v>110</v>
      </c>
      <c r="D512" s="1263" t="s">
        <v>847</v>
      </c>
      <c r="E512" s="197"/>
      <c r="F512" s="197"/>
      <c r="G512" s="208"/>
      <c r="H512" s="197"/>
      <c r="I512" s="197"/>
      <c r="J512" s="197"/>
      <c r="K512" s="197"/>
      <c r="L512" s="220"/>
      <c r="M512" s="197"/>
      <c r="N512" s="197"/>
      <c r="O512" s="197"/>
      <c r="P512" s="197"/>
      <c r="Q512" s="243"/>
      <c r="R512" s="453"/>
    </row>
    <row r="513" spans="1:18" ht="12" customHeight="1">
      <c r="A513" s="205"/>
      <c r="B513" s="206"/>
      <c r="C513" s="207"/>
      <c r="D513" s="157" t="s">
        <v>149</v>
      </c>
      <c r="E513" s="197"/>
      <c r="F513" s="197"/>
      <c r="G513" s="208"/>
      <c r="H513" s="197"/>
      <c r="I513" s="197">
        <v>24400</v>
      </c>
      <c r="J513" s="197"/>
      <c r="K513" s="197"/>
      <c r="L513" s="220">
        <f>SUM(E513:K513)</f>
        <v>24400</v>
      </c>
      <c r="M513" s="197"/>
      <c r="N513" s="197"/>
      <c r="O513" s="197"/>
      <c r="P513" s="197"/>
      <c r="Q513" s="243">
        <f>SUM(L513:P513)</f>
        <v>24400</v>
      </c>
      <c r="R513" s="453"/>
    </row>
    <row r="514" spans="1:18" ht="12" customHeight="1">
      <c r="A514" s="205"/>
      <c r="B514" s="206"/>
      <c r="C514" s="207"/>
      <c r="D514" s="157" t="s">
        <v>150</v>
      </c>
      <c r="E514" s="197"/>
      <c r="F514" s="197"/>
      <c r="G514" s="208"/>
      <c r="H514" s="197"/>
      <c r="I514" s="197">
        <v>35390</v>
      </c>
      <c r="J514" s="197"/>
      <c r="K514" s="197"/>
      <c r="L514" s="220">
        <f>SUM(E514:K514)</f>
        <v>35390</v>
      </c>
      <c r="M514" s="197"/>
      <c r="N514" s="197"/>
      <c r="O514" s="197"/>
      <c r="P514" s="197"/>
      <c r="Q514" s="243">
        <f>SUM(L514:P514)</f>
        <v>35390</v>
      </c>
      <c r="R514" s="453"/>
    </row>
    <row r="515" spans="1:18" ht="12" customHeight="1" thickBot="1">
      <c r="A515" s="228"/>
      <c r="B515" s="201"/>
      <c r="C515" s="202"/>
      <c r="D515" s="210" t="s">
        <v>151</v>
      </c>
      <c r="E515" s="203"/>
      <c r="F515" s="203"/>
      <c r="G515" s="204"/>
      <c r="H515" s="203"/>
      <c r="I515" s="203">
        <v>35390</v>
      </c>
      <c r="J515" s="203"/>
      <c r="K515" s="203"/>
      <c r="L515" s="222">
        <f>SUM(E515:K515)</f>
        <v>35390</v>
      </c>
      <c r="M515" s="203"/>
      <c r="N515" s="203"/>
      <c r="O515" s="203"/>
      <c r="P515" s="203"/>
      <c r="Q515" s="212">
        <f>SUM(L515:P515)</f>
        <v>35390</v>
      </c>
      <c r="R515" s="465"/>
    </row>
    <row r="516" spans="1:18" ht="12.75" customHeight="1">
      <c r="A516" s="238">
        <v>31</v>
      </c>
      <c r="B516" s="239" t="s">
        <v>4</v>
      </c>
      <c r="C516" s="240" t="s">
        <v>111</v>
      </c>
      <c r="D516" s="259" t="s">
        <v>86</v>
      </c>
      <c r="E516" s="291"/>
      <c r="F516" s="291"/>
      <c r="G516" s="216"/>
      <c r="H516" s="291"/>
      <c r="I516" s="291"/>
      <c r="J516" s="291"/>
      <c r="K516" s="291"/>
      <c r="L516" s="291"/>
      <c r="M516" s="291"/>
      <c r="N516" s="291"/>
      <c r="O516" s="291"/>
      <c r="P516" s="291"/>
      <c r="Q516" s="241"/>
      <c r="R516" s="366"/>
    </row>
    <row r="517" spans="1:18" ht="12.75" customHeight="1">
      <c r="A517" s="205"/>
      <c r="B517" s="206"/>
      <c r="C517" s="207"/>
      <c r="D517" s="157" t="s">
        <v>149</v>
      </c>
      <c r="E517" s="220"/>
      <c r="F517" s="220"/>
      <c r="G517" s="220">
        <v>125</v>
      </c>
      <c r="H517" s="220"/>
      <c r="I517" s="220"/>
      <c r="J517" s="220"/>
      <c r="K517" s="220"/>
      <c r="L517" s="220">
        <v>125</v>
      </c>
      <c r="M517" s="220">
        <v>0</v>
      </c>
      <c r="N517" s="220"/>
      <c r="O517" s="220"/>
      <c r="P517" s="284"/>
      <c r="Q517" s="243">
        <v>125</v>
      </c>
      <c r="R517" s="453"/>
    </row>
    <row r="518" spans="1:18" ht="12.75" customHeight="1">
      <c r="A518" s="205"/>
      <c r="B518" s="206"/>
      <c r="C518" s="207"/>
      <c r="D518" s="157" t="s">
        <v>150</v>
      </c>
      <c r="E518" s="220"/>
      <c r="F518" s="220"/>
      <c r="G518" s="220">
        <v>4281</v>
      </c>
      <c r="H518" s="220"/>
      <c r="I518" s="220"/>
      <c r="J518" s="220"/>
      <c r="K518" s="220"/>
      <c r="L518" s="220">
        <f>SUM(G518:K518)</f>
        <v>4281</v>
      </c>
      <c r="M518" s="220">
        <v>0</v>
      </c>
      <c r="N518" s="220"/>
      <c r="O518" s="220"/>
      <c r="P518" s="284"/>
      <c r="Q518" s="243">
        <f>SUM(L518:P518)</f>
        <v>4281</v>
      </c>
      <c r="R518" s="453"/>
    </row>
    <row r="519" spans="1:18" ht="12.75" customHeight="1" thickBot="1">
      <c r="A519" s="278"/>
      <c r="B519" s="279"/>
      <c r="C519" s="280"/>
      <c r="D519" s="155" t="s">
        <v>151</v>
      </c>
      <c r="E519" s="286"/>
      <c r="F519" s="286"/>
      <c r="G519" s="286">
        <v>4281</v>
      </c>
      <c r="H519" s="286"/>
      <c r="I519" s="286"/>
      <c r="J519" s="286"/>
      <c r="K519" s="286"/>
      <c r="L519" s="286">
        <f>SUM(G519:K519)</f>
        <v>4281</v>
      </c>
      <c r="M519" s="286">
        <v>0</v>
      </c>
      <c r="N519" s="286"/>
      <c r="O519" s="286"/>
      <c r="P519" s="293"/>
      <c r="Q519" s="287">
        <f>SUM(L519:P519)</f>
        <v>4281</v>
      </c>
      <c r="R519" s="465"/>
    </row>
    <row r="520" spans="1:18" s="16" customFormat="1" ht="12" customHeight="1">
      <c r="A520" s="238">
        <v>32</v>
      </c>
      <c r="B520" s="239" t="s">
        <v>4</v>
      </c>
      <c r="C520" s="240" t="s">
        <v>110</v>
      </c>
      <c r="D520" s="259" t="s">
        <v>87</v>
      </c>
      <c r="E520" s="216"/>
      <c r="F520" s="216"/>
      <c r="G520" s="216"/>
      <c r="H520" s="216"/>
      <c r="I520" s="216"/>
      <c r="J520" s="216"/>
      <c r="K520" s="216"/>
      <c r="L520" s="216"/>
      <c r="M520" s="216"/>
      <c r="N520" s="216"/>
      <c r="O520" s="216"/>
      <c r="P520" s="291"/>
      <c r="Q520" s="241"/>
      <c r="R520" s="366"/>
    </row>
    <row r="521" spans="1:18" s="16" customFormat="1" ht="12" customHeight="1">
      <c r="A521" s="217"/>
      <c r="B521" s="206"/>
      <c r="C521" s="207"/>
      <c r="D521" s="157" t="s">
        <v>149</v>
      </c>
      <c r="E521" s="220"/>
      <c r="F521" s="220"/>
      <c r="G521" s="220">
        <v>1900</v>
      </c>
      <c r="H521" s="220"/>
      <c r="I521" s="220"/>
      <c r="J521" s="220"/>
      <c r="K521" s="220"/>
      <c r="L521" s="220">
        <v>1738</v>
      </c>
      <c r="M521" s="220"/>
      <c r="N521" s="220"/>
      <c r="O521" s="220"/>
      <c r="P521" s="284"/>
      <c r="Q521" s="243">
        <f>SUM(L521:P521)</f>
        <v>1738</v>
      </c>
      <c r="R521" s="453"/>
    </row>
    <row r="522" spans="1:18" s="16" customFormat="1" ht="12" customHeight="1">
      <c r="A522" s="217"/>
      <c r="B522" s="206"/>
      <c r="C522" s="207"/>
      <c r="D522" s="157" t="s">
        <v>150</v>
      </c>
      <c r="E522" s="220"/>
      <c r="F522" s="220"/>
      <c r="G522" s="220">
        <v>3600</v>
      </c>
      <c r="H522" s="220"/>
      <c r="I522" s="220"/>
      <c r="J522" s="220"/>
      <c r="K522" s="220"/>
      <c r="L522" s="220">
        <f>SUM(E522:K522)</f>
        <v>3600</v>
      </c>
      <c r="M522" s="220"/>
      <c r="N522" s="220"/>
      <c r="O522" s="220"/>
      <c r="P522" s="284"/>
      <c r="Q522" s="243">
        <f>SUM(L522:P522)</f>
        <v>3600</v>
      </c>
      <c r="R522" s="453"/>
    </row>
    <row r="523" spans="1:18" s="16" customFormat="1" ht="12" customHeight="1" thickBot="1">
      <c r="A523" s="297"/>
      <c r="B523" s="279"/>
      <c r="C523" s="280"/>
      <c r="D523" s="155" t="s">
        <v>151</v>
      </c>
      <c r="E523" s="286"/>
      <c r="F523" s="286"/>
      <c r="G523" s="286">
        <v>3037</v>
      </c>
      <c r="H523" s="286"/>
      <c r="I523" s="286"/>
      <c r="J523" s="286"/>
      <c r="K523" s="286"/>
      <c r="L523" s="286">
        <f>SUM(G523:K523)</f>
        <v>3037</v>
      </c>
      <c r="M523" s="286"/>
      <c r="N523" s="286"/>
      <c r="O523" s="286"/>
      <c r="P523" s="293"/>
      <c r="Q523" s="287">
        <f>L523+M523</f>
        <v>3037</v>
      </c>
      <c r="R523" s="465"/>
    </row>
    <row r="524" spans="1:18" s="16" customFormat="1" ht="12" customHeight="1">
      <c r="A524" s="214">
        <v>33</v>
      </c>
      <c r="B524" s="239" t="s">
        <v>4</v>
      </c>
      <c r="C524" s="240"/>
      <c r="D524" s="298" t="s">
        <v>848</v>
      </c>
      <c r="E524" s="291"/>
      <c r="F524" s="291"/>
      <c r="G524" s="216"/>
      <c r="H524" s="291"/>
      <c r="I524" s="291"/>
      <c r="J524" s="291"/>
      <c r="K524" s="291"/>
      <c r="L524" s="291"/>
      <c r="M524" s="291"/>
      <c r="N524" s="291"/>
      <c r="O524" s="291"/>
      <c r="P524" s="291"/>
      <c r="Q524" s="241"/>
      <c r="R524" s="366"/>
    </row>
    <row r="525" spans="1:18" s="16" customFormat="1" ht="12" customHeight="1">
      <c r="A525" s="217"/>
      <c r="B525" s="206"/>
      <c r="C525" s="207" t="s">
        <v>111</v>
      </c>
      <c r="D525" s="157" t="s">
        <v>149</v>
      </c>
      <c r="E525" s="236"/>
      <c r="F525" s="236"/>
      <c r="G525" s="197"/>
      <c r="H525" s="197"/>
      <c r="I525" s="197"/>
      <c r="J525" s="197"/>
      <c r="K525" s="197"/>
      <c r="L525" s="220">
        <f aca="true" t="shared" si="107" ref="L525:L530">SUM(E525:K525)</f>
        <v>0</v>
      </c>
      <c r="M525" s="220"/>
      <c r="N525" s="220"/>
      <c r="O525" s="220"/>
      <c r="P525" s="220"/>
      <c r="Q525" s="243">
        <f aca="true" t="shared" si="108" ref="Q525:Q530">SUM(L525:P525)</f>
        <v>0</v>
      </c>
      <c r="R525" s="453"/>
    </row>
    <row r="526" spans="1:18" s="16" customFormat="1" ht="12" customHeight="1">
      <c r="A526" s="217"/>
      <c r="B526" s="206"/>
      <c r="C526" s="207"/>
      <c r="D526" s="157" t="s">
        <v>150</v>
      </c>
      <c r="E526" s="236"/>
      <c r="F526" s="236"/>
      <c r="G526" s="197"/>
      <c r="H526" s="197"/>
      <c r="I526" s="197">
        <v>1750</v>
      </c>
      <c r="J526" s="197"/>
      <c r="K526" s="197"/>
      <c r="L526" s="220">
        <f t="shared" si="107"/>
        <v>1750</v>
      </c>
      <c r="M526" s="220"/>
      <c r="N526" s="220"/>
      <c r="O526" s="220"/>
      <c r="P526" s="220"/>
      <c r="Q526" s="243">
        <f t="shared" si="108"/>
        <v>1750</v>
      </c>
      <c r="R526" s="453"/>
    </row>
    <row r="527" spans="1:18" s="16" customFormat="1" ht="12" customHeight="1">
      <c r="A527" s="303"/>
      <c r="B527" s="209"/>
      <c r="C527" s="268"/>
      <c r="D527" s="136" t="s">
        <v>151</v>
      </c>
      <c r="E527" s="1272"/>
      <c r="F527" s="1272"/>
      <c r="G527" s="211"/>
      <c r="H527" s="211"/>
      <c r="I527" s="211">
        <f>1680+70</f>
        <v>1750</v>
      </c>
      <c r="J527" s="211"/>
      <c r="K527" s="211"/>
      <c r="L527" s="220">
        <f t="shared" si="107"/>
        <v>1750</v>
      </c>
      <c r="M527" s="270"/>
      <c r="N527" s="270"/>
      <c r="O527" s="270"/>
      <c r="P527" s="270"/>
      <c r="Q527" s="243">
        <f t="shared" si="108"/>
        <v>1750</v>
      </c>
      <c r="R527" s="481"/>
    </row>
    <row r="528" spans="1:18" s="16" customFormat="1" ht="12" customHeight="1">
      <c r="A528" s="217"/>
      <c r="B528" s="206"/>
      <c r="C528" s="207" t="s">
        <v>110</v>
      </c>
      <c r="D528" s="157" t="s">
        <v>149</v>
      </c>
      <c r="E528" s="236"/>
      <c r="F528" s="236"/>
      <c r="G528" s="197"/>
      <c r="H528" s="197"/>
      <c r="I528" s="197"/>
      <c r="J528" s="197"/>
      <c r="K528" s="197"/>
      <c r="L528" s="220">
        <f t="shared" si="107"/>
        <v>0</v>
      </c>
      <c r="M528" s="220"/>
      <c r="N528" s="220"/>
      <c r="O528" s="220"/>
      <c r="P528" s="220"/>
      <c r="Q528" s="243">
        <f t="shared" si="108"/>
        <v>0</v>
      </c>
      <c r="R528" s="453"/>
    </row>
    <row r="529" spans="1:18" s="16" customFormat="1" ht="12" customHeight="1">
      <c r="A529" s="217"/>
      <c r="B529" s="206"/>
      <c r="C529" s="207"/>
      <c r="D529" s="157" t="s">
        <v>150</v>
      </c>
      <c r="E529" s="236"/>
      <c r="F529" s="236"/>
      <c r="G529" s="197"/>
      <c r="H529" s="197"/>
      <c r="I529" s="197"/>
      <c r="J529" s="197">
        <v>380</v>
      </c>
      <c r="K529" s="197"/>
      <c r="L529" s="220">
        <f t="shared" si="107"/>
        <v>380</v>
      </c>
      <c r="M529" s="220"/>
      <c r="N529" s="220"/>
      <c r="O529" s="220"/>
      <c r="P529" s="220"/>
      <c r="Q529" s="243">
        <f t="shared" si="108"/>
        <v>380</v>
      </c>
      <c r="R529" s="453"/>
    </row>
    <row r="530" spans="1:18" s="16" customFormat="1" ht="12" customHeight="1" thickBot="1">
      <c r="A530" s="301"/>
      <c r="B530" s="227"/>
      <c r="C530" s="245"/>
      <c r="D530" s="246" t="s">
        <v>151</v>
      </c>
      <c r="E530" s="1336"/>
      <c r="F530" s="1336"/>
      <c r="G530" s="247"/>
      <c r="H530" s="247"/>
      <c r="I530" s="247"/>
      <c r="J530" s="247">
        <f>330+50</f>
        <v>380</v>
      </c>
      <c r="K530" s="247"/>
      <c r="L530" s="248">
        <f t="shared" si="107"/>
        <v>380</v>
      </c>
      <c r="M530" s="248"/>
      <c r="N530" s="248"/>
      <c r="O530" s="248"/>
      <c r="P530" s="248"/>
      <c r="Q530" s="262">
        <f t="shared" si="108"/>
        <v>380</v>
      </c>
      <c r="R530" s="455"/>
    </row>
    <row r="531" spans="1:18" s="16" customFormat="1" ht="12" customHeight="1" thickBot="1">
      <c r="A531" s="1631" t="s">
        <v>849</v>
      </c>
      <c r="B531" s="1632"/>
      <c r="C531" s="1632"/>
      <c r="D531" s="1633"/>
      <c r="E531" s="362"/>
      <c r="F531" s="362"/>
      <c r="G531" s="299"/>
      <c r="H531" s="362"/>
      <c r="I531" s="362"/>
      <c r="J531" s="362"/>
      <c r="K531" s="362"/>
      <c r="L531" s="362"/>
      <c r="M531" s="362"/>
      <c r="N531" s="362"/>
      <c r="O531" s="362"/>
      <c r="P531" s="362"/>
      <c r="Q531" s="299"/>
      <c r="R531" s="482"/>
    </row>
    <row r="532" spans="1:18" s="16" customFormat="1" ht="12" customHeight="1">
      <c r="A532" s="214"/>
      <c r="B532" s="187"/>
      <c r="C532" s="215"/>
      <c r="D532" s="136" t="s">
        <v>149</v>
      </c>
      <c r="E532" s="216">
        <f>E130+E134+E138+E142+E209+E221+E225+E286+E290+E310+E322+E338+E342+E346+E350+E374+E378+E402+E406+E422+E442+E446+E450+E478+E489+E517+E521+E525+E528</f>
        <v>106649</v>
      </c>
      <c r="F532" s="216">
        <f aca="true" t="shared" si="109" ref="F532:K532">F130+F134+F138+F142+F209+F221+F225+F286+F290+F310+F322+F338+F342+F346+F350+F374+F378+F402+F406+F422+F442+F446+F450+F478+F489+F517+F521+F525+F528</f>
        <v>20593</v>
      </c>
      <c r="G532" s="216">
        <f t="shared" si="109"/>
        <v>651167</v>
      </c>
      <c r="H532" s="216">
        <f t="shared" si="109"/>
        <v>7600</v>
      </c>
      <c r="I532" s="216">
        <f t="shared" si="109"/>
        <v>172596</v>
      </c>
      <c r="J532" s="216">
        <f t="shared" si="109"/>
        <v>17088</v>
      </c>
      <c r="K532" s="216">
        <f t="shared" si="109"/>
        <v>337320</v>
      </c>
      <c r="L532" s="216">
        <f>SUM(E532:K532)</f>
        <v>1313013</v>
      </c>
      <c r="M532" s="216">
        <f aca="true" t="shared" si="110" ref="M532:P534">M130+M134+M138+M142+M209+M221+M225+M286+M290+M310+M322+M338+M342+M346+M350+M374+M378+M402+M406+M422+M442+M446+M450+M478+M489+M517+M521+M525+M528</f>
        <v>709343</v>
      </c>
      <c r="N532" s="216">
        <f t="shared" si="110"/>
        <v>19267</v>
      </c>
      <c r="O532" s="216">
        <f t="shared" si="110"/>
        <v>0</v>
      </c>
      <c r="P532" s="216">
        <f t="shared" si="110"/>
        <v>0</v>
      </c>
      <c r="Q532" s="216">
        <f>SUM(L532:P532)</f>
        <v>2041623</v>
      </c>
      <c r="R532" s="366">
        <f>R130+R134+R138+R142+R209+R221+R225+R286+R290+R310+R322+R338+R342+R346+R350+R374+R378+R402+R406+R422+R442+R446+R450+R478+R489+R517+R521+R525</f>
        <v>105</v>
      </c>
    </row>
    <row r="533" spans="1:18" s="16" customFormat="1" ht="12" customHeight="1">
      <c r="A533" s="217"/>
      <c r="B533" s="218"/>
      <c r="C533" s="300"/>
      <c r="D533" s="157" t="s">
        <v>150</v>
      </c>
      <c r="E533" s="220">
        <f aca="true" t="shared" si="111" ref="E533:K534">E131+E135+E139+E143+E210+E222+E226+E287+E291+E311+E323+E339+E343+E347+E351+E375+E379+E403+E407+E423+E443+E447+E451+E479+E490+E518+E522+E526+E529</f>
        <v>113916</v>
      </c>
      <c r="F533" s="220">
        <f t="shared" si="111"/>
        <v>24587</v>
      </c>
      <c r="G533" s="220">
        <f t="shared" si="111"/>
        <v>695800</v>
      </c>
      <c r="H533" s="220">
        <f t="shared" si="111"/>
        <v>11620</v>
      </c>
      <c r="I533" s="220">
        <f t="shared" si="111"/>
        <v>188266</v>
      </c>
      <c r="J533" s="220">
        <f t="shared" si="111"/>
        <v>30920</v>
      </c>
      <c r="K533" s="220">
        <f t="shared" si="111"/>
        <v>322284</v>
      </c>
      <c r="L533" s="220">
        <f>SUM(E533:K533)</f>
        <v>1387393</v>
      </c>
      <c r="M533" s="220">
        <f t="shared" si="110"/>
        <v>1125407</v>
      </c>
      <c r="N533" s="220">
        <f t="shared" si="110"/>
        <v>36498</v>
      </c>
      <c r="O533" s="220">
        <f t="shared" si="110"/>
        <v>14443</v>
      </c>
      <c r="P533" s="220">
        <f t="shared" si="110"/>
        <v>0</v>
      </c>
      <c r="Q533" s="220">
        <f>SUM(L533:P533)</f>
        <v>2563741</v>
      </c>
      <c r="R533" s="1053">
        <f>R131+R135+R139+R143+R210+R222+R226+R287+R291+R311+R323+R339+R343+R347+R351+R375+R379+R403+R407+R423+R443+R447+R451+R479+R490+R518+R522+R526</f>
        <v>105</v>
      </c>
    </row>
    <row r="534" spans="1:18" s="16" customFormat="1" ht="12" customHeight="1" thickBot="1">
      <c r="A534" s="189"/>
      <c r="B534" s="192"/>
      <c r="C534" s="221"/>
      <c r="D534" s="155" t="s">
        <v>151</v>
      </c>
      <c r="E534" s="222">
        <f t="shared" si="111"/>
        <v>106926</v>
      </c>
      <c r="F534" s="222">
        <f t="shared" si="111"/>
        <v>21159</v>
      </c>
      <c r="G534" s="222">
        <f t="shared" si="111"/>
        <v>487586</v>
      </c>
      <c r="H534" s="222">
        <f t="shared" si="111"/>
        <v>7639</v>
      </c>
      <c r="I534" s="222">
        <f t="shared" si="111"/>
        <v>183108</v>
      </c>
      <c r="J534" s="222">
        <f t="shared" si="111"/>
        <v>26770</v>
      </c>
      <c r="K534" s="222">
        <f t="shared" si="111"/>
        <v>0</v>
      </c>
      <c r="L534" s="222">
        <f>SUM(E534:K534)</f>
        <v>833188</v>
      </c>
      <c r="M534" s="222">
        <f t="shared" si="110"/>
        <v>425235</v>
      </c>
      <c r="N534" s="222">
        <f t="shared" si="110"/>
        <v>2858</v>
      </c>
      <c r="O534" s="222">
        <f t="shared" si="110"/>
        <v>14442</v>
      </c>
      <c r="P534" s="222">
        <f t="shared" si="110"/>
        <v>0</v>
      </c>
      <c r="Q534" s="222">
        <f>SUM(L534:P534)</f>
        <v>1275723</v>
      </c>
      <c r="R534" s="1055">
        <f>R132+R136+R140+R144+R211+R223+R227+R288+R292+R312+R324+R340+R344+R348+R352+R376+R380+R404+R408+R424+R444+R448+R452+R480+R491+R519+R523+R527</f>
        <v>75</v>
      </c>
    </row>
    <row r="535" spans="1:18" s="22" customFormat="1" ht="12" customHeight="1">
      <c r="A535" s="1635" t="s">
        <v>120</v>
      </c>
      <c r="B535" s="1636"/>
      <c r="C535" s="1636"/>
      <c r="D535" s="1637"/>
      <c r="E535" s="224"/>
      <c r="F535" s="282"/>
      <c r="G535" s="224"/>
      <c r="H535" s="282"/>
      <c r="I535" s="282"/>
      <c r="J535" s="282"/>
      <c r="K535" s="224"/>
      <c r="L535" s="282"/>
      <c r="M535" s="282"/>
      <c r="N535" s="282"/>
      <c r="O535" s="282"/>
      <c r="P535" s="282"/>
      <c r="Q535" s="224"/>
      <c r="R535" s="392"/>
    </row>
    <row r="536" spans="1:18" s="22" customFormat="1" ht="12" customHeight="1">
      <c r="A536" s="217"/>
      <c r="B536" s="218"/>
      <c r="C536" s="219"/>
      <c r="D536" s="157" t="s">
        <v>149</v>
      </c>
      <c r="E536" s="220">
        <f>E130+E134+E138+E146+E157+E165+E177+E189+E193+E201+E205+E209+E221+E233+E241+E245+E270+E274+E263+E282+E298+E314+E322+E338+E366+E374+E402+E414+E430+E434+E521+E446+E398+E438+E390+E394+E418+E485+E513+E528+E255</f>
        <v>76499</v>
      </c>
      <c r="F536" s="220">
        <f aca="true" t="shared" si="112" ref="F536:K536">F130+F134+F138+F146+F157+F165+F177+F189+F193+F201+F205+F209+F221+F233+F241+F245+F270+F274+F263+F282+F298+F314+F322+F338+F366+F374+F402+F414+F430+F434+F521+F446+F398+F438+F390+F394+F418+F485+F513+F528+F255</f>
        <v>11823</v>
      </c>
      <c r="G536" s="220">
        <f t="shared" si="112"/>
        <v>433087</v>
      </c>
      <c r="H536" s="220">
        <f t="shared" si="112"/>
        <v>7600</v>
      </c>
      <c r="I536" s="220">
        <f t="shared" si="112"/>
        <v>166516</v>
      </c>
      <c r="J536" s="220">
        <f t="shared" si="112"/>
        <v>15039</v>
      </c>
      <c r="K536" s="220">
        <f t="shared" si="112"/>
        <v>325000</v>
      </c>
      <c r="L536" s="220">
        <f>SUM(E536:K536)</f>
        <v>1035564</v>
      </c>
      <c r="M536" s="220">
        <f aca="true" t="shared" si="113" ref="M536:P538">M130+M134+M138+M146+M157+M165+M177+M189+M193+M201+M205+M209+M221+M233+M241+M245+M270+M274+M263+M282+M298+M314+M322+M338+M366+M374+M402+M414+M430+M434+M521+M446+M398+M438+M390+M394+M418+M485+M513+M528+M255</f>
        <v>359043</v>
      </c>
      <c r="N536" s="220">
        <f t="shared" si="113"/>
        <v>9754</v>
      </c>
      <c r="O536" s="220">
        <f t="shared" si="113"/>
        <v>0</v>
      </c>
      <c r="P536" s="220">
        <f t="shared" si="113"/>
        <v>0</v>
      </c>
      <c r="Q536" s="220">
        <f>SUM(L536:P536)</f>
        <v>1404361</v>
      </c>
      <c r="R536" s="453">
        <v>101</v>
      </c>
    </row>
    <row r="537" spans="1:18" s="22" customFormat="1" ht="12" customHeight="1">
      <c r="A537" s="217"/>
      <c r="B537" s="218"/>
      <c r="C537" s="219"/>
      <c r="D537" s="157" t="s">
        <v>150</v>
      </c>
      <c r="E537" s="220">
        <f>E131+E135+E139+E147+E158+E166+E178+E190+E194+E202+E206+E210+E222+E234+E242+E246+E271+E275+E264+E283+E299+E315+E323+E339+E367+E375+E403+E415+E431+E435+E522+E447+E399+E439+E391+E395+E419+E486+E514+E529+E256</f>
        <v>77499</v>
      </c>
      <c r="F537" s="220">
        <f aca="true" t="shared" si="114" ref="F537:K537">F131+F135+F139+F147+F158+F166+F178+F190+F194+F202+F206+F210+F222+F234+F242+F246+F271+F275+F264+F283+F299+F315+F323+F339+F367+F375+F403+F415+F431+F435+F522+F447+F399+F439+F391+F395+F419+F486+F514+F529+F256</f>
        <v>12116</v>
      </c>
      <c r="G537" s="220">
        <f t="shared" si="114"/>
        <v>462072</v>
      </c>
      <c r="H537" s="220">
        <f t="shared" si="114"/>
        <v>11620</v>
      </c>
      <c r="I537" s="220">
        <f t="shared" si="114"/>
        <v>179506</v>
      </c>
      <c r="J537" s="220">
        <f t="shared" si="114"/>
        <v>28415</v>
      </c>
      <c r="K537" s="220">
        <f t="shared" si="114"/>
        <v>314594</v>
      </c>
      <c r="L537" s="220">
        <f>SUM(E537:K537)</f>
        <v>1085822</v>
      </c>
      <c r="M537" s="220">
        <f t="shared" si="113"/>
        <v>992186</v>
      </c>
      <c r="N537" s="220">
        <f t="shared" si="113"/>
        <v>9754</v>
      </c>
      <c r="O537" s="220">
        <f t="shared" si="113"/>
        <v>14443</v>
      </c>
      <c r="P537" s="220">
        <f t="shared" si="113"/>
        <v>0</v>
      </c>
      <c r="Q537" s="220">
        <f>SUM(L537:P537)</f>
        <v>2102205</v>
      </c>
      <c r="R537" s="453">
        <v>101</v>
      </c>
    </row>
    <row r="538" spans="1:18" s="22" customFormat="1" ht="12" customHeight="1" thickBot="1">
      <c r="A538" s="301"/>
      <c r="B538" s="260"/>
      <c r="C538" s="302"/>
      <c r="D538" s="246" t="s">
        <v>151</v>
      </c>
      <c r="E538" s="220">
        <f>E132+E136+E140+E148+E159+E167+E179+E191+E195+E203+E207+E211+E223+E235+E243+E247+E272+E276+E265+E284+E300+E316+E324+E340+E368+E376+E404+E416+E432+E436+E523+E448+E400+E440+E392+E396+E420+E487+E515+E530+E257</f>
        <v>75637</v>
      </c>
      <c r="F538" s="220">
        <f aca="true" t="shared" si="115" ref="F538:K538">F132+F136+F140+F148+F159+F167+F179+F191+F195+F203+F207+F211+F223+F235+F243+F247+F272+F276+F265+F284+F300+F316+F324+F340+F368+F376+F404+F416+F432+F436+F523+F448+F400+F440+F392+F396+F420+F487+F515+F530</f>
        <v>11607</v>
      </c>
      <c r="G538" s="220">
        <f t="shared" si="115"/>
        <v>318385</v>
      </c>
      <c r="H538" s="220">
        <f t="shared" si="115"/>
        <v>7639</v>
      </c>
      <c r="I538" s="220">
        <f>I132+I136+I140+I148+I159+I167+I179+I191+I195+I203+I207+I211+I223+I235+I243+I247+I272+I276+I265+I284+I300+I316+I324+I340+I368+I376+I404+I416+I432+I436+I523+I448+I400+I440+I392+I396+I420+I487+I515+I530</f>
        <v>177258</v>
      </c>
      <c r="J538" s="220">
        <f t="shared" si="115"/>
        <v>24283</v>
      </c>
      <c r="K538" s="220">
        <f t="shared" si="115"/>
        <v>0</v>
      </c>
      <c r="L538" s="248">
        <f>SUM(E538:K538)</f>
        <v>614809</v>
      </c>
      <c r="M538" s="220">
        <f t="shared" si="113"/>
        <v>412201</v>
      </c>
      <c r="N538" s="220">
        <f t="shared" si="113"/>
        <v>0</v>
      </c>
      <c r="O538" s="220">
        <f t="shared" si="113"/>
        <v>14442</v>
      </c>
      <c r="P538" s="220">
        <f t="shared" si="113"/>
        <v>0</v>
      </c>
      <c r="Q538" s="248">
        <f>SUM(L538:P538)</f>
        <v>1041452</v>
      </c>
      <c r="R538" s="1079">
        <f>R132+R136+R140+R148+R159+R167+R179+R191+R207+R211+R223+R235+R243+R247+R272+R276+R265+R300+R316+R324+R340+R368+R376+R404+R412+R416+R432+R436+R523+R448+R384+R400+R440</f>
        <v>71</v>
      </c>
    </row>
    <row r="539" spans="1:18" s="22" customFormat="1" ht="12" customHeight="1">
      <c r="A539" s="1635" t="s">
        <v>188</v>
      </c>
      <c r="B539" s="1636"/>
      <c r="C539" s="1636"/>
      <c r="D539" s="1637"/>
      <c r="E539" s="282"/>
      <c r="F539" s="282"/>
      <c r="G539" s="224"/>
      <c r="H539" s="282"/>
      <c r="I539" s="282"/>
      <c r="J539" s="282"/>
      <c r="K539" s="282"/>
      <c r="L539" s="282"/>
      <c r="M539" s="282"/>
      <c r="N539" s="282"/>
      <c r="O539" s="282"/>
      <c r="P539" s="282"/>
      <c r="Q539" s="224"/>
      <c r="R539" s="392"/>
    </row>
    <row r="540" spans="1:18" s="22" customFormat="1" ht="12" customHeight="1">
      <c r="A540" s="205"/>
      <c r="B540" s="218"/>
      <c r="C540" s="218"/>
      <c r="D540" s="157" t="s">
        <v>149</v>
      </c>
      <c r="E540" s="220">
        <v>0</v>
      </c>
      <c r="F540" s="220">
        <v>0</v>
      </c>
      <c r="G540" s="220">
        <v>0</v>
      </c>
      <c r="H540" s="220">
        <v>0</v>
      </c>
      <c r="I540" s="220">
        <v>0</v>
      </c>
      <c r="J540" s="220">
        <v>0</v>
      </c>
      <c r="K540" s="220">
        <f>K274</f>
        <v>0</v>
      </c>
      <c r="L540" s="220">
        <f>SUM(E540:K540)</f>
        <v>0</v>
      </c>
      <c r="M540" s="220">
        <v>0</v>
      </c>
      <c r="N540" s="220">
        <f>N274</f>
        <v>0</v>
      </c>
      <c r="O540" s="220">
        <v>0</v>
      </c>
      <c r="P540" s="220">
        <f>P274</f>
        <v>0</v>
      </c>
      <c r="Q540" s="220">
        <f>SUM(L540:P540)</f>
        <v>0</v>
      </c>
      <c r="R540" s="453">
        <v>0</v>
      </c>
    </row>
    <row r="541" spans="1:18" s="22" customFormat="1" ht="12" customHeight="1">
      <c r="A541" s="205"/>
      <c r="B541" s="218"/>
      <c r="C541" s="218"/>
      <c r="D541" s="157" t="s">
        <v>150</v>
      </c>
      <c r="E541" s="220">
        <v>0</v>
      </c>
      <c r="F541" s="220">
        <v>0</v>
      </c>
      <c r="G541" s="220">
        <v>0</v>
      </c>
      <c r="H541" s="220">
        <f>H275</f>
        <v>0</v>
      </c>
      <c r="I541" s="220">
        <f>I275</f>
        <v>0</v>
      </c>
      <c r="J541" s="220">
        <v>0</v>
      </c>
      <c r="K541" s="220">
        <f>K275</f>
        <v>0</v>
      </c>
      <c r="L541" s="220">
        <f>SUM(E541:K541)</f>
        <v>0</v>
      </c>
      <c r="M541" s="220">
        <v>0</v>
      </c>
      <c r="N541" s="220">
        <f>N275</f>
        <v>0</v>
      </c>
      <c r="O541" s="220">
        <v>0</v>
      </c>
      <c r="P541" s="220">
        <f>P275</f>
        <v>0</v>
      </c>
      <c r="Q541" s="220">
        <f>SUM(L541:P541)</f>
        <v>0</v>
      </c>
      <c r="R541" s="453">
        <v>0</v>
      </c>
    </row>
    <row r="542" spans="1:18" s="22" customFormat="1" ht="12" customHeight="1" thickBot="1">
      <c r="A542" s="244"/>
      <c r="B542" s="260"/>
      <c r="C542" s="260"/>
      <c r="D542" s="246" t="s">
        <v>151</v>
      </c>
      <c r="E542" s="248">
        <v>0</v>
      </c>
      <c r="F542" s="248">
        <v>0</v>
      </c>
      <c r="G542" s="248">
        <v>0</v>
      </c>
      <c r="H542" s="248">
        <f>H276</f>
        <v>0</v>
      </c>
      <c r="I542" s="248">
        <f>I276</f>
        <v>0</v>
      </c>
      <c r="J542" s="248">
        <v>0</v>
      </c>
      <c r="K542" s="248">
        <f>K276</f>
        <v>0</v>
      </c>
      <c r="L542" s="248">
        <f>SUM(E542:K542)</f>
        <v>0</v>
      </c>
      <c r="M542" s="248">
        <v>0</v>
      </c>
      <c r="N542" s="248">
        <f>N276</f>
        <v>0</v>
      </c>
      <c r="O542" s="248">
        <v>0</v>
      </c>
      <c r="P542" s="248">
        <f>P276</f>
        <v>0</v>
      </c>
      <c r="Q542" s="248">
        <f>SUM(L542:P542)</f>
        <v>0</v>
      </c>
      <c r="R542" s="455">
        <v>0</v>
      </c>
    </row>
    <row r="543" spans="1:18" s="22" customFormat="1" ht="12" customHeight="1">
      <c r="A543" s="1652" t="s">
        <v>157</v>
      </c>
      <c r="B543" s="1653"/>
      <c r="C543" s="1653"/>
      <c r="D543" s="1654"/>
      <c r="E543" s="285"/>
      <c r="F543" s="285"/>
      <c r="G543" s="222"/>
      <c r="H543" s="285"/>
      <c r="I543" s="285"/>
      <c r="J543" s="285"/>
      <c r="K543" s="285"/>
      <c r="L543" s="285"/>
      <c r="M543" s="285"/>
      <c r="N543" s="285"/>
      <c r="O543" s="285"/>
      <c r="P543" s="285"/>
      <c r="Q543" s="222"/>
      <c r="R543" s="467"/>
    </row>
    <row r="544" spans="1:18" s="22" customFormat="1" ht="12" customHeight="1">
      <c r="A544" s="303"/>
      <c r="B544" s="304"/>
      <c r="C544" s="305"/>
      <c r="D544" s="136" t="s">
        <v>149</v>
      </c>
      <c r="E544" s="220">
        <f>E149+E153+E169+E181+E185+E197+E237+E252+E259+E266+E286+E294+E302+E306+E318+E342+E346+E354+E358+E362+E386+E382+E426+E442+E450+E489-E513+E517+E525+E248+E278+E370+E410+E482</f>
        <v>30150</v>
      </c>
      <c r="F544" s="220">
        <f aca="true" t="shared" si="116" ref="F544:K544">F149+F153+F169+F181+F185+F197+F237+F252+F259+F266+F286+F294+F302+F306+F318+F342+F346+F354+F358+F362+F386+F382+F426+F442+F450+F489-F513+F517+F525+F248+F278+F370+F410+F482</f>
        <v>8770</v>
      </c>
      <c r="G544" s="220">
        <f t="shared" si="116"/>
        <v>218080</v>
      </c>
      <c r="H544" s="220">
        <f t="shared" si="116"/>
        <v>0</v>
      </c>
      <c r="I544" s="220">
        <f t="shared" si="116"/>
        <v>6080</v>
      </c>
      <c r="J544" s="220">
        <f t="shared" si="116"/>
        <v>2049</v>
      </c>
      <c r="K544" s="220">
        <f t="shared" si="116"/>
        <v>12320</v>
      </c>
      <c r="L544" s="220">
        <f>SUM(E544:K544)</f>
        <v>277449</v>
      </c>
      <c r="M544" s="220">
        <f aca="true" t="shared" si="117" ref="M544:P546">M149+M153+M169+M181+M185+M197+M237+M252+M259+M266+M286+M294+M302+M306+M318+M342+M346+M354+M358+M362+M386+M382+M426+M442+M450+M489-M513+M517+M525+M248+M278+M370+M410+M482</f>
        <v>350300</v>
      </c>
      <c r="N544" s="220">
        <f t="shared" si="117"/>
        <v>9513</v>
      </c>
      <c r="O544" s="220">
        <f t="shared" si="117"/>
        <v>0</v>
      </c>
      <c r="P544" s="220">
        <f t="shared" si="117"/>
        <v>0</v>
      </c>
      <c r="Q544" s="220">
        <f>SUM(L544:P544)</f>
        <v>637262</v>
      </c>
      <c r="R544" s="468">
        <v>4</v>
      </c>
    </row>
    <row r="545" spans="1:18" s="22" customFormat="1" ht="12" customHeight="1">
      <c r="A545" s="217"/>
      <c r="B545" s="218"/>
      <c r="C545" s="219"/>
      <c r="D545" s="157" t="s">
        <v>150</v>
      </c>
      <c r="E545" s="220">
        <f aca="true" t="shared" si="118" ref="E545:K546">E150+E154+E170+E182+E186+E198+E238+E253+E260+E267+E287+E295+E303+E307+E319+E343+E347+E355+E359+E363+E387+E383+E427+E443+E451+E490-E514+E518+E526+E249+E279+E371+E411+E483</f>
        <v>36417</v>
      </c>
      <c r="F545" s="220">
        <f t="shared" si="118"/>
        <v>12471</v>
      </c>
      <c r="G545" s="220">
        <f t="shared" si="118"/>
        <v>233728</v>
      </c>
      <c r="H545" s="220">
        <f t="shared" si="118"/>
        <v>0</v>
      </c>
      <c r="I545" s="220">
        <f t="shared" si="118"/>
        <v>8760</v>
      </c>
      <c r="J545" s="220">
        <f t="shared" si="118"/>
        <v>2505</v>
      </c>
      <c r="K545" s="220">
        <f t="shared" si="118"/>
        <v>7690</v>
      </c>
      <c r="L545" s="220">
        <f>SUM(E545:K545)</f>
        <v>301571</v>
      </c>
      <c r="M545" s="220">
        <f t="shared" si="117"/>
        <v>133221</v>
      </c>
      <c r="N545" s="220">
        <f t="shared" si="117"/>
        <v>26744</v>
      </c>
      <c r="O545" s="220">
        <f t="shared" si="117"/>
        <v>0</v>
      </c>
      <c r="P545" s="220">
        <f t="shared" si="117"/>
        <v>0</v>
      </c>
      <c r="Q545" s="220">
        <f>SUM(L545:P545)</f>
        <v>461536</v>
      </c>
      <c r="R545" s="468">
        <v>4</v>
      </c>
    </row>
    <row r="546" spans="1:18" s="22" customFormat="1" ht="12" customHeight="1" thickBot="1">
      <c r="A546" s="301"/>
      <c r="B546" s="260"/>
      <c r="C546" s="302"/>
      <c r="D546" s="246" t="s">
        <v>151</v>
      </c>
      <c r="E546" s="220">
        <f t="shared" si="118"/>
        <v>31289</v>
      </c>
      <c r="F546" s="220">
        <f t="shared" si="118"/>
        <v>9552</v>
      </c>
      <c r="G546" s="220">
        <f t="shared" si="118"/>
        <v>169201</v>
      </c>
      <c r="H546" s="220">
        <f t="shared" si="118"/>
        <v>0</v>
      </c>
      <c r="I546" s="220">
        <f t="shared" si="118"/>
        <v>5850</v>
      </c>
      <c r="J546" s="220">
        <f t="shared" si="118"/>
        <v>2487</v>
      </c>
      <c r="K546" s="220">
        <f t="shared" si="118"/>
        <v>0</v>
      </c>
      <c r="L546" s="248">
        <f>SUM(E546:K546)</f>
        <v>218379</v>
      </c>
      <c r="M546" s="220">
        <f t="shared" si="117"/>
        <v>13034</v>
      </c>
      <c r="N546" s="220">
        <f t="shared" si="117"/>
        <v>2858</v>
      </c>
      <c r="O546" s="220">
        <f t="shared" si="117"/>
        <v>0</v>
      </c>
      <c r="P546" s="220">
        <f t="shared" si="117"/>
        <v>0</v>
      </c>
      <c r="Q546" s="248">
        <f>SUM(L546:P546)</f>
        <v>234271</v>
      </c>
      <c r="R546" s="1056">
        <f>R155+R171+R183+R187+R199+R203+R239+R254+R261+R268+R276+R288+R296+R304+R308+R320+R344+R348+R356+R360+R364+R388+R392+R396+R420+R428+R440+R444+R452+R480+R491+R519+R527</f>
        <v>4</v>
      </c>
    </row>
    <row r="547" spans="1:18" s="16" customFormat="1" ht="14.25" customHeight="1">
      <c r="A547" s="1628" t="s">
        <v>64</v>
      </c>
      <c r="B547" s="1629"/>
      <c r="C547" s="1629"/>
      <c r="D547" s="1629"/>
      <c r="E547" s="1629"/>
      <c r="F547" s="1629"/>
      <c r="G547" s="1629"/>
      <c r="H547" s="1629"/>
      <c r="I547" s="1629"/>
      <c r="J547" s="1629"/>
      <c r="K547" s="1629"/>
      <c r="L547" s="1629"/>
      <c r="M547" s="1629"/>
      <c r="N547" s="1629"/>
      <c r="O547" s="1629"/>
      <c r="P547" s="1629"/>
      <c r="Q547" s="1629"/>
      <c r="R547" s="1630"/>
    </row>
    <row r="548" spans="1:18" s="16" customFormat="1" ht="12" customHeight="1">
      <c r="A548" s="266">
        <v>34</v>
      </c>
      <c r="B548" s="209">
        <v>1</v>
      </c>
      <c r="C548" s="268" t="s">
        <v>110</v>
      </c>
      <c r="D548" s="306" t="s">
        <v>733</v>
      </c>
      <c r="E548" s="361"/>
      <c r="F548" s="361"/>
      <c r="G548" s="270"/>
      <c r="H548" s="361"/>
      <c r="I548" s="361"/>
      <c r="J548" s="361"/>
      <c r="K548" s="361"/>
      <c r="L548" s="361"/>
      <c r="M548" s="361"/>
      <c r="N548" s="361"/>
      <c r="O548" s="361"/>
      <c r="P548" s="361"/>
      <c r="Q548" s="271"/>
      <c r="R548" s="481"/>
    </row>
    <row r="549" spans="1:18" s="16" customFormat="1" ht="12" customHeight="1">
      <c r="A549" s="266"/>
      <c r="B549" s="209"/>
      <c r="C549" s="268"/>
      <c r="D549" s="157" t="s">
        <v>149</v>
      </c>
      <c r="E549" s="361"/>
      <c r="F549" s="361"/>
      <c r="G549" s="211">
        <v>18307</v>
      </c>
      <c r="H549" s="361"/>
      <c r="I549" s="361"/>
      <c r="J549" s="361"/>
      <c r="K549" s="361"/>
      <c r="L549" s="270">
        <f>G549</f>
        <v>18307</v>
      </c>
      <c r="M549" s="270"/>
      <c r="N549" s="270"/>
      <c r="O549" s="270"/>
      <c r="P549" s="361"/>
      <c r="Q549" s="271">
        <f>SUM(L549:P549)</f>
        <v>18307</v>
      </c>
      <c r="R549" s="481"/>
    </row>
    <row r="550" spans="1:18" s="16" customFormat="1" ht="12" customHeight="1">
      <c r="A550" s="266"/>
      <c r="B550" s="209"/>
      <c r="C550" s="268"/>
      <c r="D550" s="157" t="s">
        <v>150</v>
      </c>
      <c r="E550" s="361"/>
      <c r="F550" s="361"/>
      <c r="G550" s="211">
        <v>35414</v>
      </c>
      <c r="H550" s="361"/>
      <c r="I550" s="361"/>
      <c r="J550" s="361"/>
      <c r="K550" s="361"/>
      <c r="L550" s="270">
        <f>SUM(G550:K550)</f>
        <v>35414</v>
      </c>
      <c r="M550" s="270"/>
      <c r="N550" s="270"/>
      <c r="O550" s="270"/>
      <c r="P550" s="361"/>
      <c r="Q550" s="271">
        <f>SUM(L550:P550)</f>
        <v>35414</v>
      </c>
      <c r="R550" s="481"/>
    </row>
    <row r="551" spans="1:18" s="16" customFormat="1" ht="12" customHeight="1">
      <c r="A551" s="266"/>
      <c r="B551" s="209"/>
      <c r="C551" s="268"/>
      <c r="D551" s="136" t="s">
        <v>151</v>
      </c>
      <c r="E551" s="361"/>
      <c r="F551" s="361"/>
      <c r="G551" s="211">
        <v>18307</v>
      </c>
      <c r="H551" s="361"/>
      <c r="I551" s="361"/>
      <c r="J551" s="361"/>
      <c r="K551" s="361"/>
      <c r="L551" s="270">
        <f>SUM(G551:K551)</f>
        <v>18307</v>
      </c>
      <c r="M551" s="270"/>
      <c r="N551" s="270"/>
      <c r="O551" s="270"/>
      <c r="P551" s="361"/>
      <c r="Q551" s="271">
        <f>SUM(L551:P551)</f>
        <v>18307</v>
      </c>
      <c r="R551" s="481"/>
    </row>
    <row r="552" spans="1:18" s="16" customFormat="1" ht="12" customHeight="1">
      <c r="A552" s="217">
        <v>35</v>
      </c>
      <c r="B552" s="206"/>
      <c r="C552" s="207"/>
      <c r="D552" s="749" t="s">
        <v>996</v>
      </c>
      <c r="E552" s="284"/>
      <c r="F552" s="284"/>
      <c r="G552" s="220"/>
      <c r="H552" s="284"/>
      <c r="I552" s="284"/>
      <c r="J552" s="284"/>
      <c r="K552" s="284"/>
      <c r="L552" s="220"/>
      <c r="M552" s="220"/>
      <c r="N552" s="220"/>
      <c r="O552" s="220"/>
      <c r="P552" s="284"/>
      <c r="Q552" s="243"/>
      <c r="R552" s="453"/>
    </row>
    <row r="553" spans="1:18" s="16" customFormat="1" ht="12" customHeight="1">
      <c r="A553" s="217"/>
      <c r="B553" s="206"/>
      <c r="C553" s="207" t="s">
        <v>111</v>
      </c>
      <c r="D553" s="157" t="s">
        <v>149</v>
      </c>
      <c r="E553" s="284"/>
      <c r="F553" s="284"/>
      <c r="G553" s="197">
        <v>2000000</v>
      </c>
      <c r="H553" s="284"/>
      <c r="I553" s="284"/>
      <c r="J553" s="284"/>
      <c r="K553" s="284"/>
      <c r="L553" s="220">
        <f aca="true" t="shared" si="119" ref="L553:L558">SUM(E553:K553)</f>
        <v>2000000</v>
      </c>
      <c r="M553" s="220"/>
      <c r="N553" s="220"/>
      <c r="O553" s="220"/>
      <c r="P553" s="284"/>
      <c r="Q553" s="243">
        <f aca="true" t="shared" si="120" ref="Q553:Q558">SUM(L553:P553)</f>
        <v>2000000</v>
      </c>
      <c r="R553" s="453"/>
    </row>
    <row r="554" spans="1:18" s="16" customFormat="1" ht="12" customHeight="1">
      <c r="A554" s="217"/>
      <c r="B554" s="206"/>
      <c r="C554" s="207"/>
      <c r="D554" s="157" t="s">
        <v>150</v>
      </c>
      <c r="E554" s="284"/>
      <c r="F554" s="284"/>
      <c r="G554" s="197">
        <v>2357000</v>
      </c>
      <c r="H554" s="284"/>
      <c r="I554" s="284"/>
      <c r="J554" s="284"/>
      <c r="K554" s="284"/>
      <c r="L554" s="220">
        <f t="shared" si="119"/>
        <v>2357000</v>
      </c>
      <c r="M554" s="220"/>
      <c r="N554" s="220"/>
      <c r="O554" s="220"/>
      <c r="P554" s="284"/>
      <c r="Q554" s="243">
        <f t="shared" si="120"/>
        <v>2357000</v>
      </c>
      <c r="R554" s="453"/>
    </row>
    <row r="555" spans="1:18" s="16" customFormat="1" ht="12" customHeight="1">
      <c r="A555" s="189"/>
      <c r="B555" s="201"/>
      <c r="C555" s="202"/>
      <c r="D555" s="136" t="s">
        <v>151</v>
      </c>
      <c r="E555" s="285"/>
      <c r="F555" s="285"/>
      <c r="G555" s="203">
        <f>495000+1861700</f>
        <v>2356700</v>
      </c>
      <c r="H555" s="285"/>
      <c r="I555" s="285"/>
      <c r="J555" s="285"/>
      <c r="K555" s="285"/>
      <c r="L555" s="222">
        <f t="shared" si="119"/>
        <v>2356700</v>
      </c>
      <c r="M555" s="222"/>
      <c r="N555" s="222"/>
      <c r="O555" s="222"/>
      <c r="P555" s="285"/>
      <c r="Q555" s="212">
        <f t="shared" si="120"/>
        <v>2356700</v>
      </c>
      <c r="R555" s="465"/>
    </row>
    <row r="556" spans="1:18" s="16" customFormat="1" ht="12" customHeight="1">
      <c r="A556" s="217"/>
      <c r="B556" s="206"/>
      <c r="C556" s="207" t="s">
        <v>110</v>
      </c>
      <c r="D556" s="157" t="s">
        <v>149</v>
      </c>
      <c r="E556" s="284"/>
      <c r="F556" s="284"/>
      <c r="G556" s="197">
        <v>3000000</v>
      </c>
      <c r="H556" s="284"/>
      <c r="I556" s="284"/>
      <c r="J556" s="284"/>
      <c r="K556" s="284"/>
      <c r="L556" s="220">
        <f t="shared" si="119"/>
        <v>3000000</v>
      </c>
      <c r="M556" s="220"/>
      <c r="N556" s="220"/>
      <c r="O556" s="220"/>
      <c r="P556" s="284"/>
      <c r="Q556" s="243">
        <f t="shared" si="120"/>
        <v>3000000</v>
      </c>
      <c r="R556" s="453"/>
    </row>
    <row r="557" spans="1:18" s="16" customFormat="1" ht="12" customHeight="1">
      <c r="A557" s="217"/>
      <c r="B557" s="206"/>
      <c r="C557" s="207"/>
      <c r="D557" s="157" t="s">
        <v>150</v>
      </c>
      <c r="E557" s="284"/>
      <c r="F557" s="284"/>
      <c r="G557" s="197">
        <v>3002100</v>
      </c>
      <c r="H557" s="284"/>
      <c r="I557" s="284"/>
      <c r="J557" s="284"/>
      <c r="K557" s="284"/>
      <c r="L557" s="220">
        <f t="shared" si="119"/>
        <v>3002100</v>
      </c>
      <c r="M557" s="220"/>
      <c r="N557" s="220"/>
      <c r="O557" s="220"/>
      <c r="P557" s="284"/>
      <c r="Q557" s="243">
        <f t="shared" si="120"/>
        <v>3002100</v>
      </c>
      <c r="R557" s="453"/>
    </row>
    <row r="558" spans="1:18" s="16" customFormat="1" ht="12" customHeight="1" thickBot="1">
      <c r="A558" s="189"/>
      <c r="B558" s="279"/>
      <c r="C558" s="280"/>
      <c r="D558" s="136" t="s">
        <v>151</v>
      </c>
      <c r="E558" s="293"/>
      <c r="F558" s="293"/>
      <c r="G558" s="281">
        <v>3002011</v>
      </c>
      <c r="H558" s="293"/>
      <c r="I558" s="293"/>
      <c r="J558" s="293"/>
      <c r="K558" s="293"/>
      <c r="L558" s="286">
        <f t="shared" si="119"/>
        <v>3002011</v>
      </c>
      <c r="M558" s="1080"/>
      <c r="N558" s="222"/>
      <c r="O558" s="222"/>
      <c r="P558" s="285"/>
      <c r="Q558" s="212">
        <f t="shared" si="120"/>
        <v>3002011</v>
      </c>
      <c r="R558" s="465"/>
    </row>
    <row r="559" spans="1:18" ht="18" customHeight="1" thickBot="1">
      <c r="A559" s="1658" t="s">
        <v>850</v>
      </c>
      <c r="B559" s="1659"/>
      <c r="C559" s="1659"/>
      <c r="D559" s="1659"/>
      <c r="E559" s="1659"/>
      <c r="F559" s="1659"/>
      <c r="G559" s="1659"/>
      <c r="H559" s="1659"/>
      <c r="I559" s="1659"/>
      <c r="J559" s="1659"/>
      <c r="K559" s="1659"/>
      <c r="L559" s="1659"/>
      <c r="M559" s="1660"/>
      <c r="N559" s="362"/>
      <c r="O559" s="362"/>
      <c r="P559" s="362"/>
      <c r="Q559" s="299"/>
      <c r="R559" s="482"/>
    </row>
    <row r="560" spans="1:18" ht="12" customHeight="1">
      <c r="A560" s="307"/>
      <c r="B560" s="188"/>
      <c r="C560" s="308"/>
      <c r="D560" s="136" t="s">
        <v>149</v>
      </c>
      <c r="E560" s="222">
        <f>E114+E532+E549</f>
        <v>250075</v>
      </c>
      <c r="F560" s="222">
        <f>F114+F532+F549</f>
        <v>60604</v>
      </c>
      <c r="G560" s="222">
        <f>G114+G532</f>
        <v>691167</v>
      </c>
      <c r="H560" s="222">
        <f>H114+H532+H549</f>
        <v>8300</v>
      </c>
      <c r="I560" s="222">
        <f>I114+I532+I549</f>
        <v>172596</v>
      </c>
      <c r="J560" s="222">
        <f>J114+J532+J549</f>
        <v>45150</v>
      </c>
      <c r="K560" s="222">
        <f>K114+K532+K549</f>
        <v>337320</v>
      </c>
      <c r="L560" s="222">
        <f>SUM(E560:K560)+G549+G553+G556</f>
        <v>6583519</v>
      </c>
      <c r="M560" s="222">
        <f aca="true" t="shared" si="121" ref="M560:P562">M114+M532+M549</f>
        <v>709343</v>
      </c>
      <c r="N560" s="222">
        <f t="shared" si="121"/>
        <v>19267</v>
      </c>
      <c r="O560" s="222">
        <f t="shared" si="121"/>
        <v>0</v>
      </c>
      <c r="P560" s="222">
        <f t="shared" si="121"/>
        <v>0</v>
      </c>
      <c r="Q560" s="222">
        <f>SUM(L560:P560)</f>
        <v>7312129</v>
      </c>
      <c r="R560" s="465">
        <f>R114+R532+R549</f>
        <v>150</v>
      </c>
    </row>
    <row r="561" spans="1:18" ht="12" customHeight="1">
      <c r="A561" s="309"/>
      <c r="B561" s="310"/>
      <c r="C561" s="311"/>
      <c r="D561" s="157" t="s">
        <v>150</v>
      </c>
      <c r="E561" s="220">
        <f>E115+E533</f>
        <v>262788</v>
      </c>
      <c r="F561" s="220">
        <f>F115+F533</f>
        <v>68059</v>
      </c>
      <c r="G561" s="220">
        <f>G115+G533</f>
        <v>740921</v>
      </c>
      <c r="H561" s="220">
        <f>H115+H533</f>
        <v>12320</v>
      </c>
      <c r="I561" s="220">
        <f>I115+I533</f>
        <v>188266</v>
      </c>
      <c r="J561" s="220">
        <f>J115+J533</f>
        <v>59982</v>
      </c>
      <c r="K561" s="220">
        <f>K115+K533</f>
        <v>322284</v>
      </c>
      <c r="L561" s="220">
        <f>SUM(E561:K561)+G550+G554+G557</f>
        <v>7049134</v>
      </c>
      <c r="M561" s="220">
        <f t="shared" si="121"/>
        <v>1125407</v>
      </c>
      <c r="N561" s="220">
        <f t="shared" si="121"/>
        <v>36498</v>
      </c>
      <c r="O561" s="220">
        <f t="shared" si="121"/>
        <v>14443</v>
      </c>
      <c r="P561" s="220">
        <f t="shared" si="121"/>
        <v>0</v>
      </c>
      <c r="Q561" s="220">
        <f>Q115+Q533+Q550+Q554+Q557</f>
        <v>8225482</v>
      </c>
      <c r="R561" s="453">
        <v>150</v>
      </c>
    </row>
    <row r="562" spans="1:18" ht="12" customHeight="1" thickBot="1">
      <c r="A562" s="307"/>
      <c r="B562" s="191"/>
      <c r="C562" s="308"/>
      <c r="D562" s="210" t="s">
        <v>151</v>
      </c>
      <c r="E562" s="222">
        <f>E116+E534+E551</f>
        <v>245679</v>
      </c>
      <c r="F562" s="222">
        <f>F116+F534+F551</f>
        <v>60767</v>
      </c>
      <c r="G562" s="222">
        <f>G116+G534</f>
        <v>521157</v>
      </c>
      <c r="H562" s="222">
        <f>H116+H534+H551</f>
        <v>7639</v>
      </c>
      <c r="I562" s="222">
        <f>I116+I534+I551</f>
        <v>183108</v>
      </c>
      <c r="J562" s="222">
        <f>J116+J534+J551</f>
        <v>55832</v>
      </c>
      <c r="K562" s="222">
        <f>K116+K534+K551</f>
        <v>0</v>
      </c>
      <c r="L562" s="286">
        <f>SUM(E562:K562)+G555+G551+G558</f>
        <v>6451200</v>
      </c>
      <c r="M562" s="222">
        <f t="shared" si="121"/>
        <v>425235</v>
      </c>
      <c r="N562" s="222">
        <f t="shared" si="121"/>
        <v>2858</v>
      </c>
      <c r="O562" s="222">
        <f t="shared" si="121"/>
        <v>14442</v>
      </c>
      <c r="P562" s="222">
        <f t="shared" si="121"/>
        <v>0</v>
      </c>
      <c r="Q562" s="248">
        <f>Q116+Q534+Q551+Q555+Q558</f>
        <v>6893735</v>
      </c>
      <c r="R562" s="455">
        <f>R116+R534+R551</f>
        <v>117</v>
      </c>
    </row>
    <row r="563" spans="1:18" ht="12.75" customHeight="1">
      <c r="A563" s="1620" t="s">
        <v>1057</v>
      </c>
      <c r="B563" s="1621"/>
      <c r="C563" s="1621"/>
      <c r="D563" s="1621"/>
      <c r="E563" s="224"/>
      <c r="F563" s="224"/>
      <c r="G563" s="224"/>
      <c r="H563" s="224"/>
      <c r="I563" s="224"/>
      <c r="J563" s="224"/>
      <c r="K563" s="224"/>
      <c r="L563" s="224"/>
      <c r="M563" s="224"/>
      <c r="N563" s="224"/>
      <c r="O563" s="224"/>
      <c r="P563" s="224"/>
      <c r="Q563" s="257"/>
      <c r="R563" s="466"/>
    </row>
    <row r="564" spans="1:18" ht="12.75" customHeight="1">
      <c r="A564" s="228"/>
      <c r="B564" s="190"/>
      <c r="C564" s="190"/>
      <c r="D564" s="210" t="s">
        <v>149</v>
      </c>
      <c r="E564" s="222">
        <f aca="true" t="shared" si="122" ref="E564:K566">E560+E42</f>
        <v>585068</v>
      </c>
      <c r="F564" s="222">
        <f t="shared" si="122"/>
        <v>155518</v>
      </c>
      <c r="G564" s="222">
        <f t="shared" si="122"/>
        <v>785713</v>
      </c>
      <c r="H564" s="222">
        <f t="shared" si="122"/>
        <v>8450</v>
      </c>
      <c r="I564" s="222">
        <f t="shared" si="122"/>
        <v>172596</v>
      </c>
      <c r="J564" s="222">
        <f t="shared" si="122"/>
        <v>65130</v>
      </c>
      <c r="K564" s="222">
        <f t="shared" si="122"/>
        <v>337320</v>
      </c>
      <c r="L564" s="222">
        <f>SUM(E564:K564)+G549+G553+G556</f>
        <v>7128102</v>
      </c>
      <c r="M564" s="222">
        <f aca="true" t="shared" si="123" ref="M564:P566">M560+M42</f>
        <v>709343</v>
      </c>
      <c r="N564" s="222">
        <f t="shared" si="123"/>
        <v>19267</v>
      </c>
      <c r="O564" s="222">
        <f t="shared" si="123"/>
        <v>0</v>
      </c>
      <c r="P564" s="222">
        <f t="shared" si="123"/>
        <v>0</v>
      </c>
      <c r="Q564" s="212">
        <f>SUM(L564:P564)</f>
        <v>7856712</v>
      </c>
      <c r="R564" s="465">
        <f>R560+R42</f>
        <v>282.25</v>
      </c>
    </row>
    <row r="565" spans="1:18" ht="12.75" customHeight="1">
      <c r="A565" s="205"/>
      <c r="B565" s="218"/>
      <c r="C565" s="218"/>
      <c r="D565" s="157" t="s">
        <v>150</v>
      </c>
      <c r="E565" s="220">
        <f t="shared" si="122"/>
        <v>610392</v>
      </c>
      <c r="F565" s="220">
        <f t="shared" si="122"/>
        <v>167120</v>
      </c>
      <c r="G565" s="220">
        <f t="shared" si="122"/>
        <v>845653</v>
      </c>
      <c r="H565" s="220">
        <f t="shared" si="122"/>
        <v>12500</v>
      </c>
      <c r="I565" s="220">
        <f t="shared" si="122"/>
        <v>188266</v>
      </c>
      <c r="J565" s="220">
        <f t="shared" si="122"/>
        <v>79962</v>
      </c>
      <c r="K565" s="220">
        <f t="shared" si="122"/>
        <v>322284</v>
      </c>
      <c r="L565" s="220">
        <f>SUM(E565:K565)+G554+G550+G557</f>
        <v>7620691</v>
      </c>
      <c r="M565" s="220">
        <f t="shared" si="123"/>
        <v>1127907</v>
      </c>
      <c r="N565" s="220">
        <f t="shared" si="123"/>
        <v>36498</v>
      </c>
      <c r="O565" s="220">
        <f t="shared" si="123"/>
        <v>14443</v>
      </c>
      <c r="P565" s="220">
        <f t="shared" si="123"/>
        <v>0</v>
      </c>
      <c r="Q565" s="243">
        <f>SUM(L565:P565)</f>
        <v>8799539</v>
      </c>
      <c r="R565" s="453">
        <f>R561+R43</f>
        <v>280.25</v>
      </c>
    </row>
    <row r="566" spans="1:18" ht="12.75" customHeight="1" thickBot="1">
      <c r="A566" s="228"/>
      <c r="B566" s="190"/>
      <c r="C566" s="190"/>
      <c r="D566" s="155" t="s">
        <v>151</v>
      </c>
      <c r="E566" s="222">
        <f t="shared" si="122"/>
        <v>585054</v>
      </c>
      <c r="F566" s="222">
        <f t="shared" si="122"/>
        <v>156888</v>
      </c>
      <c r="G566" s="222">
        <f t="shared" si="122"/>
        <v>612094</v>
      </c>
      <c r="H566" s="222">
        <f t="shared" si="122"/>
        <v>7819</v>
      </c>
      <c r="I566" s="222">
        <f t="shared" si="122"/>
        <v>183108</v>
      </c>
      <c r="J566" s="222">
        <f t="shared" si="122"/>
        <v>75811</v>
      </c>
      <c r="K566" s="222">
        <f t="shared" si="122"/>
        <v>0</v>
      </c>
      <c r="L566" s="222">
        <f>SUM(E566:K566)+G555+G558+G551</f>
        <v>6997792</v>
      </c>
      <c r="M566" s="222">
        <f t="shared" si="123"/>
        <v>427712</v>
      </c>
      <c r="N566" s="222">
        <f t="shared" si="123"/>
        <v>2858</v>
      </c>
      <c r="O566" s="222">
        <f t="shared" si="123"/>
        <v>14442</v>
      </c>
      <c r="P566" s="222">
        <f t="shared" si="123"/>
        <v>0</v>
      </c>
      <c r="Q566" s="212">
        <f>SUM(L566:P566)</f>
        <v>7442804</v>
      </c>
      <c r="R566" s="465">
        <f>R562+R44</f>
        <v>244</v>
      </c>
    </row>
    <row r="567" spans="1:18" s="20" customFormat="1" ht="12.75" customHeight="1">
      <c r="A567" s="1648" t="s">
        <v>158</v>
      </c>
      <c r="B567" s="1621"/>
      <c r="C567" s="1621"/>
      <c r="D567" s="1621"/>
      <c r="E567" s="264"/>
      <c r="F567" s="264"/>
      <c r="G567" s="264"/>
      <c r="H567" s="264"/>
      <c r="I567" s="264"/>
      <c r="J567" s="264"/>
      <c r="K567" s="264"/>
      <c r="L567" s="257"/>
      <c r="M567" s="264"/>
      <c r="N567" s="264"/>
      <c r="O567" s="264"/>
      <c r="P567" s="264"/>
      <c r="Q567" s="257"/>
      <c r="R567" s="483"/>
    </row>
    <row r="568" spans="1:18" s="20" customFormat="1" ht="12.75" customHeight="1">
      <c r="A568" s="266"/>
      <c r="B568" s="304"/>
      <c r="C568" s="304"/>
      <c r="D568" s="136" t="s">
        <v>149</v>
      </c>
      <c r="E568" s="269">
        <f aca="true" t="shared" si="124" ref="E568:K570">E46+E118+E536</f>
        <v>415229</v>
      </c>
      <c r="F568" s="269">
        <f t="shared" si="124"/>
        <v>108053</v>
      </c>
      <c r="G568" s="269">
        <f t="shared" si="124"/>
        <v>507851</v>
      </c>
      <c r="H568" s="269">
        <f t="shared" si="124"/>
        <v>8300</v>
      </c>
      <c r="I568" s="269">
        <f t="shared" si="124"/>
        <v>166516</v>
      </c>
      <c r="J568" s="269">
        <f t="shared" si="124"/>
        <v>61206</v>
      </c>
      <c r="K568" s="269">
        <f t="shared" si="124"/>
        <v>325000</v>
      </c>
      <c r="L568" s="271">
        <f>SUM(E568:K568)+G556+G549</f>
        <v>4610462</v>
      </c>
      <c r="M568" s="269">
        <f aca="true" t="shared" si="125" ref="M568:P570">M46+M118+M536</f>
        <v>359043</v>
      </c>
      <c r="N568" s="269">
        <f t="shared" si="125"/>
        <v>9754</v>
      </c>
      <c r="O568" s="269">
        <f t="shared" si="125"/>
        <v>0</v>
      </c>
      <c r="P568" s="269">
        <f t="shared" si="125"/>
        <v>0</v>
      </c>
      <c r="Q568" s="212">
        <f>SUM(L568:P568)</f>
        <v>4979259</v>
      </c>
      <c r="R568" s="403">
        <f>R46+R118+R536</f>
        <v>227.1</v>
      </c>
    </row>
    <row r="569" spans="1:18" s="20" customFormat="1" ht="12.75" customHeight="1">
      <c r="A569" s="205"/>
      <c r="B569" s="218"/>
      <c r="C569" s="218"/>
      <c r="D569" s="157" t="s">
        <v>150</v>
      </c>
      <c r="E569" s="269">
        <f t="shared" si="124"/>
        <v>430972</v>
      </c>
      <c r="F569" s="269">
        <f t="shared" si="124"/>
        <v>114331</v>
      </c>
      <c r="G569" s="269">
        <f t="shared" si="124"/>
        <v>548252</v>
      </c>
      <c r="H569" s="269">
        <f t="shared" si="124"/>
        <v>12320</v>
      </c>
      <c r="I569" s="269">
        <f t="shared" si="124"/>
        <v>179506</v>
      </c>
      <c r="J569" s="269">
        <f t="shared" si="124"/>
        <v>75582</v>
      </c>
      <c r="K569" s="269">
        <f t="shared" si="124"/>
        <v>314594</v>
      </c>
      <c r="L569" s="243">
        <f>SUM(E569:K569)+G550+G557</f>
        <v>4713071</v>
      </c>
      <c r="M569" s="269">
        <f t="shared" si="125"/>
        <v>992186</v>
      </c>
      <c r="N569" s="269">
        <f t="shared" si="125"/>
        <v>9754</v>
      </c>
      <c r="O569" s="269">
        <f t="shared" si="125"/>
        <v>14443</v>
      </c>
      <c r="P569" s="269">
        <f t="shared" si="125"/>
        <v>0</v>
      </c>
      <c r="Q569" s="243">
        <f>SUM(L569:P569)</f>
        <v>5729454</v>
      </c>
      <c r="R569" s="404">
        <f>R47+R119+R537+R550</f>
        <v>225.1</v>
      </c>
    </row>
    <row r="570" spans="1:18" s="20" customFormat="1" ht="12.75" customHeight="1" thickBot="1">
      <c r="A570" s="228"/>
      <c r="B570" s="190"/>
      <c r="C570" s="190"/>
      <c r="D570" s="210" t="s">
        <v>151</v>
      </c>
      <c r="E570" s="269">
        <f t="shared" si="124"/>
        <v>420529</v>
      </c>
      <c r="F570" s="269">
        <f t="shared" si="124"/>
        <v>110259</v>
      </c>
      <c r="G570" s="269">
        <f t="shared" si="124"/>
        <v>389139</v>
      </c>
      <c r="H570" s="269">
        <f t="shared" si="124"/>
        <v>7639</v>
      </c>
      <c r="I570" s="269">
        <f t="shared" si="124"/>
        <v>177258</v>
      </c>
      <c r="J570" s="269">
        <f t="shared" si="124"/>
        <v>71449</v>
      </c>
      <c r="K570" s="269">
        <f t="shared" si="124"/>
        <v>0</v>
      </c>
      <c r="L570" s="212">
        <f>SUM(E570:K570)+G551+G558</f>
        <v>4196591</v>
      </c>
      <c r="M570" s="269">
        <f t="shared" si="125"/>
        <v>412201</v>
      </c>
      <c r="N570" s="269">
        <f t="shared" si="125"/>
        <v>0</v>
      </c>
      <c r="O570" s="269">
        <f t="shared" si="125"/>
        <v>14442</v>
      </c>
      <c r="P570" s="269">
        <f t="shared" si="125"/>
        <v>0</v>
      </c>
      <c r="Q570" s="262">
        <f>SUM(L570:P570)</f>
        <v>4623234</v>
      </c>
      <c r="R570" s="403">
        <f>R48+R120+R538+R551</f>
        <v>190.85</v>
      </c>
    </row>
    <row r="571" spans="1:18" s="20" customFormat="1" ht="12.75" customHeight="1">
      <c r="A571" s="1635" t="s">
        <v>188</v>
      </c>
      <c r="B571" s="1636"/>
      <c r="C571" s="1636"/>
      <c r="D571" s="1637"/>
      <c r="E571" s="264"/>
      <c r="F571" s="264"/>
      <c r="G571" s="264"/>
      <c r="H571" s="264"/>
      <c r="I571" s="264"/>
      <c r="J571" s="264"/>
      <c r="K571" s="264"/>
      <c r="L571" s="257"/>
      <c r="M571" s="264"/>
      <c r="N571" s="264"/>
      <c r="O571" s="264"/>
      <c r="P571" s="264"/>
      <c r="Q571" s="257"/>
      <c r="R571" s="484"/>
    </row>
    <row r="572" spans="1:18" s="20" customFormat="1" ht="12.75" customHeight="1">
      <c r="A572" s="205"/>
      <c r="B572" s="218"/>
      <c r="C572" s="218"/>
      <c r="D572" s="157" t="s">
        <v>149</v>
      </c>
      <c r="E572" s="208">
        <f aca="true" t="shared" si="126" ref="E572:K573">E66</f>
        <v>44611</v>
      </c>
      <c r="F572" s="208">
        <f t="shared" si="126"/>
        <v>12158</v>
      </c>
      <c r="G572" s="208">
        <f t="shared" si="126"/>
        <v>6200</v>
      </c>
      <c r="H572" s="208">
        <f t="shared" si="126"/>
        <v>0</v>
      </c>
      <c r="I572" s="208">
        <f t="shared" si="126"/>
        <v>0</v>
      </c>
      <c r="J572" s="208">
        <f t="shared" si="126"/>
        <v>0</v>
      </c>
      <c r="K572" s="208">
        <f t="shared" si="126"/>
        <v>0</v>
      </c>
      <c r="L572" s="243">
        <f>SUM(E572:K572)</f>
        <v>62969</v>
      </c>
      <c r="M572" s="208">
        <f>M66</f>
        <v>0</v>
      </c>
      <c r="N572" s="208">
        <f>N66+N274</f>
        <v>0</v>
      </c>
      <c r="O572" s="208"/>
      <c r="P572" s="208">
        <f>P66+P274</f>
        <v>0</v>
      </c>
      <c r="Q572" s="243">
        <f>SUM(L572:P572)</f>
        <v>62969</v>
      </c>
      <c r="R572" s="404">
        <v>13.2</v>
      </c>
    </row>
    <row r="573" spans="1:18" s="20" customFormat="1" ht="12.75" customHeight="1">
      <c r="A573" s="205"/>
      <c r="B573" s="218"/>
      <c r="C573" s="218"/>
      <c r="D573" s="157" t="s">
        <v>150</v>
      </c>
      <c r="E573" s="208">
        <f t="shared" si="126"/>
        <v>45201</v>
      </c>
      <c r="F573" s="208">
        <f t="shared" si="126"/>
        <v>12817</v>
      </c>
      <c r="G573" s="208">
        <f t="shared" si="126"/>
        <v>8200</v>
      </c>
      <c r="H573" s="208">
        <f t="shared" si="126"/>
        <v>0</v>
      </c>
      <c r="I573" s="208">
        <f t="shared" si="126"/>
        <v>0</v>
      </c>
      <c r="J573" s="208">
        <f t="shared" si="126"/>
        <v>0</v>
      </c>
      <c r="K573" s="208">
        <f t="shared" si="126"/>
        <v>0</v>
      </c>
      <c r="L573" s="243">
        <f>SUM(E573:K573)</f>
        <v>66218</v>
      </c>
      <c r="M573" s="208">
        <f>M67</f>
        <v>0</v>
      </c>
      <c r="N573" s="208">
        <f>N67+N275</f>
        <v>0</v>
      </c>
      <c r="O573" s="208"/>
      <c r="P573" s="208">
        <f>P67+P275</f>
        <v>0</v>
      </c>
      <c r="Q573" s="243">
        <f>SUM(L573:P573)</f>
        <v>66218</v>
      </c>
      <c r="R573" s="404">
        <v>13.2</v>
      </c>
    </row>
    <row r="574" spans="1:18" s="20" customFormat="1" ht="12.75" customHeight="1" thickBot="1">
      <c r="A574" s="228"/>
      <c r="B574" s="190"/>
      <c r="C574" s="190"/>
      <c r="D574" s="210" t="s">
        <v>151</v>
      </c>
      <c r="E574" s="208">
        <f aca="true" t="shared" si="127" ref="E574:J574">E68</f>
        <v>39837</v>
      </c>
      <c r="F574" s="208">
        <f t="shared" si="127"/>
        <v>11228</v>
      </c>
      <c r="G574" s="208">
        <f t="shared" si="127"/>
        <v>3804</v>
      </c>
      <c r="H574" s="208">
        <f t="shared" si="127"/>
        <v>0</v>
      </c>
      <c r="I574" s="208">
        <f t="shared" si="127"/>
        <v>0</v>
      </c>
      <c r="J574" s="208">
        <f t="shared" si="127"/>
        <v>0</v>
      </c>
      <c r="K574" s="208">
        <f>K68+K276</f>
        <v>0</v>
      </c>
      <c r="L574" s="243">
        <f>SUM(E574:K574)</f>
        <v>54869</v>
      </c>
      <c r="M574" s="208">
        <f>M68</f>
        <v>0</v>
      </c>
      <c r="N574" s="208">
        <f>N68+N276</f>
        <v>0</v>
      </c>
      <c r="O574" s="208"/>
      <c r="P574" s="208">
        <f>P68+P276</f>
        <v>0</v>
      </c>
      <c r="Q574" s="243">
        <f>SUM(L574:P574)</f>
        <v>54869</v>
      </c>
      <c r="R574" s="1054">
        <f>R68</f>
        <v>10.2</v>
      </c>
    </row>
    <row r="575" spans="1:18" s="20" customFormat="1" ht="12.75" customHeight="1">
      <c r="A575" s="1620" t="s">
        <v>152</v>
      </c>
      <c r="B575" s="1621"/>
      <c r="C575" s="1621"/>
      <c r="D575" s="1621"/>
      <c r="E575" s="264"/>
      <c r="F575" s="264"/>
      <c r="G575" s="264"/>
      <c r="H575" s="363"/>
      <c r="I575" s="363"/>
      <c r="J575" s="363"/>
      <c r="K575" s="363"/>
      <c r="L575" s="257"/>
      <c r="M575" s="264"/>
      <c r="N575" s="264"/>
      <c r="O575" s="264"/>
      <c r="P575" s="264"/>
      <c r="Q575" s="257"/>
      <c r="R575" s="484"/>
    </row>
    <row r="576" spans="1:18" ht="12.75" customHeight="1">
      <c r="A576" s="193"/>
      <c r="B576" s="194"/>
      <c r="C576" s="294"/>
      <c r="D576" s="155" t="s">
        <v>149</v>
      </c>
      <c r="E576" s="194">
        <f aca="true" t="shared" si="128" ref="E576:K578">E50+E126+E544</f>
        <v>125228</v>
      </c>
      <c r="F576" s="194">
        <f t="shared" si="128"/>
        <v>35307</v>
      </c>
      <c r="G576" s="194">
        <f t="shared" si="128"/>
        <v>271662</v>
      </c>
      <c r="H576" s="194">
        <f t="shared" si="128"/>
        <v>150</v>
      </c>
      <c r="I576" s="194">
        <f t="shared" si="128"/>
        <v>6080</v>
      </c>
      <c r="J576" s="194">
        <f t="shared" si="128"/>
        <v>3924</v>
      </c>
      <c r="K576" s="194">
        <f t="shared" si="128"/>
        <v>12320</v>
      </c>
      <c r="L576" s="200">
        <f>SUM(E576:K576)+G553</f>
        <v>2454671</v>
      </c>
      <c r="M576" s="194">
        <f>M50+M126+M544</f>
        <v>350300</v>
      </c>
      <c r="N576" s="194">
        <f>N50+N126+N544+N549</f>
        <v>9513</v>
      </c>
      <c r="O576" s="194">
        <f aca="true" t="shared" si="129" ref="O576:P578">O50+O126+O544</f>
        <v>0</v>
      </c>
      <c r="P576" s="194">
        <f t="shared" si="129"/>
        <v>0</v>
      </c>
      <c r="Q576" s="200">
        <f>SUM(L576:P576)</f>
        <v>2814484</v>
      </c>
      <c r="R576" s="365">
        <f>R544+R50+R126</f>
        <v>42.95</v>
      </c>
    </row>
    <row r="577" spans="1:18" ht="12.75" customHeight="1">
      <c r="A577" s="205"/>
      <c r="B577" s="208"/>
      <c r="C577" s="233"/>
      <c r="D577" s="157" t="s">
        <v>150</v>
      </c>
      <c r="E577" s="208">
        <f t="shared" si="128"/>
        <v>134219</v>
      </c>
      <c r="F577" s="208">
        <f t="shared" si="128"/>
        <v>39972</v>
      </c>
      <c r="G577" s="208">
        <f t="shared" si="128"/>
        <v>289201</v>
      </c>
      <c r="H577" s="208">
        <f t="shared" si="128"/>
        <v>180</v>
      </c>
      <c r="I577" s="208">
        <f t="shared" si="128"/>
        <v>8760</v>
      </c>
      <c r="J577" s="208">
        <f t="shared" si="128"/>
        <v>4380</v>
      </c>
      <c r="K577" s="208">
        <f t="shared" si="128"/>
        <v>7690</v>
      </c>
      <c r="L577" s="243">
        <f>SUM(E577:K577)+G554</f>
        <v>2841402</v>
      </c>
      <c r="M577" s="208">
        <f>M51+M127+M545</f>
        <v>135721</v>
      </c>
      <c r="N577" s="208">
        <f>N51+N127+N545+N550</f>
        <v>26744</v>
      </c>
      <c r="O577" s="208">
        <f t="shared" si="129"/>
        <v>0</v>
      </c>
      <c r="P577" s="208">
        <f t="shared" si="129"/>
        <v>0</v>
      </c>
      <c r="Q577" s="243">
        <f>SUM(L577:P577)</f>
        <v>3003867</v>
      </c>
      <c r="R577" s="404">
        <f>R51+R127+R545</f>
        <v>42.95</v>
      </c>
    </row>
    <row r="578" spans="1:18" ht="12.75" customHeight="1" thickBot="1">
      <c r="A578" s="244"/>
      <c r="B578" s="276"/>
      <c r="C578" s="312"/>
      <c r="D578" s="313" t="s">
        <v>151</v>
      </c>
      <c r="E578" s="290">
        <f t="shared" si="128"/>
        <v>124688</v>
      </c>
      <c r="F578" s="290">
        <f t="shared" si="128"/>
        <v>35401</v>
      </c>
      <c r="G578" s="290">
        <f t="shared" si="128"/>
        <v>219151</v>
      </c>
      <c r="H578" s="290">
        <f t="shared" si="128"/>
        <v>180</v>
      </c>
      <c r="I578" s="290">
        <f t="shared" si="128"/>
        <v>5850</v>
      </c>
      <c r="J578" s="290">
        <f t="shared" si="128"/>
        <v>4362</v>
      </c>
      <c r="K578" s="290">
        <f t="shared" si="128"/>
        <v>0</v>
      </c>
      <c r="L578" s="287">
        <f>SUM(E578:K578)+G555</f>
        <v>2746332</v>
      </c>
      <c r="M578" s="290">
        <f>M52+M128+M546</f>
        <v>15511</v>
      </c>
      <c r="N578" s="290">
        <f>N52+N128+N546</f>
        <v>2858</v>
      </c>
      <c r="O578" s="290">
        <f t="shared" si="129"/>
        <v>0</v>
      </c>
      <c r="P578" s="290">
        <f t="shared" si="129"/>
        <v>0</v>
      </c>
      <c r="Q578" s="287">
        <f>SUM(L578:P578)</f>
        <v>2764701</v>
      </c>
      <c r="R578" s="469">
        <f>R52+R128+R546</f>
        <v>42.95</v>
      </c>
    </row>
    <row r="580" spans="12:18" ht="12.75" customHeight="1">
      <c r="L580" s="184"/>
      <c r="Q580" s="184"/>
      <c r="R580" s="184"/>
    </row>
    <row r="581" spans="4:18" ht="12.75" customHeight="1">
      <c r="D581" s="353"/>
      <c r="E581" s="182"/>
      <c r="F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</row>
    <row r="582" spans="5:18" ht="12.75" customHeight="1">
      <c r="E582" s="182"/>
      <c r="F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734"/>
    </row>
    <row r="583" spans="5:18" ht="12.75" customHeight="1">
      <c r="E583" s="182"/>
      <c r="F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734"/>
    </row>
    <row r="584" spans="5:18" ht="12.75" customHeight="1">
      <c r="E584" s="182"/>
      <c r="F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734"/>
    </row>
    <row r="585" spans="5:18" ht="12.75" customHeight="1">
      <c r="E585" s="182"/>
      <c r="F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734"/>
    </row>
    <row r="586" spans="5:18" ht="12.75" customHeight="1">
      <c r="E586" s="182"/>
      <c r="F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314"/>
    </row>
    <row r="587" spans="5:17" ht="12.75" customHeight="1">
      <c r="E587" s="182"/>
      <c r="F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</row>
    <row r="588" spans="5:17" ht="12.75" customHeight="1">
      <c r="E588" s="182"/>
      <c r="F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</row>
    <row r="589" spans="5:17" ht="12.75" customHeight="1">
      <c r="E589" s="182"/>
      <c r="F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</row>
    <row r="590" spans="5:17" ht="12.75" customHeight="1">
      <c r="E590" s="182"/>
      <c r="F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</row>
    <row r="591" spans="5:17" ht="12.75" customHeight="1">
      <c r="E591" s="182"/>
      <c r="F591" s="182"/>
      <c r="H591" s="182"/>
      <c r="I591" s="182"/>
      <c r="J591" s="182"/>
      <c r="K591" s="182"/>
      <c r="L591" s="182"/>
      <c r="M591" s="182"/>
      <c r="N591" s="182"/>
      <c r="O591" s="182"/>
      <c r="P591" s="182"/>
      <c r="Q591" s="182"/>
    </row>
    <row r="592" spans="5:17" ht="12.75" customHeight="1">
      <c r="E592" s="182"/>
      <c r="F592" s="182"/>
      <c r="H592" s="182"/>
      <c r="I592" s="182"/>
      <c r="J592" s="182"/>
      <c r="K592" s="182"/>
      <c r="L592" s="734"/>
      <c r="M592" s="182"/>
      <c r="N592" s="182"/>
      <c r="O592" s="182"/>
      <c r="P592" s="182"/>
      <c r="Q592" s="734"/>
    </row>
    <row r="593" spans="3:17" ht="18.75" customHeight="1">
      <c r="C593" s="1011"/>
      <c r="E593" s="182"/>
      <c r="F593" s="182"/>
      <c r="H593" s="182"/>
      <c r="I593" s="182"/>
      <c r="J593" s="182"/>
      <c r="K593" s="182"/>
      <c r="L593" s="734"/>
      <c r="M593" s="182"/>
      <c r="N593" s="182"/>
      <c r="O593" s="182"/>
      <c r="P593" s="182"/>
      <c r="Q593" s="734"/>
    </row>
    <row r="594" spans="3:17" ht="12.75" customHeight="1">
      <c r="C594" s="1011"/>
      <c r="E594" s="182"/>
      <c r="F594" s="182"/>
      <c r="H594" s="182"/>
      <c r="I594" s="182"/>
      <c r="J594" s="182"/>
      <c r="K594" s="182"/>
      <c r="L594" s="734"/>
      <c r="M594" s="182"/>
      <c r="N594" s="182"/>
      <c r="O594" s="182"/>
      <c r="P594" s="182"/>
      <c r="Q594" s="734"/>
    </row>
    <row r="595" spans="3:18" ht="12.75" customHeight="1">
      <c r="C595" s="1011"/>
      <c r="E595" s="182"/>
      <c r="F595" s="182"/>
      <c r="H595" s="182"/>
      <c r="I595" s="182"/>
      <c r="J595" s="182"/>
      <c r="K595" s="182"/>
      <c r="L595" s="182"/>
      <c r="M595" s="182"/>
      <c r="N595" s="182"/>
      <c r="O595" s="182"/>
      <c r="P595" s="182"/>
      <c r="Q595" s="182"/>
      <c r="R595" s="182"/>
    </row>
    <row r="596" spans="3:17" ht="12.75" customHeight="1">
      <c r="C596" s="1011"/>
      <c r="E596" s="182"/>
      <c r="F596" s="182"/>
      <c r="H596" s="182"/>
      <c r="I596" s="182"/>
      <c r="J596" s="182"/>
      <c r="K596" s="182"/>
      <c r="L596" s="734"/>
      <c r="M596" s="182"/>
      <c r="N596" s="182"/>
      <c r="O596" s="182"/>
      <c r="P596" s="182"/>
      <c r="Q596" s="734"/>
    </row>
    <row r="597" spans="3:17" ht="12.75" customHeight="1">
      <c r="C597" s="1011"/>
      <c r="E597" s="182"/>
      <c r="F597" s="182"/>
      <c r="H597" s="182"/>
      <c r="I597" s="182"/>
      <c r="J597" s="182"/>
      <c r="K597" s="182"/>
      <c r="L597" s="734"/>
      <c r="M597" s="182"/>
      <c r="N597" s="182"/>
      <c r="O597" s="182"/>
      <c r="P597" s="182"/>
      <c r="Q597" s="734"/>
    </row>
    <row r="598" spans="3:17" ht="12.75" customHeight="1">
      <c r="C598" s="1011"/>
      <c r="E598" s="182"/>
      <c r="F598" s="182"/>
      <c r="H598" s="182"/>
      <c r="I598" s="182"/>
      <c r="J598" s="182"/>
      <c r="K598" s="182"/>
      <c r="L598" s="734"/>
      <c r="M598" s="182"/>
      <c r="N598" s="182"/>
      <c r="O598" s="182"/>
      <c r="P598" s="182"/>
      <c r="Q598" s="734"/>
    </row>
    <row r="599" ht="12.75" customHeight="1">
      <c r="K599" s="182"/>
    </row>
  </sheetData>
  <sheetProtection/>
  <mergeCells count="49">
    <mergeCell ref="L1:R1"/>
    <mergeCell ref="A571:D571"/>
    <mergeCell ref="D401:F401"/>
    <mergeCell ref="A539:D539"/>
    <mergeCell ref="A567:D567"/>
    <mergeCell ref="A559:M559"/>
    <mergeCell ref="D437:G437"/>
    <mergeCell ref="D473:F473"/>
    <mergeCell ref="D433:G433"/>
    <mergeCell ref="D469:F469"/>
    <mergeCell ref="M2:R2"/>
    <mergeCell ref="I6:K6"/>
    <mergeCell ref="A45:D45"/>
    <mergeCell ref="A49:D49"/>
    <mergeCell ref="I7:I8"/>
    <mergeCell ref="A563:D563"/>
    <mergeCell ref="A41:D41"/>
    <mergeCell ref="A117:D117"/>
    <mergeCell ref="A125:D125"/>
    <mergeCell ref="A543:D543"/>
    <mergeCell ref="A575:D575"/>
    <mergeCell ref="A6:B6"/>
    <mergeCell ref="A7:B7"/>
    <mergeCell ref="A8:B8"/>
    <mergeCell ref="A547:R547"/>
    <mergeCell ref="C6:C8"/>
    <mergeCell ref="A531:D531"/>
    <mergeCell ref="K7:K8"/>
    <mergeCell ref="A535:D535"/>
    <mergeCell ref="D228:F228"/>
    <mergeCell ref="N6:P6"/>
    <mergeCell ref="N7:N8"/>
    <mergeCell ref="P7:P8"/>
    <mergeCell ref="O7:O8"/>
    <mergeCell ref="D200:G200"/>
    <mergeCell ref="D145:F145"/>
    <mergeCell ref="D105:F105"/>
    <mergeCell ref="D156:H156"/>
    <mergeCell ref="A113:F113"/>
    <mergeCell ref="D81:H81"/>
    <mergeCell ref="D85:E85"/>
    <mergeCell ref="D429:H429"/>
    <mergeCell ref="D365:E365"/>
    <mergeCell ref="D109:G109"/>
    <mergeCell ref="J7:J8"/>
    <mergeCell ref="D397:G397"/>
    <mergeCell ref="D381:H381"/>
    <mergeCell ref="D251:F251"/>
    <mergeCell ref="D273:E27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7" r:id="rId4"/>
  <headerFooter alignWithMargins="0">
    <oddFooter>&amp;C&amp;P. oldal</oddFooter>
  </headerFooter>
  <rowBreaks count="10" manualBreakCount="10">
    <brk id="52" max="17" man="1"/>
    <brk id="100" max="17" man="1"/>
    <brk id="151" max="17" man="1"/>
    <brk id="207" max="17" man="1"/>
    <brk id="268" max="17" man="1"/>
    <brk id="328" max="17" man="1"/>
    <brk id="384" max="17" man="1"/>
    <brk id="440" max="17" man="1"/>
    <brk id="487" max="17" man="1"/>
    <brk id="530" max="1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SheetLayoutView="100" workbookViewId="0" topLeftCell="A1">
      <selection activeCell="C1" sqref="C1:F1"/>
    </sheetView>
  </sheetViews>
  <sheetFormatPr defaultColWidth="9.00390625" defaultRowHeight="12" customHeight="1"/>
  <cols>
    <col min="1" max="1" width="3.25390625" style="1273" customWidth="1"/>
    <col min="2" max="2" width="3.125" style="1274" customWidth="1"/>
    <col min="3" max="3" width="70.875" style="1275" customWidth="1"/>
    <col min="4" max="4" width="10.25390625" style="1275" customWidth="1"/>
    <col min="5" max="5" width="12.625" style="1275" customWidth="1"/>
    <col min="6" max="6" width="9.375" style="1276" customWidth="1"/>
    <col min="7" max="16384" width="9.125" style="10" customWidth="1"/>
  </cols>
  <sheetData>
    <row r="1" spans="3:6" ht="12" customHeight="1">
      <c r="C1" s="1668" t="s">
        <v>1077</v>
      </c>
      <c r="D1" s="1668"/>
      <c r="E1" s="1668"/>
      <c r="F1" s="1668"/>
    </row>
    <row r="2" ht="12" customHeight="1">
      <c r="F2" s="1273"/>
    </row>
    <row r="3" ht="14.25" customHeight="1">
      <c r="F3" s="1273"/>
    </row>
    <row r="4" ht="16.5" customHeight="1" thickBot="1">
      <c r="F4" s="1276" t="s">
        <v>748</v>
      </c>
    </row>
    <row r="5" spans="1:6" s="11" customFormat="1" ht="18.75" customHeight="1" thickBot="1">
      <c r="A5" s="1669" t="s">
        <v>15</v>
      </c>
      <c r="B5" s="1670"/>
      <c r="C5" s="1671"/>
      <c r="D5" s="1331" t="s">
        <v>905</v>
      </c>
      <c r="E5" s="1331" t="s">
        <v>906</v>
      </c>
      <c r="F5" s="1277" t="s">
        <v>332</v>
      </c>
    </row>
    <row r="6" spans="1:9" s="1281" customFormat="1" ht="12.75" customHeight="1">
      <c r="A6" s="1278" t="s">
        <v>21</v>
      </c>
      <c r="B6" s="1279"/>
      <c r="C6" s="1280" t="s">
        <v>24</v>
      </c>
      <c r="D6" s="1311">
        <f>SUM(D7:D31)</f>
        <v>592184</v>
      </c>
      <c r="E6" s="1312">
        <f>SUM(E7:E47)</f>
        <v>935157</v>
      </c>
      <c r="F6" s="1313">
        <f>SUM(F7:F47)</f>
        <v>380816</v>
      </c>
      <c r="I6" s="1347"/>
    </row>
    <row r="7" spans="1:6" s="12" customFormat="1" ht="14.25" customHeight="1">
      <c r="A7" s="438"/>
      <c r="B7" s="440">
        <v>1</v>
      </c>
      <c r="C7" s="1282" t="s">
        <v>851</v>
      </c>
      <c r="D7" s="1321">
        <v>60934</v>
      </c>
      <c r="E7" s="1314">
        <f>70934-5000-5000-5000-15000</f>
        <v>40934</v>
      </c>
      <c r="F7" s="1283">
        <v>5259</v>
      </c>
    </row>
    <row r="8" spans="1:6" s="12" customFormat="1" ht="14.25" customHeight="1">
      <c r="A8" s="438"/>
      <c r="B8" s="440">
        <v>2</v>
      </c>
      <c r="C8" s="19" t="s">
        <v>852</v>
      </c>
      <c r="D8" s="1328">
        <v>350000</v>
      </c>
      <c r="E8" s="1314">
        <f>175000+48433+65923+10644+50000-153300-33996-13000+2000-3000-2500-28000-50000-30000+2424+71479-2000-5613+100000-33000-3000-5000-8128-16256-4318-9261-22231-16536-682+287-652-955+13037+9298</f>
        <v>107097</v>
      </c>
      <c r="F8" s="1283">
        <v>0</v>
      </c>
    </row>
    <row r="9" spans="1:6" s="12" customFormat="1" ht="14.25" customHeight="1">
      <c r="A9" s="438"/>
      <c r="B9" s="440">
        <v>3</v>
      </c>
      <c r="C9" s="25" t="s">
        <v>853</v>
      </c>
      <c r="D9" s="1324">
        <v>5000</v>
      </c>
      <c r="E9" s="1314">
        <v>5000</v>
      </c>
      <c r="F9" s="1283">
        <f>1363+10</f>
        <v>1373</v>
      </c>
    </row>
    <row r="10" spans="1:6" s="12" customFormat="1" ht="13.5" customHeight="1">
      <c r="A10" s="438"/>
      <c r="B10" s="440">
        <v>4</v>
      </c>
      <c r="C10" s="25" t="s">
        <v>315</v>
      </c>
      <c r="D10" s="1325">
        <v>8636</v>
      </c>
      <c r="E10" s="726">
        <f>3302+5334</f>
        <v>8636</v>
      </c>
      <c r="F10" s="1284">
        <v>4902</v>
      </c>
    </row>
    <row r="11" spans="1:6" s="12" customFormat="1" ht="12.75" customHeight="1">
      <c r="A11" s="438"/>
      <c r="B11" s="440">
        <v>5</v>
      </c>
      <c r="C11" s="17" t="s">
        <v>854</v>
      </c>
      <c r="D11" s="1320">
        <v>10000</v>
      </c>
      <c r="E11" s="726">
        <f>10000</f>
        <v>10000</v>
      </c>
      <c r="F11" s="1284">
        <v>0</v>
      </c>
    </row>
    <row r="12" spans="1:6" s="12" customFormat="1" ht="12.75" customHeight="1">
      <c r="A12" s="438"/>
      <c r="B12" s="440">
        <v>6</v>
      </c>
      <c r="C12" s="17" t="s">
        <v>855</v>
      </c>
      <c r="D12" s="1320">
        <v>3000</v>
      </c>
      <c r="E12" s="726">
        <f>3000+3000+762</f>
        <v>6762</v>
      </c>
      <c r="F12" s="1284">
        <f>432+578+2393+761+38+1</f>
        <v>4203</v>
      </c>
    </row>
    <row r="13" spans="1:6" s="710" customFormat="1" ht="12.75" customHeight="1">
      <c r="A13" s="438"/>
      <c r="B13" s="440">
        <v>7</v>
      </c>
      <c r="C13" s="17" t="s">
        <v>734</v>
      </c>
      <c r="D13" s="1320">
        <v>5000</v>
      </c>
      <c r="E13" s="726">
        <v>5000</v>
      </c>
      <c r="F13" s="1284">
        <v>0</v>
      </c>
    </row>
    <row r="14" spans="1:6" s="12" customFormat="1" ht="12.75" customHeight="1">
      <c r="A14" s="438"/>
      <c r="B14" s="440">
        <v>8</v>
      </c>
      <c r="C14" s="13" t="s">
        <v>327</v>
      </c>
      <c r="D14" s="1329"/>
      <c r="E14" s="1063"/>
      <c r="F14" s="1285"/>
    </row>
    <row r="15" spans="1:6" s="1288" customFormat="1" ht="12.75" customHeight="1">
      <c r="A15" s="1286"/>
      <c r="B15" s="1081"/>
      <c r="C15" s="1082" t="s">
        <v>534</v>
      </c>
      <c r="D15" s="1330">
        <v>3545</v>
      </c>
      <c r="E15" s="57">
        <f>3000+545</f>
        <v>3545</v>
      </c>
      <c r="F15" s="1287">
        <v>747</v>
      </c>
    </row>
    <row r="16" spans="1:8" s="1288" customFormat="1" ht="12.75" customHeight="1">
      <c r="A16" s="1286"/>
      <c r="B16" s="1081"/>
      <c r="C16" s="1082" t="s">
        <v>856</v>
      </c>
      <c r="D16" s="1330">
        <v>400</v>
      </c>
      <c r="E16" s="57">
        <f>400+595+255+150+800</f>
        <v>2200</v>
      </c>
      <c r="F16" s="1287">
        <f>1796+399</f>
        <v>2195</v>
      </c>
      <c r="H16" s="1368"/>
    </row>
    <row r="17" spans="1:6" s="1288" customFormat="1" ht="12.75" customHeight="1">
      <c r="A17" s="1286"/>
      <c r="B17" s="1081"/>
      <c r="C17" s="1082" t="s">
        <v>160</v>
      </c>
      <c r="D17" s="1330">
        <v>3550</v>
      </c>
      <c r="E17" s="57">
        <f>2500+600+450-437</f>
        <v>3113</v>
      </c>
      <c r="F17" s="1287">
        <v>825</v>
      </c>
    </row>
    <row r="18" spans="1:6" s="1288" customFormat="1" ht="15" customHeight="1">
      <c r="A18" s="1286"/>
      <c r="B18" s="1081"/>
      <c r="C18" s="1082" t="s">
        <v>857</v>
      </c>
      <c r="D18" s="1330">
        <v>2655</v>
      </c>
      <c r="E18" s="57">
        <f>2170+350+100+35+5512</f>
        <v>8167</v>
      </c>
      <c r="F18" s="1287">
        <f>224+35+16+18477-13308</f>
        <v>5444</v>
      </c>
    </row>
    <row r="19" spans="1:6" s="1288" customFormat="1" ht="14.25" customHeight="1">
      <c r="A19" s="1286"/>
      <c r="B19" s="1081"/>
      <c r="C19" s="1082" t="s">
        <v>60</v>
      </c>
      <c r="D19" s="1330">
        <v>150</v>
      </c>
      <c r="E19" s="57">
        <f>150+261</f>
        <v>411</v>
      </c>
      <c r="F19" s="1287">
        <v>405</v>
      </c>
    </row>
    <row r="20" spans="1:6" s="1288" customFormat="1" ht="12.75" customHeight="1">
      <c r="A20" s="1286"/>
      <c r="B20" s="1081"/>
      <c r="C20" s="1082" t="s">
        <v>61</v>
      </c>
      <c r="D20" s="1330">
        <v>300</v>
      </c>
      <c r="E20" s="57">
        <f>150+150+2500+100+150</f>
        <v>3050</v>
      </c>
      <c r="F20" s="1287">
        <f>549+2477</f>
        <v>3026</v>
      </c>
    </row>
    <row r="21" spans="1:6" s="12" customFormat="1" ht="12.75" customHeight="1">
      <c r="A21" s="438"/>
      <c r="B21" s="441">
        <v>9</v>
      </c>
      <c r="C21" s="1083" t="s">
        <v>858</v>
      </c>
      <c r="D21" s="1089">
        <v>7850</v>
      </c>
      <c r="E21" s="726">
        <f>7850+10570</f>
        <v>18420</v>
      </c>
      <c r="F21" s="1284">
        <v>0</v>
      </c>
    </row>
    <row r="22" spans="1:6" s="12" customFormat="1" ht="12.75" customHeight="1">
      <c r="A22" s="438"/>
      <c r="B22" s="441">
        <v>10</v>
      </c>
      <c r="C22" s="1083" t="s">
        <v>735</v>
      </c>
      <c r="D22" s="1089">
        <v>3810</v>
      </c>
      <c r="E22" s="726">
        <f>3000+810+3000</f>
        <v>6810</v>
      </c>
      <c r="F22" s="1284">
        <v>6766</v>
      </c>
    </row>
    <row r="23" spans="1:8" s="12" customFormat="1" ht="27.75" customHeight="1">
      <c r="A23" s="438"/>
      <c r="B23" s="441">
        <v>11</v>
      </c>
      <c r="C23" s="1083" t="s">
        <v>859</v>
      </c>
      <c r="D23" s="1089">
        <v>32831</v>
      </c>
      <c r="E23" s="726">
        <f>5080+7620+20000+131+9955+31750+3+6099+1373</f>
        <v>82011</v>
      </c>
      <c r="F23" s="1284">
        <f>36796+952+216+4648+604+6098+686</f>
        <v>50000</v>
      </c>
      <c r="H23" s="1369"/>
    </row>
    <row r="24" spans="1:6" s="12" customFormat="1" ht="12.75" customHeight="1">
      <c r="A24" s="438"/>
      <c r="B24" s="441">
        <v>12</v>
      </c>
      <c r="C24" s="1083" t="s">
        <v>736</v>
      </c>
      <c r="D24" s="1089">
        <v>1000</v>
      </c>
      <c r="E24" s="726">
        <v>1000</v>
      </c>
      <c r="F24" s="1284">
        <v>235</v>
      </c>
    </row>
    <row r="25" spans="1:6" s="12" customFormat="1" ht="12.75" customHeight="1">
      <c r="A25" s="438"/>
      <c r="B25" s="441">
        <v>13</v>
      </c>
      <c r="C25" s="1083" t="s">
        <v>860</v>
      </c>
      <c r="D25" s="1089">
        <v>46223</v>
      </c>
      <c r="E25" s="726">
        <f>46223+50000</f>
        <v>96223</v>
      </c>
      <c r="F25" s="1284">
        <v>39954</v>
      </c>
    </row>
    <row r="26" spans="1:6" s="12" customFormat="1" ht="12.75" customHeight="1">
      <c r="A26" s="438"/>
      <c r="B26" s="441">
        <v>14</v>
      </c>
      <c r="C26" s="1083" t="s">
        <v>730</v>
      </c>
      <c r="D26" s="1089">
        <v>2000</v>
      </c>
      <c r="E26" s="726">
        <v>2000</v>
      </c>
      <c r="F26" s="1284">
        <v>1980</v>
      </c>
    </row>
    <row r="27" spans="1:6" s="12" customFormat="1" ht="12.75">
      <c r="A27" s="438"/>
      <c r="B27" s="441">
        <v>15</v>
      </c>
      <c r="C27" s="17" t="s">
        <v>861</v>
      </c>
      <c r="D27" s="1326">
        <v>15000</v>
      </c>
      <c r="E27" s="726">
        <f>15000+1716</f>
        <v>16716</v>
      </c>
      <c r="F27" s="1284">
        <f>1572+8907+424+2405</f>
        <v>13308</v>
      </c>
    </row>
    <row r="28" spans="1:6" s="12" customFormat="1" ht="15" customHeight="1">
      <c r="A28" s="438"/>
      <c r="B28" s="441">
        <v>16</v>
      </c>
      <c r="C28" s="25" t="s">
        <v>862</v>
      </c>
      <c r="D28" s="1089">
        <v>2500</v>
      </c>
      <c r="E28" s="726">
        <f>1500+1000</f>
        <v>2500</v>
      </c>
      <c r="F28" s="1284">
        <v>95</v>
      </c>
    </row>
    <row r="29" spans="1:6" s="12" customFormat="1" ht="30" customHeight="1">
      <c r="A29" s="438"/>
      <c r="B29" s="441">
        <v>17</v>
      </c>
      <c r="C29" s="1289" t="s">
        <v>863</v>
      </c>
      <c r="D29" s="1327">
        <v>1800</v>
      </c>
      <c r="E29" s="1063">
        <f>1800</f>
        <v>1800</v>
      </c>
      <c r="F29" s="1285">
        <v>1750</v>
      </c>
    </row>
    <row r="30" spans="1:6" s="12" customFormat="1" ht="15" customHeight="1">
      <c r="A30" s="438"/>
      <c r="B30" s="441">
        <v>18</v>
      </c>
      <c r="C30" s="25" t="s">
        <v>864</v>
      </c>
      <c r="D30" s="1089">
        <v>20000</v>
      </c>
      <c r="E30" s="726">
        <f>20000+50000</f>
        <v>70000</v>
      </c>
      <c r="F30" s="1284">
        <v>4074</v>
      </c>
    </row>
    <row r="31" spans="1:6" s="12" customFormat="1" ht="15" customHeight="1">
      <c r="A31" s="438"/>
      <c r="B31" s="441">
        <v>19</v>
      </c>
      <c r="C31" s="1289" t="s">
        <v>865</v>
      </c>
      <c r="D31" s="1327">
        <v>6000</v>
      </c>
      <c r="E31" s="1063">
        <f>6000+3000</f>
        <v>9000</v>
      </c>
      <c r="F31" s="1285">
        <v>9000</v>
      </c>
    </row>
    <row r="32" spans="1:6" s="12" customFormat="1" ht="15" customHeight="1">
      <c r="A32" s="438"/>
      <c r="B32" s="441">
        <v>20</v>
      </c>
      <c r="C32" s="25" t="s">
        <v>866</v>
      </c>
      <c r="D32" s="1325" t="s">
        <v>904</v>
      </c>
      <c r="E32" s="726">
        <f>150000+50000</f>
        <v>200000</v>
      </c>
      <c r="F32" s="1284">
        <v>150000</v>
      </c>
    </row>
    <row r="33" spans="1:6" s="12" customFormat="1" ht="17.25" customHeight="1">
      <c r="A33" s="438"/>
      <c r="B33" s="441">
        <v>21</v>
      </c>
      <c r="C33" s="1290" t="s">
        <v>867</v>
      </c>
      <c r="D33" s="1325">
        <v>0</v>
      </c>
      <c r="E33" s="1314">
        <v>5032</v>
      </c>
      <c r="F33" s="1283"/>
    </row>
    <row r="34" spans="1:6" s="12" customFormat="1" ht="15" customHeight="1">
      <c r="A34" s="438"/>
      <c r="B34" s="441">
        <v>22</v>
      </c>
      <c r="C34" s="1290" t="s">
        <v>868</v>
      </c>
      <c r="D34" s="1325">
        <v>0</v>
      </c>
      <c r="E34" s="1314">
        <f>2540+26</f>
        <v>2566</v>
      </c>
      <c r="F34" s="1283">
        <v>1295</v>
      </c>
    </row>
    <row r="35" spans="1:6" s="12" customFormat="1" ht="27" customHeight="1">
      <c r="A35" s="438"/>
      <c r="B35" s="441">
        <v>23</v>
      </c>
      <c r="C35" s="1290" t="s">
        <v>869</v>
      </c>
      <c r="D35" s="1325">
        <v>0</v>
      </c>
      <c r="E35" s="1314">
        <f>10000+30000</f>
        <v>40000</v>
      </c>
      <c r="F35" s="1283">
        <v>15696</v>
      </c>
    </row>
    <row r="36" spans="1:6" s="12" customFormat="1" ht="24.75" customHeight="1">
      <c r="A36" s="438"/>
      <c r="B36" s="441">
        <v>24</v>
      </c>
      <c r="C36" s="1290" t="s">
        <v>870</v>
      </c>
      <c r="D36" s="1325">
        <v>0</v>
      </c>
      <c r="E36" s="1314">
        <v>28000</v>
      </c>
      <c r="F36" s="1283">
        <v>0</v>
      </c>
    </row>
    <row r="37" spans="1:6" s="12" customFormat="1" ht="15" customHeight="1">
      <c r="A37" s="438"/>
      <c r="B37" s="441">
        <v>25</v>
      </c>
      <c r="C37" s="1290" t="s">
        <v>871</v>
      </c>
      <c r="D37" s="1325">
        <v>0</v>
      </c>
      <c r="E37" s="1314">
        <v>50000</v>
      </c>
      <c r="F37" s="1283">
        <v>0</v>
      </c>
    </row>
    <row r="38" spans="1:6" s="12" customFormat="1" ht="15" customHeight="1">
      <c r="A38" s="438"/>
      <c r="B38" s="441">
        <v>26</v>
      </c>
      <c r="C38" s="1290" t="s">
        <v>872</v>
      </c>
      <c r="D38" s="1325">
        <v>0</v>
      </c>
      <c r="E38" s="1314">
        <f>20787+5613</f>
        <v>26400</v>
      </c>
      <c r="F38" s="1283">
        <v>26400</v>
      </c>
    </row>
    <row r="39" spans="1:6" s="12" customFormat="1" ht="15" customHeight="1">
      <c r="A39" s="438"/>
      <c r="B39" s="441">
        <v>27</v>
      </c>
      <c r="C39" s="1290" t="s">
        <v>873</v>
      </c>
      <c r="D39" s="1325">
        <v>0</v>
      </c>
      <c r="E39" s="1314">
        <v>6081</v>
      </c>
      <c r="F39" s="1283">
        <v>6080</v>
      </c>
    </row>
    <row r="40" spans="1:6" s="12" customFormat="1" ht="15" customHeight="1">
      <c r="A40" s="438"/>
      <c r="B40" s="441">
        <v>28</v>
      </c>
      <c r="C40" s="1290" t="s">
        <v>874</v>
      </c>
      <c r="D40" s="1325">
        <v>0</v>
      </c>
      <c r="E40" s="1314">
        <f>1000+14250</f>
        <v>15250</v>
      </c>
      <c r="F40" s="1283">
        <v>15245</v>
      </c>
    </row>
    <row r="41" spans="1:6" s="12" customFormat="1" ht="15" customHeight="1">
      <c r="A41" s="438"/>
      <c r="B41" s="441">
        <v>29</v>
      </c>
      <c r="C41" s="1290" t="s">
        <v>875</v>
      </c>
      <c r="D41" s="1325">
        <v>0</v>
      </c>
      <c r="E41" s="1314">
        <f>1000+5000</f>
        <v>6000</v>
      </c>
      <c r="F41" s="1283">
        <v>5862</v>
      </c>
    </row>
    <row r="42" spans="1:6" s="12" customFormat="1" ht="15" customHeight="1">
      <c r="A42" s="438"/>
      <c r="B42" s="441">
        <v>30</v>
      </c>
      <c r="C42" s="1290" t="s">
        <v>876</v>
      </c>
      <c r="D42" s="1325">
        <v>0</v>
      </c>
      <c r="E42" s="1314">
        <v>30000</v>
      </c>
      <c r="F42" s="1283">
        <v>0</v>
      </c>
    </row>
    <row r="43" spans="1:6" s="12" customFormat="1" ht="15" customHeight="1">
      <c r="A43" s="438"/>
      <c r="B43" s="441">
        <v>31</v>
      </c>
      <c r="C43" s="1290" t="s">
        <v>877</v>
      </c>
      <c r="D43" s="1325">
        <v>0</v>
      </c>
      <c r="E43" s="1314">
        <v>3000</v>
      </c>
      <c r="F43" s="1283">
        <v>0</v>
      </c>
    </row>
    <row r="44" spans="1:6" s="12" customFormat="1" ht="15" customHeight="1">
      <c r="A44" s="438"/>
      <c r="B44" s="441">
        <v>32</v>
      </c>
      <c r="C44" s="1290" t="s">
        <v>210</v>
      </c>
      <c r="D44" s="1325">
        <v>0</v>
      </c>
      <c r="E44" s="1314">
        <f>8128</f>
        <v>8128</v>
      </c>
      <c r="F44" s="1283">
        <v>2680</v>
      </c>
    </row>
    <row r="45" spans="1:6" s="12" customFormat="1" ht="15" customHeight="1">
      <c r="A45" s="438"/>
      <c r="B45" s="441">
        <v>33</v>
      </c>
      <c r="C45" s="1290" t="s">
        <v>878</v>
      </c>
      <c r="D45" s="1325">
        <v>0</v>
      </c>
      <c r="E45" s="1314">
        <v>2286</v>
      </c>
      <c r="F45" s="1283">
        <v>0</v>
      </c>
    </row>
    <row r="46" spans="1:6" s="12" customFormat="1" ht="15" customHeight="1">
      <c r="A46" s="438"/>
      <c r="B46" s="441">
        <v>34</v>
      </c>
      <c r="C46" s="1290" t="s">
        <v>879</v>
      </c>
      <c r="D46" s="1325">
        <v>0</v>
      </c>
      <c r="E46" s="1314">
        <v>682</v>
      </c>
      <c r="F46" s="1283">
        <f>415+266</f>
        <v>681</v>
      </c>
    </row>
    <row r="47" spans="1:6" s="12" customFormat="1" ht="15" customHeight="1">
      <c r="A47" s="438"/>
      <c r="B47" s="441">
        <v>35</v>
      </c>
      <c r="C47" s="1290" t="s">
        <v>880</v>
      </c>
      <c r="D47" s="1325">
        <v>0</v>
      </c>
      <c r="E47" s="1314">
        <v>1337</v>
      </c>
      <c r="F47" s="1283">
        <v>1336</v>
      </c>
    </row>
    <row r="48" spans="1:6" s="12" customFormat="1" ht="5.25" customHeight="1">
      <c r="A48" s="442"/>
      <c r="B48" s="441"/>
      <c r="C48" s="13"/>
      <c r="D48" s="1309"/>
      <c r="E48" s="13"/>
      <c r="F48" s="1283"/>
    </row>
    <row r="49" spans="1:6" s="24" customFormat="1" ht="14.25" customHeight="1">
      <c r="A49" s="442" t="s">
        <v>22</v>
      </c>
      <c r="B49" s="439"/>
      <c r="C49" s="711" t="s">
        <v>199</v>
      </c>
      <c r="D49" s="1318">
        <f>SUM(D50:D66)</f>
        <v>117159</v>
      </c>
      <c r="E49" s="1319">
        <f>SUM(E50:E66)</f>
        <v>192750</v>
      </c>
      <c r="F49" s="1291">
        <f>SUM(F50:F66)</f>
        <v>46896</v>
      </c>
    </row>
    <row r="50" spans="1:6" s="12" customFormat="1" ht="14.25" customHeight="1">
      <c r="A50" s="442"/>
      <c r="B50" s="441">
        <v>1</v>
      </c>
      <c r="C50" s="13" t="s">
        <v>881</v>
      </c>
      <c r="D50" s="1321">
        <v>9000</v>
      </c>
      <c r="E50" s="1314">
        <f>3000+6000</f>
        <v>9000</v>
      </c>
      <c r="F50" s="1283">
        <f>485+275+1275</f>
        <v>2035</v>
      </c>
    </row>
    <row r="51" spans="1:6" s="12" customFormat="1" ht="14.25" customHeight="1">
      <c r="A51" s="442"/>
      <c r="B51" s="441">
        <v>2</v>
      </c>
      <c r="C51" s="17" t="s">
        <v>882</v>
      </c>
      <c r="D51" s="1321">
        <v>72011</v>
      </c>
      <c r="E51" s="1314">
        <f>72011</f>
        <v>72011</v>
      </c>
      <c r="F51" s="1283">
        <v>644</v>
      </c>
    </row>
    <row r="52" spans="1:6" s="12" customFormat="1" ht="14.25" customHeight="1">
      <c r="A52" s="442"/>
      <c r="B52" s="441">
        <v>3</v>
      </c>
      <c r="C52" s="13" t="s">
        <v>883</v>
      </c>
      <c r="D52" s="1321">
        <v>5000</v>
      </c>
      <c r="E52" s="1314">
        <f>5000+5000+15000</f>
        <v>25000</v>
      </c>
      <c r="F52" s="1283">
        <v>13005</v>
      </c>
    </row>
    <row r="53" spans="1:6" s="12" customFormat="1" ht="14.25" customHeight="1">
      <c r="A53" s="442"/>
      <c r="B53" s="441">
        <v>4</v>
      </c>
      <c r="C53" s="13" t="s">
        <v>884</v>
      </c>
      <c r="D53" s="1321">
        <v>15747</v>
      </c>
      <c r="E53" s="1314">
        <f>15747-2540</f>
        <v>13207</v>
      </c>
      <c r="F53" s="1283">
        <v>5045</v>
      </c>
    </row>
    <row r="54" spans="1:6" s="12" customFormat="1" ht="14.25" customHeight="1">
      <c r="A54" s="442"/>
      <c r="B54" s="441">
        <v>5</v>
      </c>
      <c r="C54" s="13" t="s">
        <v>885</v>
      </c>
      <c r="D54" s="1321">
        <v>6501</v>
      </c>
      <c r="E54" s="1314">
        <v>6501</v>
      </c>
      <c r="F54" s="1283">
        <v>0</v>
      </c>
    </row>
    <row r="55" spans="1:6" s="12" customFormat="1" ht="14.25" customHeight="1">
      <c r="A55" s="442"/>
      <c r="B55" s="441">
        <v>6</v>
      </c>
      <c r="C55" s="17" t="s">
        <v>886</v>
      </c>
      <c r="D55" s="1320">
        <v>1800</v>
      </c>
      <c r="E55" s="726">
        <v>1800</v>
      </c>
      <c r="F55" s="1284">
        <v>0</v>
      </c>
    </row>
    <row r="56" spans="1:6" s="12" customFormat="1" ht="14.25" customHeight="1">
      <c r="A56" s="442"/>
      <c r="B56" s="441">
        <v>7</v>
      </c>
      <c r="C56" s="1289" t="s">
        <v>887</v>
      </c>
      <c r="D56" s="1323">
        <v>1800</v>
      </c>
      <c r="E56" s="1063">
        <v>1800</v>
      </c>
      <c r="F56" s="1285">
        <v>0</v>
      </c>
    </row>
    <row r="57" spans="1:6" s="12" customFormat="1" ht="14.25" customHeight="1">
      <c r="A57" s="442"/>
      <c r="B57" s="441">
        <v>8</v>
      </c>
      <c r="C57" s="25" t="s">
        <v>888</v>
      </c>
      <c r="D57" s="1324">
        <v>2500</v>
      </c>
      <c r="E57" s="1314">
        <v>2500</v>
      </c>
      <c r="F57" s="1283">
        <v>0</v>
      </c>
    </row>
    <row r="58" spans="1:6" s="12" customFormat="1" ht="14.25" customHeight="1">
      <c r="A58" s="442"/>
      <c r="B58" s="441">
        <v>9</v>
      </c>
      <c r="C58" s="1289" t="s">
        <v>889</v>
      </c>
      <c r="D58" s="1343">
        <v>1000</v>
      </c>
      <c r="E58" s="1314">
        <v>1000</v>
      </c>
      <c r="F58" s="1283">
        <v>33</v>
      </c>
    </row>
    <row r="59" spans="1:6" s="12" customFormat="1" ht="14.25" customHeight="1">
      <c r="A59" s="442"/>
      <c r="B59" s="441">
        <v>10</v>
      </c>
      <c r="C59" s="25" t="s">
        <v>890</v>
      </c>
      <c r="D59" s="1325">
        <v>1800</v>
      </c>
      <c r="E59" s="726">
        <v>1800</v>
      </c>
      <c r="F59" s="1284">
        <v>1103</v>
      </c>
    </row>
    <row r="60" spans="1:6" s="12" customFormat="1" ht="14.25" customHeight="1">
      <c r="A60" s="442"/>
      <c r="B60" s="441">
        <v>11</v>
      </c>
      <c r="C60" s="1290" t="s">
        <v>891</v>
      </c>
      <c r="D60" s="1324">
        <v>0</v>
      </c>
      <c r="E60" s="1314">
        <v>1000</v>
      </c>
      <c r="F60" s="1283">
        <v>475</v>
      </c>
    </row>
    <row r="61" spans="1:6" s="12" customFormat="1" ht="14.25" customHeight="1">
      <c r="A61" s="442"/>
      <c r="B61" s="441">
        <v>12</v>
      </c>
      <c r="C61" s="1290" t="s">
        <v>892</v>
      </c>
      <c r="D61" s="1324">
        <v>0</v>
      </c>
      <c r="E61" s="1314">
        <f>300+1500</f>
        <v>1800</v>
      </c>
      <c r="F61" s="1283">
        <f>1800</f>
        <v>1800</v>
      </c>
    </row>
    <row r="62" spans="1:6" s="12" customFormat="1" ht="18.75" customHeight="1">
      <c r="A62" s="442"/>
      <c r="B62" s="441">
        <v>13</v>
      </c>
      <c r="C62" s="1290" t="s">
        <v>893</v>
      </c>
      <c r="D62" s="1324">
        <v>0</v>
      </c>
      <c r="E62" s="1314">
        <f>5750+892+121</f>
        <v>6763</v>
      </c>
      <c r="F62" s="1283">
        <f>540+538</f>
        <v>1078</v>
      </c>
    </row>
    <row r="63" spans="1:6" s="12" customFormat="1" ht="18.75" customHeight="1">
      <c r="A63" s="442"/>
      <c r="B63" s="441">
        <v>14</v>
      </c>
      <c r="C63" s="1290" t="s">
        <v>894</v>
      </c>
      <c r="D63" s="1324">
        <v>0</v>
      </c>
      <c r="E63" s="1314">
        <f>7747+4967-951+1276+9000</f>
        <v>22039</v>
      </c>
      <c r="F63" s="1283">
        <f>0+1907+1276+540</f>
        <v>3723</v>
      </c>
    </row>
    <row r="64" spans="1:6" s="12" customFormat="1" ht="14.25" customHeight="1">
      <c r="A64" s="442"/>
      <c r="B64" s="441">
        <v>15</v>
      </c>
      <c r="C64" s="1290" t="s">
        <v>895</v>
      </c>
      <c r="D64" s="1324">
        <v>0</v>
      </c>
      <c r="E64" s="1314">
        <v>16256</v>
      </c>
      <c r="F64" s="1283">
        <v>16237</v>
      </c>
    </row>
    <row r="65" spans="1:6" s="12" customFormat="1" ht="18" customHeight="1">
      <c r="A65" s="442"/>
      <c r="B65" s="441">
        <v>16</v>
      </c>
      <c r="C65" s="1290" t="s">
        <v>896</v>
      </c>
      <c r="D65" s="1324">
        <v>0</v>
      </c>
      <c r="E65" s="1314">
        <v>4318</v>
      </c>
      <c r="F65" s="1283">
        <v>1718</v>
      </c>
    </row>
    <row r="66" spans="1:6" s="12" customFormat="1" ht="18" customHeight="1">
      <c r="A66" s="442"/>
      <c r="B66" s="441">
        <v>17</v>
      </c>
      <c r="C66" s="1290" t="s">
        <v>897</v>
      </c>
      <c r="D66" s="1324">
        <v>0</v>
      </c>
      <c r="E66" s="726">
        <v>5955</v>
      </c>
      <c r="F66" s="1284">
        <v>0</v>
      </c>
    </row>
    <row r="67" spans="1:6" s="12" customFormat="1" ht="4.5" customHeight="1" thickBot="1">
      <c r="A67" s="442"/>
      <c r="B67" s="441"/>
      <c r="C67" s="19"/>
      <c r="D67" s="1308"/>
      <c r="E67" s="1308"/>
      <c r="F67" s="1283"/>
    </row>
    <row r="68" spans="1:6" s="24" customFormat="1" ht="14.25" customHeight="1" thickBot="1" thickTop="1">
      <c r="A68" s="1672" t="s">
        <v>898</v>
      </c>
      <c r="B68" s="1673"/>
      <c r="C68" s="1674"/>
      <c r="D68" s="1315">
        <f>D49+D6</f>
        <v>709343</v>
      </c>
      <c r="E68" s="1315">
        <f>E49+E6</f>
        <v>1127907</v>
      </c>
      <c r="F68" s="1292">
        <f>F6+F49</f>
        <v>427712</v>
      </c>
    </row>
    <row r="69" spans="1:6" s="12" customFormat="1" ht="7.5" customHeight="1">
      <c r="A69" s="438"/>
      <c r="B69" s="443"/>
      <c r="C69" s="444"/>
      <c r="D69" s="1310"/>
      <c r="E69" s="1310"/>
      <c r="F69" s="1293"/>
    </row>
    <row r="70" spans="1:6" s="24" customFormat="1" ht="14.25" customHeight="1">
      <c r="A70" s="442" t="s">
        <v>26</v>
      </c>
      <c r="B70" s="1294"/>
      <c r="C70" s="1295" t="s">
        <v>107</v>
      </c>
      <c r="D70" s="1316">
        <f>SUM(D71:D77)</f>
        <v>19267</v>
      </c>
      <c r="E70" s="1316">
        <f>SUM(E71:E77)</f>
        <v>50941</v>
      </c>
      <c r="F70" s="1296">
        <f>F74+F73+F72+F71+F75+F76+F77</f>
        <v>17300</v>
      </c>
    </row>
    <row r="71" spans="1:6" s="12" customFormat="1" ht="15.75" customHeight="1">
      <c r="A71" s="438"/>
      <c r="B71" s="445">
        <v>1</v>
      </c>
      <c r="C71" s="14" t="s">
        <v>62</v>
      </c>
      <c r="D71" s="1320">
        <v>4513</v>
      </c>
      <c r="E71" s="726">
        <v>4513</v>
      </c>
      <c r="F71" s="1284">
        <v>0</v>
      </c>
    </row>
    <row r="72" spans="1:6" s="12" customFormat="1" ht="17.25" customHeight="1">
      <c r="A72" s="438"/>
      <c r="B72" s="445">
        <v>2</v>
      </c>
      <c r="C72" s="23" t="s">
        <v>738</v>
      </c>
      <c r="D72" s="1321">
        <v>5000</v>
      </c>
      <c r="E72" s="1314">
        <f>5000-5000</f>
        <v>0</v>
      </c>
      <c r="F72" s="1283">
        <v>0</v>
      </c>
    </row>
    <row r="73" spans="1:6" s="12" customFormat="1" ht="17.25" customHeight="1">
      <c r="A73" s="438"/>
      <c r="B73" s="445">
        <v>3</v>
      </c>
      <c r="C73" s="23" t="s">
        <v>899</v>
      </c>
      <c r="D73" s="1321">
        <v>9754</v>
      </c>
      <c r="E73" s="1314">
        <v>9754</v>
      </c>
      <c r="F73" s="1283">
        <v>0</v>
      </c>
    </row>
    <row r="74" spans="1:6" s="12" customFormat="1" ht="17.25" customHeight="1">
      <c r="A74" s="438"/>
      <c r="B74" s="445">
        <v>4</v>
      </c>
      <c r="C74" s="23" t="s">
        <v>900</v>
      </c>
      <c r="D74" s="1321">
        <v>0</v>
      </c>
      <c r="E74" s="1314">
        <f>2000-2000</f>
        <v>0</v>
      </c>
      <c r="F74" s="1283">
        <v>0</v>
      </c>
    </row>
    <row r="75" spans="1:6" s="12" customFormat="1" ht="26.25" customHeight="1">
      <c r="A75" s="438"/>
      <c r="B75" s="445">
        <v>5</v>
      </c>
      <c r="C75" s="23" t="s">
        <v>901</v>
      </c>
      <c r="D75" s="1321">
        <v>0</v>
      </c>
      <c r="E75" s="1314">
        <v>6923</v>
      </c>
      <c r="F75" s="1283">
        <v>6922</v>
      </c>
    </row>
    <row r="76" spans="1:6" s="12" customFormat="1" ht="18.75" customHeight="1">
      <c r="A76" s="438"/>
      <c r="B76" s="445">
        <v>6</v>
      </c>
      <c r="C76" s="23" t="s">
        <v>902</v>
      </c>
      <c r="D76" s="1321">
        <v>0</v>
      </c>
      <c r="E76" s="1314">
        <v>22231</v>
      </c>
      <c r="F76" s="1283">
        <v>2858</v>
      </c>
    </row>
    <row r="77" spans="1:6" s="12" customFormat="1" ht="42.75" customHeight="1" thickBot="1">
      <c r="A77" s="438"/>
      <c r="B77" s="445">
        <v>7</v>
      </c>
      <c r="C77" s="1297" t="s">
        <v>903</v>
      </c>
      <c r="D77" s="1322">
        <v>0</v>
      </c>
      <c r="E77" s="1317">
        <v>7520</v>
      </c>
      <c r="F77" s="1298">
        <v>7520</v>
      </c>
    </row>
    <row r="78" spans="1:6" ht="14.25" customHeight="1" thickBot="1" thickTop="1">
      <c r="A78" s="1661"/>
      <c r="B78" s="1662"/>
      <c r="C78" s="1663"/>
      <c r="D78" s="1299"/>
      <c r="E78" s="1299"/>
      <c r="F78" s="1300"/>
    </row>
    <row r="79" spans="1:6" s="1304" customFormat="1" ht="14.25" customHeight="1" thickTop="1">
      <c r="A79" s="1301"/>
      <c r="B79" s="1302"/>
      <c r="C79" s="1303" t="s">
        <v>54</v>
      </c>
      <c r="D79" s="1666">
        <f>D68+D70</f>
        <v>728610</v>
      </c>
      <c r="E79" s="1666">
        <f>E68+E70</f>
        <v>1178848</v>
      </c>
      <c r="F79" s="1664">
        <f>F68+F70</f>
        <v>445012</v>
      </c>
    </row>
    <row r="80" spans="1:6" s="1304" customFormat="1" ht="14.25" customHeight="1" thickBot="1">
      <c r="A80" s="1305"/>
      <c r="B80" s="1306"/>
      <c r="C80" s="1307" t="s">
        <v>66</v>
      </c>
      <c r="D80" s="1667"/>
      <c r="E80" s="1667"/>
      <c r="F80" s="1665"/>
    </row>
  </sheetData>
  <sheetProtection/>
  <mergeCells count="7">
    <mergeCell ref="A78:C78"/>
    <mergeCell ref="F79:F80"/>
    <mergeCell ref="D79:D80"/>
    <mergeCell ref="E79:E80"/>
    <mergeCell ref="C1:F1"/>
    <mergeCell ref="A5:C5"/>
    <mergeCell ref="A68:C68"/>
  </mergeCells>
  <printOptions horizontalCentered="1" verticalCentered="1"/>
  <pageMargins left="0.7874015748031497" right="0.7874015748031497" top="0.5905511811023623" bottom="0.3937007874015748" header="0.5118110236220472" footer="0"/>
  <pageSetup fitToHeight="2" horizontalDpi="600" verticalDpi="600" orientation="portrait" paperSize="9" scale="79" r:id="rId2"/>
  <headerFooter alignWithMargins="0">
    <oddFooter>&amp;C&amp;P. oldal</oddFooter>
  </headerFooter>
  <rowBreaks count="1" manualBreakCount="1">
    <brk id="59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5.75390625" style="40" bestFit="1" customWidth="1"/>
    <col min="2" max="2" width="56.75390625" style="40" customWidth="1"/>
    <col min="3" max="3" width="16.00390625" style="40" bestFit="1" customWidth="1"/>
    <col min="4" max="4" width="18.25390625" style="40" customWidth="1"/>
    <col min="5" max="5" width="38.25390625" style="348" bestFit="1" customWidth="1"/>
    <col min="6" max="6" width="9.125" style="40" customWidth="1"/>
    <col min="7" max="16384" width="9.125" style="27" customWidth="1"/>
  </cols>
  <sheetData>
    <row r="1" spans="1:5" ht="12.75">
      <c r="A1" s="316"/>
      <c r="B1" s="139"/>
      <c r="C1" s="317"/>
      <c r="D1" s="317"/>
      <c r="E1" s="179"/>
    </row>
    <row r="2" spans="1:9" ht="12.75">
      <c r="A2" s="316"/>
      <c r="B2" s="1933" t="s">
        <v>1078</v>
      </c>
      <c r="C2" s="1933"/>
      <c r="D2" s="1933"/>
      <c r="E2" s="1933"/>
      <c r="F2" s="1932"/>
      <c r="G2" s="28"/>
      <c r="H2" s="28"/>
      <c r="I2" s="28"/>
    </row>
    <row r="3" spans="1:5" ht="12.75">
      <c r="A3" s="316"/>
      <c r="B3" s="316" t="s">
        <v>55</v>
      </c>
      <c r="C3" s="316"/>
      <c r="D3" s="316"/>
      <c r="E3" s="316"/>
    </row>
    <row r="4" spans="1:5" ht="12.75">
      <c r="A4" s="316"/>
      <c r="B4" s="316"/>
      <c r="C4" s="316"/>
      <c r="D4" s="316"/>
      <c r="E4" s="316"/>
    </row>
    <row r="5" spans="1:5" ht="12.75">
      <c r="A5" s="316"/>
      <c r="B5" s="139"/>
      <c r="C5" s="317"/>
      <c r="D5" s="317"/>
      <c r="E5" s="319"/>
    </row>
    <row r="6" spans="1:5" ht="12.75">
      <c r="A6" s="316"/>
      <c r="B6" s="139"/>
      <c r="C6" s="317"/>
      <c r="D6" s="317"/>
      <c r="E6" s="319"/>
    </row>
    <row r="7" spans="1:5" ht="12.75">
      <c r="A7" s="316"/>
      <c r="B7" s="139"/>
      <c r="C7" s="317"/>
      <c r="D7" s="317"/>
      <c r="E7" s="319"/>
    </row>
    <row r="8" spans="1:5" ht="12.75">
      <c r="A8" s="316"/>
      <c r="B8" s="139"/>
      <c r="C8" s="317"/>
      <c r="D8" s="317"/>
      <c r="E8" s="319"/>
    </row>
    <row r="9" spans="1:5" ht="12.75">
      <c r="A9" s="316"/>
      <c r="B9" s="139"/>
      <c r="C9" s="317"/>
      <c r="D9" s="317"/>
      <c r="E9" s="318"/>
    </row>
    <row r="10" spans="1:5" ht="13.5" thickBot="1">
      <c r="A10" s="316"/>
      <c r="B10" s="139"/>
      <c r="C10" s="317"/>
      <c r="D10" s="317"/>
      <c r="E10" s="318" t="s">
        <v>27</v>
      </c>
    </row>
    <row r="11" spans="1:5" ht="26.25" thickBot="1">
      <c r="A11" s="320" t="s">
        <v>56</v>
      </c>
      <c r="B11" s="321" t="s">
        <v>142</v>
      </c>
      <c r="C11" s="322" t="s">
        <v>907</v>
      </c>
      <c r="D11" s="323" t="s">
        <v>908</v>
      </c>
      <c r="E11" s="324" t="s">
        <v>143</v>
      </c>
    </row>
    <row r="12" spans="1:5" ht="27.75" customHeight="1">
      <c r="A12" s="325" t="s">
        <v>4</v>
      </c>
      <c r="B12" s="326" t="s">
        <v>144</v>
      </c>
      <c r="C12" s="327">
        <v>1000</v>
      </c>
      <c r="D12" s="328">
        <v>250</v>
      </c>
      <c r="E12" s="329" t="s">
        <v>145</v>
      </c>
    </row>
    <row r="13" spans="1:5" ht="42.75" customHeight="1">
      <c r="A13" s="330" t="s">
        <v>5</v>
      </c>
      <c r="B13" s="331" t="s">
        <v>146</v>
      </c>
      <c r="C13" s="327">
        <v>2000</v>
      </c>
      <c r="D13" s="328">
        <v>2000</v>
      </c>
      <c r="E13" s="337" t="s">
        <v>148</v>
      </c>
    </row>
    <row r="14" spans="1:5" ht="28.5" customHeight="1">
      <c r="A14" s="330" t="s">
        <v>6</v>
      </c>
      <c r="B14" s="331" t="s">
        <v>201</v>
      </c>
      <c r="C14" s="327">
        <v>1500</v>
      </c>
      <c r="D14" s="328">
        <v>120</v>
      </c>
      <c r="E14" s="332" t="s">
        <v>145</v>
      </c>
    </row>
    <row r="15" spans="1:5" ht="46.5" customHeight="1">
      <c r="A15" s="333" t="s">
        <v>7</v>
      </c>
      <c r="B15" s="334" t="s">
        <v>147</v>
      </c>
      <c r="C15" s="335">
        <v>2000</v>
      </c>
      <c r="D15" s="336">
        <v>3820</v>
      </c>
      <c r="E15" s="337" t="s">
        <v>148</v>
      </c>
    </row>
    <row r="16" spans="1:5" ht="23.25" customHeight="1">
      <c r="A16" s="333" t="s">
        <v>8</v>
      </c>
      <c r="B16" s="334" t="s">
        <v>202</v>
      </c>
      <c r="C16" s="1337">
        <v>1820</v>
      </c>
      <c r="D16" s="1337">
        <v>0</v>
      </c>
      <c r="E16" s="337" t="s">
        <v>148</v>
      </c>
    </row>
    <row r="17" spans="1:5" ht="46.5" customHeight="1" thickBot="1">
      <c r="A17" s="338" t="s">
        <v>9</v>
      </c>
      <c r="B17" s="339" t="s">
        <v>909</v>
      </c>
      <c r="C17" s="340">
        <v>4000</v>
      </c>
      <c r="D17" s="341">
        <v>1500</v>
      </c>
      <c r="E17" s="342" t="s">
        <v>148</v>
      </c>
    </row>
    <row r="18" spans="1:5" ht="13.5" thickBot="1">
      <c r="A18" s="343"/>
      <c r="B18" s="344" t="s">
        <v>140</v>
      </c>
      <c r="C18" s="345">
        <f>SUM(C12:C17)</f>
        <v>12320</v>
      </c>
      <c r="D18" s="346">
        <f>SUM(D12:D17)</f>
        <v>7690</v>
      </c>
      <c r="E18" s="347"/>
    </row>
  </sheetData>
  <sheetProtection/>
  <mergeCells count="1">
    <mergeCell ref="B2:E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68"/>
  <sheetViews>
    <sheetView view="pageBreakPreview" zoomScaleSheetLayoutView="100" workbookViewId="0" topLeftCell="A1">
      <selection activeCell="D1" sqref="D1:I1"/>
    </sheetView>
  </sheetViews>
  <sheetFormatPr defaultColWidth="9.00390625" defaultRowHeight="12.75"/>
  <cols>
    <col min="1" max="1" width="5.25390625" style="894" customWidth="1"/>
    <col min="2" max="2" width="63.875" style="895" customWidth="1"/>
    <col min="3" max="3" width="13.625" style="894" customWidth="1"/>
    <col min="4" max="4" width="7.375" style="1116" customWidth="1"/>
    <col min="5" max="5" width="13.125" style="1116" customWidth="1"/>
    <col min="6" max="6" width="10.625" style="1116" customWidth="1"/>
    <col min="7" max="7" width="7.875" style="1116" customWidth="1"/>
    <col min="8" max="8" width="10.00390625" style="1116" customWidth="1"/>
    <col min="9" max="9" width="9.25390625" style="1116" customWidth="1"/>
    <col min="10" max="16384" width="9.125" style="896" customWidth="1"/>
  </cols>
  <sheetData>
    <row r="1" spans="4:9" ht="15">
      <c r="D1" s="1935" t="s">
        <v>1079</v>
      </c>
      <c r="E1" s="1934"/>
      <c r="F1" s="1934"/>
      <c r="G1" s="1934"/>
      <c r="H1" s="1934"/>
      <c r="I1" s="1934"/>
    </row>
    <row r="2" spans="6:9" ht="45.75" customHeight="1">
      <c r="F2" s="1710"/>
      <c r="G2" s="1710"/>
      <c r="H2" s="1710"/>
      <c r="I2" s="1710"/>
    </row>
    <row r="3" spans="1:9" ht="18" customHeight="1">
      <c r="A3" s="1711" t="s">
        <v>569</v>
      </c>
      <c r="B3" s="1712"/>
      <c r="C3" s="1712"/>
      <c r="D3" s="1712"/>
      <c r="E3" s="894"/>
      <c r="F3" s="894"/>
      <c r="G3" s="894"/>
      <c r="H3" s="894"/>
      <c r="I3" s="897" t="s">
        <v>27</v>
      </c>
    </row>
    <row r="4" spans="1:9" ht="11.25" customHeight="1">
      <c r="A4" s="1685" t="s">
        <v>56</v>
      </c>
      <c r="B4" s="1714" t="s">
        <v>570</v>
      </c>
      <c r="C4" s="1715"/>
      <c r="D4" s="1718" t="s">
        <v>571</v>
      </c>
      <c r="E4" s="1719"/>
      <c r="F4" s="1719"/>
      <c r="G4" s="1719"/>
      <c r="H4" s="1720"/>
      <c r="I4" s="1685" t="s">
        <v>572</v>
      </c>
    </row>
    <row r="5" spans="1:9" ht="45.75" customHeight="1" thickBot="1">
      <c r="A5" s="1713"/>
      <c r="B5" s="1716"/>
      <c r="C5" s="1717"/>
      <c r="D5" s="899" t="s">
        <v>573</v>
      </c>
      <c r="E5" s="898" t="s">
        <v>574</v>
      </c>
      <c r="F5" s="898" t="s">
        <v>123</v>
      </c>
      <c r="G5" s="898" t="s">
        <v>575</v>
      </c>
      <c r="H5" s="898" t="s">
        <v>576</v>
      </c>
      <c r="I5" s="1713"/>
    </row>
    <row r="6" spans="1:9" s="903" customFormat="1" ht="13.5" customHeight="1">
      <c r="A6" s="1697">
        <v>1</v>
      </c>
      <c r="B6" s="1707" t="s">
        <v>122</v>
      </c>
      <c r="C6" s="900" t="s">
        <v>577</v>
      </c>
      <c r="D6" s="901">
        <f>I6-H6-F6-G6</f>
        <v>68587</v>
      </c>
      <c r="E6" s="901">
        <v>0</v>
      </c>
      <c r="F6" s="901">
        <v>33075</v>
      </c>
      <c r="G6" s="901">
        <v>0</v>
      </c>
      <c r="H6" s="901">
        <v>366595</v>
      </c>
      <c r="I6" s="902">
        <v>468257</v>
      </c>
    </row>
    <row r="7" spans="1:9" s="903" customFormat="1" ht="13.5" customHeight="1">
      <c r="A7" s="1698"/>
      <c r="B7" s="1708"/>
      <c r="C7" s="904" t="s">
        <v>578</v>
      </c>
      <c r="D7" s="905">
        <v>707</v>
      </c>
      <c r="E7" s="905">
        <v>0</v>
      </c>
      <c r="F7" s="905">
        <v>0</v>
      </c>
      <c r="G7" s="905">
        <v>0</v>
      </c>
      <c r="H7" s="905">
        <v>0</v>
      </c>
      <c r="I7" s="905">
        <v>707</v>
      </c>
    </row>
    <row r="8" spans="1:9" s="903" customFormat="1" ht="13.5" customHeight="1">
      <c r="A8" s="1698"/>
      <c r="B8" s="1708"/>
      <c r="C8" s="906" t="s">
        <v>579</v>
      </c>
      <c r="D8" s="907">
        <f>I8-H8-F8</f>
        <v>6361</v>
      </c>
      <c r="E8" s="907"/>
      <c r="F8" s="907">
        <v>0</v>
      </c>
      <c r="G8" s="907"/>
      <c r="H8" s="907">
        <v>0</v>
      </c>
      <c r="I8" s="907">
        <v>6361</v>
      </c>
    </row>
    <row r="9" spans="1:9" s="903" customFormat="1" ht="13.5" customHeight="1">
      <c r="A9" s="1698"/>
      <c r="B9" s="1708"/>
      <c r="C9" s="904" t="s">
        <v>580</v>
      </c>
      <c r="D9" s="905">
        <f>I9-H9-F9</f>
        <v>31667</v>
      </c>
      <c r="E9" s="909"/>
      <c r="F9" s="909"/>
      <c r="G9" s="909"/>
      <c r="H9" s="909">
        <v>19623</v>
      </c>
      <c r="I9" s="909">
        <v>51290</v>
      </c>
    </row>
    <row r="10" spans="1:9" s="903" customFormat="1" ht="13.5" customHeight="1">
      <c r="A10" s="1698"/>
      <c r="B10" s="1708"/>
      <c r="C10" s="908" t="s">
        <v>746</v>
      </c>
      <c r="D10" s="909">
        <f>I10-H10-F10-G10</f>
        <v>39674</v>
      </c>
      <c r="E10" s="909"/>
      <c r="F10" s="909">
        <v>0</v>
      </c>
      <c r="G10" s="909">
        <v>0</v>
      </c>
      <c r="H10" s="909">
        <v>378381</v>
      </c>
      <c r="I10" s="909">
        <v>418055</v>
      </c>
    </row>
    <row r="11" spans="1:9" s="903" customFormat="1" ht="13.5" customHeight="1" thickBot="1">
      <c r="A11" s="1699"/>
      <c r="B11" s="1709"/>
      <c r="C11" s="910" t="s">
        <v>1027</v>
      </c>
      <c r="D11" s="911">
        <f>I11-H11-G11</f>
        <v>29207</v>
      </c>
      <c r="E11" s="911"/>
      <c r="F11" s="911"/>
      <c r="G11" s="911">
        <f>'3.bev '!G203</f>
        <v>700</v>
      </c>
      <c r="H11" s="911">
        <f>'3.bev '!G187</f>
        <v>11704</v>
      </c>
      <c r="I11" s="911">
        <f>'6.mell'!F25+1657</f>
        <v>41611</v>
      </c>
    </row>
    <row r="12" spans="1:9" s="915" customFormat="1" ht="12" customHeight="1">
      <c r="A12" s="1697">
        <v>2</v>
      </c>
      <c r="B12" s="1704" t="s">
        <v>193</v>
      </c>
      <c r="C12" s="914" t="s">
        <v>577</v>
      </c>
      <c r="D12" s="913">
        <f>I12-H12-G12</f>
        <v>193441</v>
      </c>
      <c r="E12" s="913">
        <v>0</v>
      </c>
      <c r="F12" s="913">
        <v>0</v>
      </c>
      <c r="G12" s="913">
        <f>13526+17508</f>
        <v>31034</v>
      </c>
      <c r="H12" s="913">
        <v>568321</v>
      </c>
      <c r="I12" s="913">
        <f>709321+10044+5000+15000+53431</f>
        <v>792796</v>
      </c>
    </row>
    <row r="13" spans="1:9" s="915" customFormat="1" ht="11.25">
      <c r="A13" s="1698"/>
      <c r="B13" s="1705"/>
      <c r="C13" s="904" t="s">
        <v>583</v>
      </c>
      <c r="D13" s="917">
        <v>713</v>
      </c>
      <c r="E13" s="917">
        <v>0</v>
      </c>
      <c r="F13" s="917">
        <v>0</v>
      </c>
      <c r="G13" s="917">
        <v>0</v>
      </c>
      <c r="H13" s="917">
        <v>0</v>
      </c>
      <c r="I13" s="917">
        <v>713</v>
      </c>
    </row>
    <row r="14" spans="1:9" s="915" customFormat="1" ht="11.25">
      <c r="A14" s="1698"/>
      <c r="B14" s="1705"/>
      <c r="C14" s="904" t="s">
        <v>581</v>
      </c>
      <c r="D14" s="917">
        <v>14250</v>
      </c>
      <c r="E14" s="917">
        <v>0</v>
      </c>
      <c r="F14" s="917">
        <v>0</v>
      </c>
      <c r="G14" s="917">
        <v>0</v>
      </c>
      <c r="H14" s="917">
        <v>0</v>
      </c>
      <c r="I14" s="917">
        <v>14250</v>
      </c>
    </row>
    <row r="15" spans="1:9" s="915" customFormat="1" ht="11.25">
      <c r="A15" s="1698"/>
      <c r="B15" s="1705"/>
      <c r="C15" s="904" t="s">
        <v>582</v>
      </c>
      <c r="D15" s="917">
        <v>6212</v>
      </c>
      <c r="E15" s="917">
        <f>I15-D15</f>
        <v>0</v>
      </c>
      <c r="F15" s="917">
        <v>0</v>
      </c>
      <c r="G15" s="917">
        <v>0</v>
      </c>
      <c r="H15" s="917">
        <v>0</v>
      </c>
      <c r="I15" s="917">
        <v>6212</v>
      </c>
    </row>
    <row r="16" spans="1:10" s="915" customFormat="1" ht="11.25">
      <c r="A16" s="1698"/>
      <c r="B16" s="1705"/>
      <c r="C16" s="908" t="s">
        <v>578</v>
      </c>
      <c r="D16" s="918">
        <f>I16-H16-G16</f>
        <v>-20129</v>
      </c>
      <c r="E16" s="918">
        <v>0</v>
      </c>
      <c r="F16" s="918">
        <v>0</v>
      </c>
      <c r="G16" s="918">
        <v>17508</v>
      </c>
      <c r="H16" s="918">
        <f>81836-17508</f>
        <v>64328</v>
      </c>
      <c r="I16" s="918">
        <f>45767+15940</f>
        <v>61707</v>
      </c>
      <c r="J16" s="916"/>
    </row>
    <row r="17" spans="1:10" s="915" customFormat="1" ht="11.25">
      <c r="A17" s="1698"/>
      <c r="B17" s="1705"/>
      <c r="C17" s="904" t="s">
        <v>579</v>
      </c>
      <c r="D17" s="918">
        <f>I17-H17-G17</f>
        <v>-183684</v>
      </c>
      <c r="E17" s="918"/>
      <c r="F17" s="918"/>
      <c r="G17" s="918">
        <v>13526</v>
      </c>
      <c r="H17" s="918">
        <f>284497-13526</f>
        <v>270971</v>
      </c>
      <c r="I17" s="918">
        <v>100813</v>
      </c>
      <c r="J17" s="916"/>
    </row>
    <row r="18" spans="1:10" s="915" customFormat="1" ht="11.25">
      <c r="A18" s="1698"/>
      <c r="B18" s="1705"/>
      <c r="C18" s="904" t="s">
        <v>580</v>
      </c>
      <c r="D18" s="918">
        <f>I18-H18-G18</f>
        <v>5110</v>
      </c>
      <c r="E18" s="918"/>
      <c r="F18" s="918"/>
      <c r="G18" s="918">
        <v>0</v>
      </c>
      <c r="H18" s="918">
        <v>0</v>
      </c>
      <c r="I18" s="918">
        <v>5110</v>
      </c>
      <c r="J18" s="916"/>
    </row>
    <row r="19" spans="1:10" s="915" customFormat="1" ht="11.25">
      <c r="A19" s="1698"/>
      <c r="B19" s="1705"/>
      <c r="C19" s="908" t="s">
        <v>746</v>
      </c>
      <c r="D19" s="918">
        <f>I19-H19</f>
        <v>299642</v>
      </c>
      <c r="E19" s="918">
        <f>E11-E12-E13-E14-E15-E16-E17</f>
        <v>0</v>
      </c>
      <c r="F19" s="918">
        <f>F11-F12-F13-F14-F15-F16-F17</f>
        <v>0</v>
      </c>
      <c r="G19" s="918">
        <v>0</v>
      </c>
      <c r="H19" s="918">
        <v>241386</v>
      </c>
      <c r="I19" s="918">
        <f>538506+'5.kiad'!Q87</f>
        <v>541028</v>
      </c>
      <c r="J19" s="916"/>
    </row>
    <row r="20" spans="1:10" s="915" customFormat="1" ht="12" thickBot="1">
      <c r="A20" s="1699"/>
      <c r="B20" s="1706"/>
      <c r="C20" s="910" t="s">
        <v>1027</v>
      </c>
      <c r="D20" s="924">
        <f>I20-H20</f>
        <v>-73172</v>
      </c>
      <c r="E20" s="924">
        <f>E12-E13-E14-E15-E16-E17-E18</f>
        <v>0</v>
      </c>
      <c r="F20" s="924">
        <f>F12-F13-F14-F15-F16-F17-F18</f>
        <v>0</v>
      </c>
      <c r="G20" s="924">
        <f>G12-G13-G14-G15-G16-G17-G18</f>
        <v>0</v>
      </c>
      <c r="H20" s="924">
        <f>'3.bev '!G191</f>
        <v>73489</v>
      </c>
      <c r="I20" s="924">
        <v>317</v>
      </c>
      <c r="J20" s="916"/>
    </row>
    <row r="21" spans="1:9" s="903" customFormat="1" ht="12.75">
      <c r="A21" s="1697">
        <v>3</v>
      </c>
      <c r="B21" s="1694" t="s">
        <v>246</v>
      </c>
      <c r="C21" s="919" t="s">
        <v>577</v>
      </c>
      <c r="D21" s="920">
        <f>I21-H21-G21</f>
        <v>3215</v>
      </c>
      <c r="E21" s="920"/>
      <c r="F21" s="920"/>
      <c r="G21" s="920">
        <v>2957</v>
      </c>
      <c r="H21" s="920">
        <v>33513</v>
      </c>
      <c r="I21" s="920">
        <f>39428+257</f>
        <v>39685</v>
      </c>
    </row>
    <row r="22" spans="1:9" s="903" customFormat="1" ht="12.75">
      <c r="A22" s="1698"/>
      <c r="B22" s="1695"/>
      <c r="C22" s="922" t="s">
        <v>579</v>
      </c>
      <c r="D22" s="917">
        <v>164</v>
      </c>
      <c r="E22" s="917"/>
      <c r="F22" s="917"/>
      <c r="G22" s="917"/>
      <c r="H22" s="917">
        <v>0</v>
      </c>
      <c r="I22" s="917">
        <v>164</v>
      </c>
    </row>
    <row r="23" spans="1:9" s="903" customFormat="1" ht="12.75">
      <c r="A23" s="1698"/>
      <c r="B23" s="1695"/>
      <c r="C23" s="904" t="s">
        <v>580</v>
      </c>
      <c r="D23" s="918">
        <f>I23</f>
        <v>7658</v>
      </c>
      <c r="E23" s="918"/>
      <c r="F23" s="918"/>
      <c r="G23" s="918">
        <v>0</v>
      </c>
      <c r="H23" s="918">
        <v>0</v>
      </c>
      <c r="I23" s="918">
        <v>7658</v>
      </c>
    </row>
    <row r="24" spans="1:9" s="903" customFormat="1" ht="12.75">
      <c r="A24" s="1698"/>
      <c r="B24" s="1695"/>
      <c r="C24" s="908" t="s">
        <v>746</v>
      </c>
      <c r="D24" s="918">
        <f>I24-H24</f>
        <v>-4772</v>
      </c>
      <c r="E24" s="918">
        <f>E21-E22-E23</f>
        <v>0</v>
      </c>
      <c r="F24" s="918">
        <f>F21-F22-F23</f>
        <v>0</v>
      </c>
      <c r="G24" s="918">
        <v>0</v>
      </c>
      <c r="H24" s="918">
        <v>36470</v>
      </c>
      <c r="I24" s="918">
        <v>31698</v>
      </c>
    </row>
    <row r="25" spans="1:9" s="903" customFormat="1" ht="13.5" thickBot="1">
      <c r="A25" s="1699"/>
      <c r="B25" s="1696"/>
      <c r="C25" s="910" t="s">
        <v>1027</v>
      </c>
      <c r="D25" s="924">
        <v>-2957</v>
      </c>
      <c r="E25" s="924"/>
      <c r="F25" s="924"/>
      <c r="G25" s="924">
        <f>'3.bev '!G207</f>
        <v>2957</v>
      </c>
      <c r="H25" s="924"/>
      <c r="I25" s="924">
        <v>0</v>
      </c>
    </row>
    <row r="26" spans="1:9" s="903" customFormat="1" ht="12.75">
      <c r="A26" s="1697">
        <v>4</v>
      </c>
      <c r="B26" s="1694" t="s">
        <v>247</v>
      </c>
      <c r="C26" s="919" t="s">
        <v>577</v>
      </c>
      <c r="D26" s="920">
        <f>I26-H26-G26</f>
        <v>1539</v>
      </c>
      <c r="E26" s="920"/>
      <c r="F26" s="920"/>
      <c r="G26" s="920">
        <v>1514</v>
      </c>
      <c r="H26" s="920">
        <v>17157</v>
      </c>
      <c r="I26" s="920">
        <f>25+20185</f>
        <v>20210</v>
      </c>
    </row>
    <row r="27" spans="1:9" s="903" customFormat="1" ht="12.75">
      <c r="A27" s="1698"/>
      <c r="B27" s="1695"/>
      <c r="C27" s="922" t="s">
        <v>579</v>
      </c>
      <c r="D27" s="917">
        <v>110</v>
      </c>
      <c r="E27" s="917"/>
      <c r="F27" s="917"/>
      <c r="G27" s="917"/>
      <c r="H27" s="917">
        <v>0</v>
      </c>
      <c r="I27" s="917">
        <v>110</v>
      </c>
    </row>
    <row r="28" spans="1:9" s="903" customFormat="1" ht="12.75">
      <c r="A28" s="1698"/>
      <c r="B28" s="1695"/>
      <c r="C28" s="904" t="s">
        <v>580</v>
      </c>
      <c r="D28" s="918">
        <f>I28</f>
        <v>3680</v>
      </c>
      <c r="E28" s="918"/>
      <c r="F28" s="918"/>
      <c r="G28" s="918"/>
      <c r="H28" s="918">
        <v>0</v>
      </c>
      <c r="I28" s="918">
        <v>3680</v>
      </c>
    </row>
    <row r="29" spans="1:9" s="903" customFormat="1" ht="12.75">
      <c r="A29" s="1698"/>
      <c r="B29" s="1695"/>
      <c r="C29" s="908" t="s">
        <v>746</v>
      </c>
      <c r="D29" s="918">
        <f>I29-H29-G29</f>
        <v>-2143</v>
      </c>
      <c r="E29" s="918">
        <f>E26-E27-E28</f>
        <v>0</v>
      </c>
      <c r="F29" s="918">
        <f>F26-F27-F28</f>
        <v>0</v>
      </c>
      <c r="G29" s="918">
        <v>0</v>
      </c>
      <c r="H29" s="918">
        <v>18563</v>
      </c>
      <c r="I29" s="918">
        <v>16420</v>
      </c>
    </row>
    <row r="30" spans="1:9" s="903" customFormat="1" ht="13.5" thickBot="1">
      <c r="A30" s="1699"/>
      <c r="B30" s="1696"/>
      <c r="C30" s="910" t="s">
        <v>1027</v>
      </c>
      <c r="D30" s="924">
        <v>-1495</v>
      </c>
      <c r="E30" s="924"/>
      <c r="F30" s="924"/>
      <c r="G30" s="924">
        <f>'3.bev '!G215</f>
        <v>1495</v>
      </c>
      <c r="H30" s="924"/>
      <c r="I30" s="924">
        <v>0</v>
      </c>
    </row>
    <row r="31" spans="1:9" s="903" customFormat="1" ht="12.75">
      <c r="A31" s="1697">
        <v>5</v>
      </c>
      <c r="B31" s="1694" t="s">
        <v>248</v>
      </c>
      <c r="C31" s="919" t="s">
        <v>577</v>
      </c>
      <c r="D31" s="920">
        <f>I31-H31-G31</f>
        <v>3696</v>
      </c>
      <c r="E31" s="920"/>
      <c r="F31" s="920"/>
      <c r="G31" s="920">
        <v>3646</v>
      </c>
      <c r="H31" s="920">
        <v>41322</v>
      </c>
      <c r="I31" s="920">
        <f>50+48614</f>
        <v>48664</v>
      </c>
    </row>
    <row r="32" spans="1:9" s="903" customFormat="1" ht="12.75">
      <c r="A32" s="1698"/>
      <c r="B32" s="1695"/>
      <c r="C32" s="922" t="s">
        <v>579</v>
      </c>
      <c r="D32" s="917">
        <v>135</v>
      </c>
      <c r="E32" s="917"/>
      <c r="F32" s="917"/>
      <c r="G32" s="917"/>
      <c r="H32" s="917">
        <v>0</v>
      </c>
      <c r="I32" s="917">
        <v>135</v>
      </c>
    </row>
    <row r="33" spans="1:9" s="903" customFormat="1" ht="12.75">
      <c r="A33" s="1698"/>
      <c r="B33" s="1695"/>
      <c r="C33" s="904" t="s">
        <v>580</v>
      </c>
      <c r="D33" s="918">
        <v>9373</v>
      </c>
      <c r="E33" s="918"/>
      <c r="F33" s="918"/>
      <c r="G33" s="918"/>
      <c r="H33" s="918"/>
      <c r="I33" s="918">
        <v>9373</v>
      </c>
    </row>
    <row r="34" spans="1:9" s="903" customFormat="1" ht="12.75">
      <c r="A34" s="1698"/>
      <c r="B34" s="1695"/>
      <c r="C34" s="908" t="s">
        <v>746</v>
      </c>
      <c r="D34" s="918">
        <f>D31-D32-D33</f>
        <v>-5812</v>
      </c>
      <c r="E34" s="918">
        <f>E31-E32-E33</f>
        <v>0</v>
      </c>
      <c r="F34" s="918">
        <f>F31-F32-F33</f>
        <v>0</v>
      </c>
      <c r="G34" s="918">
        <v>0</v>
      </c>
      <c r="H34" s="918">
        <v>44968</v>
      </c>
      <c r="I34" s="918">
        <v>39156</v>
      </c>
    </row>
    <row r="35" spans="1:9" s="903" customFormat="1" ht="13.5" thickBot="1">
      <c r="A35" s="1699"/>
      <c r="B35" s="1696"/>
      <c r="C35" s="910" t="s">
        <v>1027</v>
      </c>
      <c r="D35" s="924">
        <v>-3646</v>
      </c>
      <c r="E35" s="924"/>
      <c r="F35" s="924"/>
      <c r="G35" s="924">
        <f>'3.bev '!G219</f>
        <v>3646</v>
      </c>
      <c r="H35" s="924"/>
      <c r="I35" s="924">
        <v>0</v>
      </c>
    </row>
    <row r="36" spans="1:9" s="903" customFormat="1" ht="12.75" customHeight="1">
      <c r="A36" s="1697">
        <v>6</v>
      </c>
      <c r="B36" s="1694" t="s">
        <v>207</v>
      </c>
      <c r="C36" s="919" t="s">
        <v>577</v>
      </c>
      <c r="D36" s="920">
        <f>I36-H36</f>
        <v>39933</v>
      </c>
      <c r="E36" s="920"/>
      <c r="F36" s="920"/>
      <c r="G36" s="920"/>
      <c r="H36" s="920">
        <v>180000</v>
      </c>
      <c r="I36" s="920">
        <f>SUM(I37:I39)</f>
        <v>219933</v>
      </c>
    </row>
    <row r="37" spans="1:9" s="903" customFormat="1" ht="12.75">
      <c r="A37" s="1698"/>
      <c r="B37" s="1695"/>
      <c r="C37" s="922" t="s">
        <v>579</v>
      </c>
      <c r="D37" s="917">
        <f>I37-H37</f>
        <v>-35583</v>
      </c>
      <c r="E37" s="917"/>
      <c r="F37" s="917"/>
      <c r="G37" s="917"/>
      <c r="H37" s="917">
        <v>45000</v>
      </c>
      <c r="I37" s="917">
        <f>6648+2769</f>
        <v>9417</v>
      </c>
    </row>
    <row r="38" spans="1:9" s="903" customFormat="1" ht="12.75">
      <c r="A38" s="1698"/>
      <c r="B38" s="1695"/>
      <c r="C38" s="904" t="s">
        <v>580</v>
      </c>
      <c r="D38" s="918">
        <f>I38-H38</f>
        <v>89703</v>
      </c>
      <c r="E38" s="918"/>
      <c r="F38" s="918"/>
      <c r="G38" s="918"/>
      <c r="H38" s="918">
        <v>15173</v>
      </c>
      <c r="I38" s="918">
        <v>104876</v>
      </c>
    </row>
    <row r="39" spans="1:9" s="903" customFormat="1" ht="12.75">
      <c r="A39" s="1698"/>
      <c r="B39" s="1695"/>
      <c r="C39" s="908" t="s">
        <v>746</v>
      </c>
      <c r="D39" s="918">
        <f>I39-H39</f>
        <v>-48483</v>
      </c>
      <c r="E39" s="918">
        <f>E36-E37-E38</f>
        <v>0</v>
      </c>
      <c r="F39" s="918">
        <f>F36-F37-F38</f>
        <v>0</v>
      </c>
      <c r="G39" s="918">
        <f>G36-G37-G38</f>
        <v>0</v>
      </c>
      <c r="H39" s="918">
        <v>154123</v>
      </c>
      <c r="I39" s="918">
        <v>105640</v>
      </c>
    </row>
    <row r="40" spans="1:9" s="903" customFormat="1" ht="13.5" thickBot="1">
      <c r="A40" s="1699"/>
      <c r="B40" s="1696"/>
      <c r="C40" s="910" t="s">
        <v>1027</v>
      </c>
      <c r="D40" s="924">
        <v>-209</v>
      </c>
      <c r="E40" s="924"/>
      <c r="F40" s="924"/>
      <c r="G40" s="924"/>
      <c r="H40" s="924">
        <f>'3.bev '!F147</f>
        <v>209</v>
      </c>
      <c r="I40" s="924">
        <v>0</v>
      </c>
    </row>
    <row r="41" spans="1:9" s="903" customFormat="1" ht="15" customHeight="1">
      <c r="A41" s="1697">
        <v>7</v>
      </c>
      <c r="B41" s="1694" t="s">
        <v>325</v>
      </c>
      <c r="C41" s="919" t="s">
        <v>577</v>
      </c>
      <c r="D41" s="920">
        <f>I41-H41-G41</f>
        <v>17229</v>
      </c>
      <c r="E41" s="920"/>
      <c r="F41" s="920"/>
      <c r="G41" s="920">
        <v>25960</v>
      </c>
      <c r="H41" s="920">
        <v>294216</v>
      </c>
      <c r="I41" s="920">
        <v>337405</v>
      </c>
    </row>
    <row r="42" spans="1:9" s="903" customFormat="1" ht="15" customHeight="1">
      <c r="A42" s="1698"/>
      <c r="B42" s="1695"/>
      <c r="C42" s="904" t="s">
        <v>580</v>
      </c>
      <c r="D42" s="927">
        <f>I42-H42</f>
        <v>24305</v>
      </c>
      <c r="E42" s="927"/>
      <c r="F42" s="927"/>
      <c r="G42" s="927"/>
      <c r="H42" s="927">
        <v>178590</v>
      </c>
      <c r="I42" s="927">
        <v>202895</v>
      </c>
    </row>
    <row r="43" spans="1:9" s="903" customFormat="1" ht="15" customHeight="1">
      <c r="A43" s="1698"/>
      <c r="B43" s="1695"/>
      <c r="C43" s="908" t="s">
        <v>746</v>
      </c>
      <c r="D43" s="918">
        <f>I43-H43-G43</f>
        <v>-32320</v>
      </c>
      <c r="E43" s="918">
        <f>E41-E42</f>
        <v>0</v>
      </c>
      <c r="F43" s="918">
        <f>F41-F42</f>
        <v>0</v>
      </c>
      <c r="G43" s="918">
        <v>0</v>
      </c>
      <c r="H43" s="918">
        <v>165952</v>
      </c>
      <c r="I43" s="918">
        <v>133632</v>
      </c>
    </row>
    <row r="44" spans="1:9" s="903" customFormat="1" ht="15" customHeight="1" thickBot="1">
      <c r="A44" s="1699"/>
      <c r="B44" s="1696"/>
      <c r="C44" s="910" t="s">
        <v>1027</v>
      </c>
      <c r="D44" s="924">
        <v>-1200</v>
      </c>
      <c r="E44" s="924"/>
      <c r="F44" s="924"/>
      <c r="G44" s="924">
        <f>'3.bev '!G211</f>
        <v>1200</v>
      </c>
      <c r="H44" s="924"/>
      <c r="I44" s="924">
        <v>0</v>
      </c>
    </row>
    <row r="45" spans="1:9" s="903" customFormat="1" ht="15" customHeight="1">
      <c r="A45" s="1697">
        <v>8</v>
      </c>
      <c r="B45" s="1694" t="s">
        <v>326</v>
      </c>
      <c r="C45" s="1375" t="s">
        <v>577</v>
      </c>
      <c r="D45" s="925">
        <f>139700</f>
        <v>139700</v>
      </c>
      <c r="E45" s="925"/>
      <c r="F45" s="925"/>
      <c r="G45" s="925"/>
      <c r="H45" s="925">
        <v>407923</v>
      </c>
      <c r="I45" s="925">
        <f>H45+D45</f>
        <v>547623</v>
      </c>
    </row>
    <row r="46" spans="1:9" s="903" customFormat="1" ht="15" customHeight="1">
      <c r="A46" s="1698"/>
      <c r="B46" s="1695"/>
      <c r="C46" s="904" t="s">
        <v>580</v>
      </c>
      <c r="D46" s="925">
        <v>246</v>
      </c>
      <c r="E46" s="925"/>
      <c r="F46" s="925"/>
      <c r="G46" s="925"/>
      <c r="H46" s="925">
        <v>0</v>
      </c>
      <c r="I46" s="925">
        <v>246</v>
      </c>
    </row>
    <row r="47" spans="1:9" s="903" customFormat="1" ht="15" customHeight="1">
      <c r="A47" s="1698"/>
      <c r="B47" s="1695"/>
      <c r="C47" s="908" t="s">
        <v>746</v>
      </c>
      <c r="D47" s="918">
        <f>I47-H47</f>
        <v>202517</v>
      </c>
      <c r="E47" s="918"/>
      <c r="F47" s="918"/>
      <c r="G47" s="918"/>
      <c r="H47" s="918">
        <v>264506</v>
      </c>
      <c r="I47" s="918">
        <f>466534+'5.kiad'!Q84</f>
        <v>467023</v>
      </c>
    </row>
    <row r="48" spans="1:9" s="903" customFormat="1" ht="15" customHeight="1" thickBot="1">
      <c r="A48" s="1699"/>
      <c r="B48" s="1696"/>
      <c r="C48" s="910" t="s">
        <v>1027</v>
      </c>
      <c r="D48" s="924">
        <f>I48-H48</f>
        <v>-131086</v>
      </c>
      <c r="E48" s="924"/>
      <c r="F48" s="924"/>
      <c r="G48" s="924"/>
      <c r="H48" s="924">
        <f>'3.bev '!F135+'3.bev '!G171</f>
        <v>143408</v>
      </c>
      <c r="I48" s="924">
        <v>12322</v>
      </c>
    </row>
    <row r="49" spans="1:9" s="903" customFormat="1" ht="15" customHeight="1">
      <c r="A49" s="1697">
        <v>9</v>
      </c>
      <c r="B49" s="1694" t="s">
        <v>728</v>
      </c>
      <c r="C49" s="912" t="s">
        <v>577</v>
      </c>
      <c r="D49" s="920">
        <v>409</v>
      </c>
      <c r="E49" s="920"/>
      <c r="F49" s="920"/>
      <c r="G49" s="920"/>
      <c r="H49" s="920">
        <f>'[1]3.mell'!G79+'[1]3.mell'!F63</f>
        <v>22000</v>
      </c>
      <c r="I49" s="920">
        <f>'[1]5.mell'!Q78</f>
        <v>22000</v>
      </c>
    </row>
    <row r="50" spans="1:9" s="903" customFormat="1" ht="15" customHeight="1">
      <c r="A50" s="1698"/>
      <c r="B50" s="1695"/>
      <c r="C50" s="921" t="s">
        <v>746</v>
      </c>
      <c r="D50" s="918">
        <f>I50-H50</f>
        <v>16422</v>
      </c>
      <c r="E50" s="918"/>
      <c r="F50" s="918"/>
      <c r="G50" s="918"/>
      <c r="H50" s="918">
        <v>5500</v>
      </c>
      <c r="I50" s="918">
        <f>21922</f>
        <v>21922</v>
      </c>
    </row>
    <row r="51" spans="1:9" s="903" customFormat="1" ht="15" customHeight="1" thickBot="1">
      <c r="A51" s="1699"/>
      <c r="B51" s="1696"/>
      <c r="C51" s="923" t="s">
        <v>1027</v>
      </c>
      <c r="D51" s="924">
        <f>I51-H51</f>
        <v>-16014</v>
      </c>
      <c r="E51" s="924"/>
      <c r="F51" s="924"/>
      <c r="G51" s="924"/>
      <c r="H51" s="924">
        <f>'3.bev '!G175+'3.bev '!F139</f>
        <v>16268</v>
      </c>
      <c r="I51" s="924">
        <v>254</v>
      </c>
    </row>
    <row r="52" spans="1:9" s="903" customFormat="1" ht="15" customHeight="1" thickBot="1">
      <c r="A52" s="1406">
        <v>10</v>
      </c>
      <c r="B52" s="1405" t="s">
        <v>1028</v>
      </c>
      <c r="C52" s="912" t="s">
        <v>577</v>
      </c>
      <c r="D52" s="920">
        <v>28000</v>
      </c>
      <c r="E52" s="920"/>
      <c r="F52" s="920"/>
      <c r="G52" s="920"/>
      <c r="H52" s="920">
        <v>140000</v>
      </c>
      <c r="I52" s="920">
        <f>H52+D52</f>
        <v>168000</v>
      </c>
    </row>
    <row r="53" spans="1:9" s="903" customFormat="1" ht="15" customHeight="1">
      <c r="A53" s="1702">
        <v>11</v>
      </c>
      <c r="B53" s="1700" t="s">
        <v>1029</v>
      </c>
      <c r="C53" s="912" t="s">
        <v>577</v>
      </c>
      <c r="D53" s="920">
        <v>200000</v>
      </c>
      <c r="E53" s="920"/>
      <c r="F53" s="920"/>
      <c r="G53" s="920"/>
      <c r="H53" s="920">
        <v>400000</v>
      </c>
      <c r="I53" s="920">
        <v>600000</v>
      </c>
    </row>
    <row r="54" spans="1:9" s="903" customFormat="1" ht="15" customHeight="1" thickBot="1">
      <c r="A54" s="1703"/>
      <c r="B54" s="1701"/>
      <c r="C54" s="923" t="s">
        <v>1027</v>
      </c>
      <c r="D54" s="924">
        <v>4608</v>
      </c>
      <c r="E54" s="924"/>
      <c r="F54" s="924"/>
      <c r="G54" s="924"/>
      <c r="H54" s="924"/>
      <c r="I54" s="924">
        <v>4608</v>
      </c>
    </row>
    <row r="55" spans="1:9" s="903" customFormat="1" ht="15" customHeight="1" thickBot="1">
      <c r="A55" s="1345">
        <v>12</v>
      </c>
      <c r="B55" s="1346" t="s">
        <v>1030</v>
      </c>
      <c r="C55" s="926" t="s">
        <v>577</v>
      </c>
      <c r="D55" s="927">
        <v>50000</v>
      </c>
      <c r="E55" s="927"/>
      <c r="F55" s="927"/>
      <c r="G55" s="927"/>
      <c r="H55" s="927">
        <v>250000</v>
      </c>
      <c r="I55" s="927">
        <v>300000</v>
      </c>
    </row>
    <row r="56" spans="1:9" s="903" customFormat="1" ht="15" customHeight="1" thickBot="1">
      <c r="A56" s="1376">
        <v>13</v>
      </c>
      <c r="B56" s="1377" t="s">
        <v>1031</v>
      </c>
      <c r="C56" s="1378" t="s">
        <v>577</v>
      </c>
      <c r="D56" s="1379">
        <v>775</v>
      </c>
      <c r="E56" s="1379"/>
      <c r="F56" s="1379"/>
      <c r="G56" s="1379"/>
      <c r="H56" s="1379">
        <v>7750</v>
      </c>
      <c r="I56" s="1379">
        <v>8525</v>
      </c>
    </row>
    <row r="57" spans="1:9" s="903" customFormat="1" ht="15" customHeight="1" thickBot="1">
      <c r="A57" s="1376">
        <v>14</v>
      </c>
      <c r="B57" s="1380" t="s">
        <v>1032</v>
      </c>
      <c r="C57" s="1381" t="s">
        <v>577</v>
      </c>
      <c r="D57" s="1379">
        <v>0</v>
      </c>
      <c r="E57" s="1379"/>
      <c r="F57" s="1379"/>
      <c r="G57" s="1379"/>
      <c r="H57" s="1379">
        <v>20000</v>
      </c>
      <c r="I57" s="1379">
        <v>20000</v>
      </c>
    </row>
    <row r="58" spans="1:9" s="903" customFormat="1" ht="15" customHeight="1" thickBot="1">
      <c r="A58" s="1376">
        <v>15</v>
      </c>
      <c r="B58" s="1380" t="s">
        <v>1033</v>
      </c>
      <c r="C58" s="1381" t="s">
        <v>577</v>
      </c>
      <c r="D58" s="1379">
        <v>0</v>
      </c>
      <c r="E58" s="1379"/>
      <c r="F58" s="1379"/>
      <c r="G58" s="1379"/>
      <c r="H58" s="1379">
        <v>25000</v>
      </c>
      <c r="I58" s="1379">
        <v>25000</v>
      </c>
    </row>
    <row r="59" spans="1:9" s="903" customFormat="1" ht="15" customHeight="1" thickBot="1">
      <c r="A59" s="1345">
        <v>16</v>
      </c>
      <c r="B59" s="1374" t="s">
        <v>1034</v>
      </c>
      <c r="C59" s="906" t="s">
        <v>577</v>
      </c>
      <c r="D59" s="927">
        <v>0</v>
      </c>
      <c r="E59" s="927"/>
      <c r="F59" s="927"/>
      <c r="G59" s="927"/>
      <c r="H59" s="927">
        <v>40000</v>
      </c>
      <c r="I59" s="927">
        <v>40000</v>
      </c>
    </row>
    <row r="60" spans="1:9" s="903" customFormat="1" ht="30" customHeight="1" thickBot="1">
      <c r="A60" s="1376">
        <v>17</v>
      </c>
      <c r="B60" s="1380" t="s">
        <v>1035</v>
      </c>
      <c r="C60" s="1381" t="s">
        <v>577</v>
      </c>
      <c r="D60" s="1379">
        <v>50000</v>
      </c>
      <c r="E60" s="1379"/>
      <c r="F60" s="1379"/>
      <c r="G60" s="1379"/>
      <c r="H60" s="1379">
        <v>100000</v>
      </c>
      <c r="I60" s="1379">
        <f>H60+D60</f>
        <v>150000</v>
      </c>
    </row>
    <row r="61" spans="1:9" s="903" customFormat="1" ht="15" customHeight="1">
      <c r="A61" s="1117"/>
      <c r="B61" s="1118"/>
      <c r="C61" s="1119"/>
      <c r="D61" s="1120"/>
      <c r="E61" s="1120"/>
      <c r="F61" s="1120"/>
      <c r="G61" s="1120"/>
      <c r="H61" s="1120"/>
      <c r="I61" s="1120"/>
    </row>
    <row r="62" spans="1:9" ht="18.75" customHeight="1">
      <c r="A62" s="1676" t="s">
        <v>584</v>
      </c>
      <c r="B62" s="1677"/>
      <c r="C62" s="1677"/>
      <c r="D62" s="1677"/>
      <c r="E62" s="1677"/>
      <c r="F62" s="1677"/>
      <c r="G62" s="1677"/>
      <c r="H62" s="1677"/>
      <c r="I62" s="1677"/>
    </row>
    <row r="63" spans="1:9" ht="15.75" customHeight="1">
      <c r="A63" s="1678" t="s">
        <v>56</v>
      </c>
      <c r="B63" s="1680" t="s">
        <v>570</v>
      </c>
      <c r="C63" s="1681"/>
      <c r="D63" s="1684" t="s">
        <v>585</v>
      </c>
      <c r="E63" s="1684"/>
      <c r="F63" s="1684"/>
      <c r="G63" s="1121"/>
      <c r="H63" s="1121"/>
      <c r="I63" s="1121"/>
    </row>
    <row r="64" spans="1:9" ht="23.25" customHeight="1" thickBot="1">
      <c r="A64" s="1679"/>
      <c r="B64" s="1682"/>
      <c r="C64" s="1683"/>
      <c r="D64" s="898" t="s">
        <v>586</v>
      </c>
      <c r="E64" s="1685" t="s">
        <v>587</v>
      </c>
      <c r="F64" s="1685"/>
      <c r="G64" s="1121"/>
      <c r="H64" s="1122"/>
      <c r="I64" s="1122"/>
    </row>
    <row r="65" spans="1:9" ht="11.25" customHeight="1">
      <c r="A65" s="1686"/>
      <c r="B65" s="1689"/>
      <c r="C65" s="919"/>
      <c r="D65" s="919"/>
      <c r="E65" s="1692"/>
      <c r="F65" s="1692"/>
      <c r="G65" s="1123"/>
      <c r="H65" s="1123"/>
      <c r="I65" s="1123"/>
    </row>
    <row r="66" spans="1:9" ht="11.25" customHeight="1">
      <c r="A66" s="1687"/>
      <c r="B66" s="1690"/>
      <c r="C66" s="922"/>
      <c r="D66" s="922"/>
      <c r="E66" s="1693"/>
      <c r="F66" s="1693"/>
      <c r="H66" s="1123"/>
      <c r="I66" s="1123"/>
    </row>
    <row r="67" spans="1:9" ht="11.25" customHeight="1">
      <c r="A67" s="1687"/>
      <c r="B67" s="1690"/>
      <c r="C67" s="922"/>
      <c r="D67" s="922"/>
      <c r="E67" s="1693"/>
      <c r="F67" s="1693"/>
      <c r="H67" s="1123"/>
      <c r="I67" s="1123"/>
    </row>
    <row r="68" spans="1:6" ht="12" customHeight="1" thickBot="1">
      <c r="A68" s="1688"/>
      <c r="B68" s="1691"/>
      <c r="C68" s="923"/>
      <c r="D68" s="923"/>
      <c r="E68" s="1675"/>
      <c r="F68" s="1675"/>
    </row>
  </sheetData>
  <sheetProtection/>
  <mergeCells count="38">
    <mergeCell ref="D1:I1"/>
    <mergeCell ref="F2:I2"/>
    <mergeCell ref="A3:D3"/>
    <mergeCell ref="A4:A5"/>
    <mergeCell ref="B4:C5"/>
    <mergeCell ref="D4:H4"/>
    <mergeCell ref="I4:I5"/>
    <mergeCell ref="A12:A20"/>
    <mergeCell ref="B12:B20"/>
    <mergeCell ref="B6:B11"/>
    <mergeCell ref="A6:A11"/>
    <mergeCell ref="B21:B25"/>
    <mergeCell ref="A21:A25"/>
    <mergeCell ref="A26:A30"/>
    <mergeCell ref="B26:B30"/>
    <mergeCell ref="B31:B35"/>
    <mergeCell ref="A31:A35"/>
    <mergeCell ref="B36:B40"/>
    <mergeCell ref="A36:A40"/>
    <mergeCell ref="E67:F67"/>
    <mergeCell ref="B41:B44"/>
    <mergeCell ref="A41:A44"/>
    <mergeCell ref="A45:A48"/>
    <mergeCell ref="B45:B48"/>
    <mergeCell ref="B53:B54"/>
    <mergeCell ref="A53:A54"/>
    <mergeCell ref="B49:B51"/>
    <mergeCell ref="A49:A51"/>
    <mergeCell ref="E68:F68"/>
    <mergeCell ref="A62:I62"/>
    <mergeCell ref="A63:A64"/>
    <mergeCell ref="B63:C64"/>
    <mergeCell ref="D63:F63"/>
    <mergeCell ref="E64:F64"/>
    <mergeCell ref="A65:A68"/>
    <mergeCell ref="B65:B68"/>
    <mergeCell ref="E65:F65"/>
    <mergeCell ref="E66:F6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6" r:id="rId2"/>
  <rowBreaks count="1" manualBreakCount="1">
    <brk id="40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">
      <selection activeCell="C2" sqref="C2"/>
    </sheetView>
  </sheetViews>
  <sheetFormatPr defaultColWidth="9.00390625" defaultRowHeight="12" customHeight="1"/>
  <cols>
    <col min="1" max="1" width="3.875" style="928" customWidth="1"/>
    <col min="2" max="2" width="61.125" style="959" customWidth="1"/>
    <col min="3" max="3" width="9.375" style="959" customWidth="1"/>
    <col min="4" max="4" width="7.25390625" style="959" customWidth="1"/>
    <col min="5" max="5" width="7.75390625" style="929" customWidth="1"/>
    <col min="6" max="6" width="8.375" style="929" customWidth="1"/>
    <col min="7" max="7" width="8.625" style="929" customWidth="1"/>
    <col min="8" max="8" width="9.75390625" style="930" customWidth="1"/>
    <col min="9" max="9" width="10.75390625" style="931" customWidth="1"/>
    <col min="10" max="16384" width="9.125" style="931" customWidth="1"/>
  </cols>
  <sheetData>
    <row r="1" spans="3:8" ht="13.5" customHeight="1">
      <c r="C1" s="1936" t="s">
        <v>1080</v>
      </c>
      <c r="D1" s="1936"/>
      <c r="E1" s="1936"/>
      <c r="F1" s="1936"/>
      <c r="G1" s="1936"/>
      <c r="H1" s="1936"/>
    </row>
    <row r="4" ht="11.25" customHeight="1"/>
    <row r="5" ht="18" customHeight="1" thickBot="1">
      <c r="H5" s="930" t="s">
        <v>748</v>
      </c>
    </row>
    <row r="6" spans="1:8" ht="18" customHeight="1">
      <c r="A6" s="1733" t="s">
        <v>588</v>
      </c>
      <c r="B6" s="1734"/>
      <c r="C6" s="1229"/>
      <c r="D6" s="1725" t="s">
        <v>589</v>
      </c>
      <c r="E6" s="1726"/>
      <c r="F6" s="1726"/>
      <c r="G6" s="1726"/>
      <c r="H6" s="1747" t="s">
        <v>3</v>
      </c>
    </row>
    <row r="7" spans="1:8" ht="48.75" customHeight="1">
      <c r="A7" s="1735"/>
      <c r="B7" s="1736"/>
      <c r="C7" s="1231" t="s">
        <v>910</v>
      </c>
      <c r="D7" s="954" t="s">
        <v>590</v>
      </c>
      <c r="E7" s="954" t="s">
        <v>591</v>
      </c>
      <c r="F7" s="954" t="s">
        <v>592</v>
      </c>
      <c r="G7" s="955" t="s">
        <v>593</v>
      </c>
      <c r="H7" s="1748"/>
    </row>
    <row r="8" spans="1:8" ht="29.25" customHeight="1">
      <c r="A8" s="932" t="s">
        <v>4</v>
      </c>
      <c r="B8" s="1216" t="s">
        <v>761</v>
      </c>
      <c r="C8" s="1237">
        <f>'5.kiad'!I515+'5.kiad'!I336+'5.kiad'!I207</f>
        <v>170506</v>
      </c>
      <c r="D8" s="934">
        <v>160666</v>
      </c>
      <c r="E8" s="935">
        <v>163880</v>
      </c>
      <c r="F8" s="935">
        <v>167157</v>
      </c>
      <c r="G8" s="936">
        <v>85250</v>
      </c>
      <c r="H8" s="1233">
        <f aca="true" t="shared" si="0" ref="H8:H14">SUM(C8:G8)</f>
        <v>747459</v>
      </c>
    </row>
    <row r="9" spans="1:8" ht="18" customHeight="1">
      <c r="A9" s="932" t="s">
        <v>5</v>
      </c>
      <c r="B9" s="1216" t="s">
        <v>762</v>
      </c>
      <c r="C9" s="1237">
        <f>'5.kiad'!Q428</f>
        <v>23231</v>
      </c>
      <c r="D9" s="934">
        <v>25704</v>
      </c>
      <c r="E9" s="935">
        <v>19664</v>
      </c>
      <c r="F9" s="935">
        <v>0</v>
      </c>
      <c r="G9" s="936"/>
      <c r="H9" s="1233">
        <f t="shared" si="0"/>
        <v>68599</v>
      </c>
    </row>
    <row r="10" spans="1:8" ht="13.5" customHeight="1">
      <c r="A10" s="932" t="s">
        <v>6</v>
      </c>
      <c r="B10" s="1216" t="s">
        <v>763</v>
      </c>
      <c r="C10" s="1237">
        <f>'5.kiad'!Q36</f>
        <v>14367</v>
      </c>
      <c r="D10" s="934">
        <v>25000</v>
      </c>
      <c r="E10" s="935">
        <v>25500</v>
      </c>
      <c r="F10" s="935">
        <v>26010</v>
      </c>
      <c r="G10" s="935">
        <v>26530</v>
      </c>
      <c r="H10" s="1233">
        <f t="shared" si="0"/>
        <v>117407</v>
      </c>
    </row>
    <row r="11" spans="1:8" ht="13.5" customHeight="1">
      <c r="A11" s="932" t="s">
        <v>7</v>
      </c>
      <c r="B11" s="933" t="s">
        <v>764</v>
      </c>
      <c r="C11" s="934">
        <f>'5.kiad'!Q20</f>
        <v>118940</v>
      </c>
      <c r="D11" s="934">
        <v>120965</v>
      </c>
      <c r="E11" s="935">
        <v>123384</v>
      </c>
      <c r="F11" s="935">
        <v>125852</v>
      </c>
      <c r="G11" s="935">
        <v>96277</v>
      </c>
      <c r="H11" s="1233">
        <f t="shared" si="0"/>
        <v>585418</v>
      </c>
    </row>
    <row r="12" spans="1:8" ht="13.5" customHeight="1">
      <c r="A12" s="1217" t="s">
        <v>8</v>
      </c>
      <c r="B12" s="1218" t="s">
        <v>765</v>
      </c>
      <c r="C12" s="934">
        <f>'5.kiad'!G388</f>
        <v>53340</v>
      </c>
      <c r="D12" s="934">
        <v>53340</v>
      </c>
      <c r="E12" s="935">
        <f>D12</f>
        <v>53340</v>
      </c>
      <c r="F12" s="935">
        <v>26670</v>
      </c>
      <c r="G12" s="935">
        <v>0</v>
      </c>
      <c r="H12" s="1233">
        <f t="shared" si="0"/>
        <v>186690</v>
      </c>
    </row>
    <row r="13" spans="1:8" ht="13.5" customHeight="1">
      <c r="A13" s="1217" t="s">
        <v>9</v>
      </c>
      <c r="B13" s="1219" t="s">
        <v>766</v>
      </c>
      <c r="C13" s="934"/>
      <c r="D13" s="934">
        <v>915</v>
      </c>
      <c r="E13" s="935"/>
      <c r="F13" s="935"/>
      <c r="G13" s="935"/>
      <c r="H13" s="1233">
        <f t="shared" si="0"/>
        <v>915</v>
      </c>
    </row>
    <row r="14" spans="1:8" ht="13.5" customHeight="1">
      <c r="A14" s="1217" t="s">
        <v>10</v>
      </c>
      <c r="B14" s="1218" t="s">
        <v>767</v>
      </c>
      <c r="C14" s="934">
        <f>(149000+149000+149000+149000+149000+149000+149000+149000+149000+149000+149000)/1000</f>
        <v>1639</v>
      </c>
      <c r="D14" s="934">
        <v>900</v>
      </c>
      <c r="E14" s="935"/>
      <c r="F14" s="935"/>
      <c r="G14" s="935"/>
      <c r="H14" s="1233">
        <f t="shared" si="0"/>
        <v>2539</v>
      </c>
    </row>
    <row r="15" spans="1:8" s="941" customFormat="1" ht="15.75" customHeight="1" thickBot="1">
      <c r="A15" s="1739" t="s">
        <v>594</v>
      </c>
      <c r="B15" s="1740"/>
      <c r="C15" s="1235">
        <f aca="true" t="shared" si="1" ref="C15:H15">SUM(C8:C14)</f>
        <v>382023</v>
      </c>
      <c r="D15" s="939">
        <f t="shared" si="1"/>
        <v>387490</v>
      </c>
      <c r="E15" s="939">
        <f t="shared" si="1"/>
        <v>385768</v>
      </c>
      <c r="F15" s="939">
        <f t="shared" si="1"/>
        <v>345689</v>
      </c>
      <c r="G15" s="939">
        <f t="shared" si="1"/>
        <v>208057</v>
      </c>
      <c r="H15" s="940">
        <f t="shared" si="1"/>
        <v>1709027</v>
      </c>
    </row>
    <row r="16" spans="1:8" s="941" customFormat="1" ht="16.5" customHeight="1">
      <c r="A16" s="1220" t="s">
        <v>595</v>
      </c>
      <c r="B16" s="959"/>
      <c r="C16" s="959"/>
      <c r="D16" s="959"/>
      <c r="E16" s="929"/>
      <c r="F16" s="929"/>
      <c r="G16" s="929"/>
      <c r="H16" s="930"/>
    </row>
    <row r="17" spans="1:8" s="941" customFormat="1" ht="24.75" customHeight="1">
      <c r="A17" s="1221" t="s">
        <v>4</v>
      </c>
      <c r="B17" s="1749" t="s">
        <v>768</v>
      </c>
      <c r="C17" s="1749"/>
      <c r="D17" s="1749"/>
      <c r="E17" s="1749"/>
      <c r="F17" s="1749"/>
      <c r="G17" s="1749"/>
      <c r="H17" s="1749"/>
    </row>
    <row r="18" spans="1:8" s="941" customFormat="1" ht="13.5" customHeight="1">
      <c r="A18" s="1221" t="s">
        <v>5</v>
      </c>
      <c r="B18" s="1732" t="s">
        <v>769</v>
      </c>
      <c r="C18" s="1732"/>
      <c r="D18" s="1732"/>
      <c r="E18" s="1732"/>
      <c r="F18" s="1732"/>
      <c r="G18" s="1732"/>
      <c r="H18" s="1732"/>
    </row>
    <row r="19" spans="1:8" s="941" customFormat="1" ht="12.75" customHeight="1">
      <c r="A19" s="1221" t="s">
        <v>6</v>
      </c>
      <c r="B19" s="1732" t="s">
        <v>770</v>
      </c>
      <c r="C19" s="1732"/>
      <c r="D19" s="1732"/>
      <c r="E19" s="1732"/>
      <c r="F19" s="1732"/>
      <c r="G19" s="1732"/>
      <c r="H19" s="1732"/>
    </row>
    <row r="20" spans="1:8" s="941" customFormat="1" ht="11.25" customHeight="1">
      <c r="A20" s="1221" t="s">
        <v>7</v>
      </c>
      <c r="B20" s="959" t="s">
        <v>771</v>
      </c>
      <c r="C20" s="959"/>
      <c r="D20" s="959"/>
      <c r="E20" s="929"/>
      <c r="F20" s="929"/>
      <c r="G20" s="929"/>
      <c r="H20" s="930"/>
    </row>
    <row r="21" spans="1:8" s="941" customFormat="1" ht="11.25" customHeight="1">
      <c r="A21" s="1221" t="s">
        <v>8</v>
      </c>
      <c r="B21" s="959" t="s">
        <v>772</v>
      </c>
      <c r="C21" s="959"/>
      <c r="D21" s="959"/>
      <c r="E21" s="929"/>
      <c r="F21" s="929"/>
      <c r="G21" s="929"/>
      <c r="H21" s="930"/>
    </row>
    <row r="22" spans="1:8" s="941" customFormat="1" ht="11.25" customHeight="1">
      <c r="A22" s="1221" t="s">
        <v>9</v>
      </c>
      <c r="B22" s="959" t="s">
        <v>773</v>
      </c>
      <c r="C22" s="959"/>
      <c r="D22" s="959"/>
      <c r="E22" s="929"/>
      <c r="F22" s="929"/>
      <c r="G22" s="929"/>
      <c r="H22" s="930"/>
    </row>
    <row r="23" spans="1:8" s="941" customFormat="1" ht="11.25" customHeight="1">
      <c r="A23" s="1221" t="s">
        <v>10</v>
      </c>
      <c r="B23" s="959" t="s">
        <v>774</v>
      </c>
      <c r="C23" s="959"/>
      <c r="D23" s="959"/>
      <c r="E23" s="929"/>
      <c r="F23" s="929"/>
      <c r="G23" s="929"/>
      <c r="H23" s="930"/>
    </row>
    <row r="24" spans="1:8" s="941" customFormat="1" ht="11.25" customHeight="1">
      <c r="A24" s="1221"/>
      <c r="B24" s="959"/>
      <c r="C24" s="959"/>
      <c r="D24" s="959"/>
      <c r="E24" s="929"/>
      <c r="F24" s="929"/>
      <c r="G24" s="929"/>
      <c r="H24" s="930"/>
    </row>
    <row r="25" spans="1:8" s="941" customFormat="1" ht="4.5" customHeight="1" thickBot="1">
      <c r="A25" s="943"/>
      <c r="B25" s="944"/>
      <c r="C25" s="944"/>
      <c r="D25" s="944"/>
      <c r="E25" s="945"/>
      <c r="F25" s="945"/>
      <c r="G25" s="945"/>
      <c r="H25" s="946"/>
    </row>
    <row r="26" spans="1:8" ht="16.5" customHeight="1">
      <c r="A26" s="1733" t="s">
        <v>596</v>
      </c>
      <c r="B26" s="1734"/>
      <c r="C26" s="1229"/>
      <c r="D26" s="1727" t="s">
        <v>749</v>
      </c>
      <c r="E26" s="1728"/>
      <c r="F26" s="1728"/>
      <c r="G26" s="1728"/>
      <c r="H26" s="1737" t="s">
        <v>3</v>
      </c>
    </row>
    <row r="27" spans="1:8" ht="45" customHeight="1">
      <c r="A27" s="1735"/>
      <c r="B27" s="1736"/>
      <c r="C27" s="1231" t="s">
        <v>910</v>
      </c>
      <c r="D27" s="954" t="s">
        <v>590</v>
      </c>
      <c r="E27" s="954" t="s">
        <v>591</v>
      </c>
      <c r="F27" s="954" t="s">
        <v>592</v>
      </c>
      <c r="G27" s="1232" t="s">
        <v>593</v>
      </c>
      <c r="H27" s="1738"/>
    </row>
    <row r="28" spans="1:8" ht="32.25" customHeight="1">
      <c r="A28" s="932" t="s">
        <v>4</v>
      </c>
      <c r="B28" s="947" t="s">
        <v>597</v>
      </c>
      <c r="C28" s="1236">
        <f>'3.bev '!G408+'3.bev '!G405</f>
        <v>1255</v>
      </c>
      <c r="D28" s="935">
        <v>1000</v>
      </c>
      <c r="E28" s="935">
        <v>1000</v>
      </c>
      <c r="F28" s="948">
        <v>1000</v>
      </c>
      <c r="G28" s="937">
        <v>12969</v>
      </c>
      <c r="H28" s="938">
        <f>SUM(C28:G28)</f>
        <v>17224</v>
      </c>
    </row>
    <row r="29" spans="1:8" ht="18.75" customHeight="1">
      <c r="A29" s="1217" t="s">
        <v>5</v>
      </c>
      <c r="B29" s="1222" t="s">
        <v>775</v>
      </c>
      <c r="C29" s="1234">
        <f>'4.int.bev '!D17+'4.int.bev '!H17+'4.int.bev '!I17</f>
        <v>59873</v>
      </c>
      <c r="D29" s="935">
        <v>55080</v>
      </c>
      <c r="E29" s="935">
        <f>D29*1.02</f>
        <v>56181.6</v>
      </c>
      <c r="F29" s="935">
        <f>E29*1.02</f>
        <v>57305.231999999996</v>
      </c>
      <c r="G29" s="935">
        <v>43839</v>
      </c>
      <c r="H29" s="938">
        <f>SUM(C29:G29)</f>
        <v>272278.832</v>
      </c>
    </row>
    <row r="30" spans="1:8" s="941" customFormat="1" ht="17.25" customHeight="1" thickBot="1">
      <c r="A30" s="1739" t="s">
        <v>594</v>
      </c>
      <c r="B30" s="1740"/>
      <c r="C30" s="1235">
        <f aca="true" t="shared" si="2" ref="C30:H30">SUM(C28:C29)</f>
        <v>61128</v>
      </c>
      <c r="D30" s="949">
        <f t="shared" si="2"/>
        <v>56080</v>
      </c>
      <c r="E30" s="949">
        <f t="shared" si="2"/>
        <v>57181.6</v>
      </c>
      <c r="F30" s="949">
        <f t="shared" si="2"/>
        <v>58305.231999999996</v>
      </c>
      <c r="G30" s="949">
        <f t="shared" si="2"/>
        <v>56808</v>
      </c>
      <c r="H30" s="950">
        <f t="shared" si="2"/>
        <v>289502.832</v>
      </c>
    </row>
    <row r="31" spans="1:8" s="941" customFormat="1" ht="14.25" customHeight="1">
      <c r="A31" s="942" t="s">
        <v>595</v>
      </c>
      <c r="B31" s="1223"/>
      <c r="C31" s="1223"/>
      <c r="D31" s="1224"/>
      <c r="E31" s="946"/>
      <c r="F31" s="946"/>
      <c r="G31" s="946"/>
      <c r="H31" s="946"/>
    </row>
    <row r="32" spans="1:8" s="941" customFormat="1" ht="17.25" customHeight="1">
      <c r="A32" s="1225" t="s">
        <v>5</v>
      </c>
      <c r="B32" s="1226" t="s">
        <v>771</v>
      </c>
      <c r="C32" s="1226"/>
      <c r="D32" s="1227"/>
      <c r="E32" s="1228"/>
      <c r="F32" s="1228"/>
      <c r="G32" s="1228"/>
      <c r="H32" s="1228"/>
    </row>
    <row r="33" ht="15.75" customHeight="1" thickBot="1">
      <c r="H33" s="951"/>
    </row>
    <row r="34" spans="1:10" s="953" customFormat="1" ht="17.25" customHeight="1">
      <c r="A34" s="1741" t="s">
        <v>598</v>
      </c>
      <c r="B34" s="1742"/>
      <c r="C34" s="1230"/>
      <c r="D34" s="1727" t="s">
        <v>589</v>
      </c>
      <c r="E34" s="1728"/>
      <c r="F34" s="1728"/>
      <c r="G34" s="1729"/>
      <c r="H34" s="1745" t="s">
        <v>3</v>
      </c>
      <c r="I34" s="952"/>
      <c r="J34" s="952"/>
    </row>
    <row r="35" spans="1:8" s="953" customFormat="1" ht="108" customHeight="1">
      <c r="A35" s="1743"/>
      <c r="B35" s="1744"/>
      <c r="C35" s="1215" t="s">
        <v>1070</v>
      </c>
      <c r="D35" s="954" t="s">
        <v>590</v>
      </c>
      <c r="E35" s="954" t="s">
        <v>591</v>
      </c>
      <c r="F35" s="954" t="s">
        <v>592</v>
      </c>
      <c r="G35" s="955" t="s">
        <v>599</v>
      </c>
      <c r="H35" s="1746"/>
    </row>
    <row r="36" spans="1:8" s="959" customFormat="1" ht="36" customHeight="1">
      <c r="A36" s="1721" t="s">
        <v>88</v>
      </c>
      <c r="B36" s="956" t="s">
        <v>776</v>
      </c>
      <c r="C36" s="956"/>
      <c r="D36" s="957">
        <v>66000</v>
      </c>
      <c r="E36" s="957">
        <v>136000</v>
      </c>
      <c r="F36" s="957">
        <v>136000</v>
      </c>
      <c r="G36" s="1730">
        <v>1195080</v>
      </c>
      <c r="H36" s="958">
        <f>1533080+C36</f>
        <v>1533080</v>
      </c>
    </row>
    <row r="37" spans="1:8" s="959" customFormat="1" ht="17.25" customHeight="1">
      <c r="A37" s="1722"/>
      <c r="B37" s="956" t="s">
        <v>777</v>
      </c>
      <c r="C37" s="956">
        <v>797</v>
      </c>
      <c r="D37" s="957">
        <v>54300</v>
      </c>
      <c r="E37" s="957">
        <v>71340</v>
      </c>
      <c r="F37" s="957">
        <v>63180</v>
      </c>
      <c r="G37" s="1731"/>
      <c r="H37" s="958">
        <f>188820+C37</f>
        <v>189617</v>
      </c>
    </row>
    <row r="38" spans="1:8" s="961" customFormat="1" ht="15" customHeight="1">
      <c r="A38" s="1723" t="s">
        <v>594</v>
      </c>
      <c r="B38" s="1724"/>
      <c r="C38" s="1422">
        <f>SUM(C36:C37)</f>
        <v>797</v>
      </c>
      <c r="D38" s="960">
        <f>SUM(D36:D37)</f>
        <v>120300</v>
      </c>
      <c r="E38" s="960">
        <f>SUM(E36:E37)</f>
        <v>207340</v>
      </c>
      <c r="F38" s="960">
        <f>SUM(F36:F37)</f>
        <v>199180</v>
      </c>
      <c r="G38" s="960">
        <f>SUM(G36:G37)</f>
        <v>1195080</v>
      </c>
      <c r="H38" s="958">
        <f>SUM(C38:G38)</f>
        <v>1722697</v>
      </c>
    </row>
    <row r="39" spans="1:8" s="959" customFormat="1" ht="15.75" customHeight="1" thickBot="1">
      <c r="A39" s="962" t="s">
        <v>4</v>
      </c>
      <c r="B39" s="963" t="s">
        <v>600</v>
      </c>
      <c r="C39" s="1238">
        <f>'3.bev '!F235+'3.bev '!F243+'3.bev '!F247+'3.bev '!F251</f>
        <v>893015</v>
      </c>
      <c r="D39" s="964">
        <v>620100</v>
      </c>
      <c r="E39" s="964">
        <v>619250</v>
      </c>
      <c r="F39" s="964">
        <v>639070</v>
      </c>
      <c r="G39" s="964">
        <v>3834420</v>
      </c>
      <c r="H39" s="965">
        <f>SUM(C39:G39)</f>
        <v>6605855</v>
      </c>
    </row>
  </sheetData>
  <sheetProtection/>
  <mergeCells count="18">
    <mergeCell ref="C1:H1"/>
    <mergeCell ref="A34:B35"/>
    <mergeCell ref="H34:H35"/>
    <mergeCell ref="A6:B7"/>
    <mergeCell ref="H6:H7"/>
    <mergeCell ref="A15:B15"/>
    <mergeCell ref="B17:H17"/>
    <mergeCell ref="B18:H18"/>
    <mergeCell ref="A36:A37"/>
    <mergeCell ref="A38:B38"/>
    <mergeCell ref="D6:G6"/>
    <mergeCell ref="D26:G26"/>
    <mergeCell ref="D34:G34"/>
    <mergeCell ref="G36:G37"/>
    <mergeCell ref="B19:H19"/>
    <mergeCell ref="A26:B27"/>
    <mergeCell ref="H26:H27"/>
    <mergeCell ref="A30:B3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Lucza Alexandra</cp:lastModifiedBy>
  <cp:lastPrinted>2017-05-25T11:23:08Z</cp:lastPrinted>
  <dcterms:created xsi:type="dcterms:W3CDTF">2006-02-08T00:02:41Z</dcterms:created>
  <dcterms:modified xsi:type="dcterms:W3CDTF">2017-05-25T11:32:28Z</dcterms:modified>
  <cp:category/>
  <cp:version/>
  <cp:contentType/>
  <cp:contentStatus/>
</cp:coreProperties>
</file>