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889" activeTab="24"/>
  </bookViews>
  <sheets>
    <sheet name="1.k" sheetId="1" r:id="rId1"/>
    <sheet name="2.k" sheetId="2" r:id="rId2"/>
    <sheet name="3.k" sheetId="3" r:id="rId3"/>
    <sheet name="4 k" sheetId="4" r:id="rId4"/>
    <sheet name="1 " sheetId="5" r:id="rId5"/>
    <sheet name="német" sheetId="6" r:id="rId6"/>
    <sheet name="cigány" sheetId="7" r:id="rId7"/>
    <sheet name="szlovák" sheetId="8" r:id="rId8"/>
    <sheet name="2" sheetId="9" r:id="rId9"/>
    <sheet name="3" sheetId="10" r:id="rId10"/>
    <sheet name="4 " sheetId="11" r:id="rId11"/>
    <sheet name="5" sheetId="12" r:id="rId12"/>
    <sheet name="6" sheetId="13" r:id="rId13"/>
    <sheet name="7" sheetId="14" r:id="rId14"/>
    <sheet name="8" sheetId="15" r:id="rId15"/>
    <sheet name="9 eu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  <sheet name="17" sheetId="24" r:id="rId24"/>
    <sheet name="18 " sheetId="25" r:id="rId25"/>
  </sheets>
  <externalReferences>
    <externalReference r:id="rId28"/>
    <externalReference r:id="rId29"/>
    <externalReference r:id="rId30"/>
  </externalReferences>
  <definedNames>
    <definedName name="_xlnm.Print_Titles" localSheetId="18">'12'!$5:$7</definedName>
    <definedName name="_xlnm.Print_Titles" localSheetId="1">'2.k'!$6:$7</definedName>
    <definedName name="_xlnm.Print_Titles" localSheetId="9">'3'!$6:$7</definedName>
    <definedName name="_xlnm.Print_Titles" localSheetId="2">'3.k'!$6:$6</definedName>
    <definedName name="_xlnm.Print_Titles" localSheetId="10">'4 '!$4:$6</definedName>
    <definedName name="_xlnm.Print_Titles" localSheetId="3">'4 k'!$16:$19</definedName>
    <definedName name="_xlnm.Print_Titles" localSheetId="11">'5'!$5:$7</definedName>
    <definedName name="_xlnm.Print_Titles" localSheetId="12">'6'!$4:$6</definedName>
    <definedName name="_xlnm.Print_Titles" localSheetId="6">'cigány'!$5:$8</definedName>
    <definedName name="_xlnm.Print_Titles" localSheetId="5">'német'!$4:$7</definedName>
    <definedName name="_xlnm.Print_Titles" localSheetId="7">'szlovák'!$5:$8</definedName>
    <definedName name="_xlnm.Print_Area" localSheetId="4">'1 '!$A$1:$O$32</definedName>
    <definedName name="_xlnm.Print_Area" localSheetId="0">'1.k'!$A$1:$D$48</definedName>
    <definedName name="_xlnm.Print_Area" localSheetId="17">'11'!$A$1:$R$25</definedName>
    <definedName name="_xlnm.Print_Area" localSheetId="18">'12'!$A$1:$N$84</definedName>
    <definedName name="_xlnm.Print_Area" localSheetId="19">'13'!$A$1:$G$62</definedName>
    <definedName name="_xlnm.Print_Area" localSheetId="21">'15'!$A$1:$H$52</definedName>
    <definedName name="_xlnm.Print_Area" localSheetId="22">'16'!$A$1:$H$24</definedName>
    <definedName name="_xlnm.Print_Area" localSheetId="24">'18 '!$A$1:$H$20</definedName>
    <definedName name="_xlnm.Print_Area" localSheetId="8">'2'!$A$1:$E$163</definedName>
    <definedName name="_xlnm.Print_Area" localSheetId="9">'3'!$A$1:$F$675</definedName>
    <definedName name="_xlnm.Print_Area" localSheetId="2">'3.k'!$A$1:$F$208</definedName>
    <definedName name="_xlnm.Print_Area" localSheetId="10">'4 '!$A$1:$L$38</definedName>
    <definedName name="_xlnm.Print_Area" localSheetId="3">'4 k'!$A$1:$J$49</definedName>
    <definedName name="_xlnm.Print_Area" localSheetId="11">'5'!$A$1:$O$676</definedName>
    <definedName name="_xlnm.Print_Area" localSheetId="12">'6'!$A$1:$F$90</definedName>
  </definedNames>
  <calcPr fullCalcOnLoad="1"/>
</workbook>
</file>

<file path=xl/sharedStrings.xml><?xml version="1.0" encoding="utf-8"?>
<sst xmlns="http://schemas.openxmlformats.org/spreadsheetml/2006/main" count="3613" uniqueCount="1302">
  <si>
    <t xml:space="preserve">     Kamat és egyéb hitelfelvételi kiadások (kötvény kivételével)</t>
  </si>
  <si>
    <t>Férfi kézilabda sportcélok támogatása</t>
  </si>
  <si>
    <t>Óvodáztatási támogatás</t>
  </si>
  <si>
    <t>Önkormányzat igazgatási tevékenysége</t>
  </si>
  <si>
    <t>Művelődési ház hitelfelvétel törlesztése</t>
  </si>
  <si>
    <t>Polgármesteri Hivatal tevékenysége</t>
  </si>
  <si>
    <t>Igazgatási tevékenység</t>
  </si>
  <si>
    <t>Adóigazgatási tevékenység</t>
  </si>
  <si>
    <t xml:space="preserve">     Állategészségügyi tevékenység</t>
  </si>
  <si>
    <t>Központosított bevétel</t>
  </si>
  <si>
    <t>2011. évi tény adat</t>
  </si>
  <si>
    <t>Projektmenedzsmenti feladatok</t>
  </si>
  <si>
    <t>251. sz. Rákóczi cserkészcsapat svédországi utazás támogatása</t>
  </si>
  <si>
    <t>FLASH Táncsport Egyesület tánc gála megszervezése</t>
  </si>
  <si>
    <t>Kiskőrösi Szlovákok Szervezete Országos Rétes Fesztivál</t>
  </si>
  <si>
    <t>Kiskőrösi Szlovákok Szervezete Országos Rétes Fesztivál - kölcsön visszafizetése</t>
  </si>
  <si>
    <t>Kiskőrös Kultúrájáért Egyesület - kiállítás költségeire</t>
  </si>
  <si>
    <t>Kiskőrös Város Fúvószenekarát és Mazsorett Csoportját Támogatók Egyesülete - külföldi fellépés</t>
  </si>
  <si>
    <t>Hírös Hátizsák VIII. Petőfi Túra</t>
  </si>
  <si>
    <t xml:space="preserve">BKMÖ Gyógypedagógiai Módszertani Intézménye szépíró verseny </t>
  </si>
  <si>
    <t>Kiskőrös Kultúrájáért Egyesület - Petőfi Kulturális Fesztivál költségeire</t>
  </si>
  <si>
    <t>KTKT Gimnázium - 10/A. erdélyi kirándulás</t>
  </si>
  <si>
    <t>Petőfi Sándor Városi Könyvtár - fotó-grafika kiállítás</t>
  </si>
  <si>
    <t>Városi Pedagógusnap kiadásaira</t>
  </si>
  <si>
    <t>Kiskőrösi Református Egyházközség - gyermek-ifjúsági tábor</t>
  </si>
  <si>
    <t>Evangélikus Egyházközség - emlékkoncert megszervezése</t>
  </si>
  <si>
    <t>KTKT Bem József Általános Iskola - táboroztatás</t>
  </si>
  <si>
    <t>Petőfi Sándor Városi Könyvtár - Mese-vár és játszóház  program</t>
  </si>
  <si>
    <t xml:space="preserve">Városi Pedagógusnapról el nem költött </t>
  </si>
  <si>
    <t>Kiskőrös Kulturájáért Egyesület - ifjúsági tábor megszervezése</t>
  </si>
  <si>
    <t>Közalkalmazotti karácsony megszervezése</t>
  </si>
  <si>
    <t>KTKT - Óvodák támogatása - környezetismereti nap</t>
  </si>
  <si>
    <t>KTKT - Bem Iskola - Karácsonyvásár</t>
  </si>
  <si>
    <t>KTKT - Óvodák támogatása - Luca nap</t>
  </si>
  <si>
    <t>KTKT - Óvodák támogatása - bábparaván</t>
  </si>
  <si>
    <t>Nyári gyermekétkeztetés támogatása</t>
  </si>
  <si>
    <t>5. Kulturális, oktatási tevékenységek, programok, pályázatok valamint 1/2003 (I.24.) önk. 8. § (7) bekezdésben meghatározottak támogatására</t>
  </si>
  <si>
    <t>Pedagógus továbbképzés</t>
  </si>
  <si>
    <t>Osztályfőnöki pótlék</t>
  </si>
  <si>
    <t>Házi segítségnyújtás</t>
  </si>
  <si>
    <t>Szociális étkeztetés</t>
  </si>
  <si>
    <t xml:space="preserve">Egészségügyi és Gyermekjóléti Intézmény </t>
  </si>
  <si>
    <t>2011. december 31-i likvid hitel záróállománya</t>
  </si>
  <si>
    <t xml:space="preserve">                2011. év működési hiánya</t>
  </si>
  <si>
    <t>Egészségügyi és Gyermekjóléti Intézmény</t>
  </si>
  <si>
    <t>Bevételi többlet</t>
  </si>
  <si>
    <t>Petőfi Szülőház és Emlékmúzem</t>
  </si>
  <si>
    <t>Ö S S Z E S E N   (A / II./a+b)</t>
  </si>
  <si>
    <t>Indokolt létszámcsökkentés végrehajtása érdekében felmerülő végkielégítés, egyéb nem tervezett rendkívüli személyi juttatás fedezetére</t>
  </si>
  <si>
    <t>támogatások</t>
  </si>
  <si>
    <t>célú kiadások,</t>
  </si>
  <si>
    <t xml:space="preserve">     KTKT támogatása: általános működési támogatás </t>
  </si>
  <si>
    <t>Hivatásos Tűzoltóság beruházás</t>
  </si>
  <si>
    <t>Víztermelés, -kezelés, - ellátás</t>
  </si>
  <si>
    <t>Épületek építése</t>
  </si>
  <si>
    <t>Lakó- és nem lakóépület építése, felújítása</t>
  </si>
  <si>
    <t>Egyéb építmény építése</t>
  </si>
  <si>
    <t>Polgári védelmi védőeszközök tárolása, kezelése</t>
  </si>
  <si>
    <t xml:space="preserve">     Önkormányzati vagyon hasznosításával kapcsolatos kiadások</t>
  </si>
  <si>
    <t>Zöldterület-kezelés, parkfenntartás, parképítés</t>
  </si>
  <si>
    <t xml:space="preserve">Önkormányzati jogalkotás </t>
  </si>
  <si>
    <t>Testületi feladatok</t>
  </si>
  <si>
    <t xml:space="preserve">     Költségvetési tartalékok</t>
  </si>
  <si>
    <t xml:space="preserve">     Kötvénykibocsátás kiadásai</t>
  </si>
  <si>
    <t>Települési kisebbségi önkormányzatok igazgatási tevékenysége</t>
  </si>
  <si>
    <t xml:space="preserve">     Német Kisebbségi Önkormányzat</t>
  </si>
  <si>
    <t xml:space="preserve">     Szlovák Kisebbségi Önkormányzat</t>
  </si>
  <si>
    <t xml:space="preserve">     Cigány Kisebbségi Önkormányzat</t>
  </si>
  <si>
    <t>Kiemelt állami és önkormányzati rendezvények</t>
  </si>
  <si>
    <t>Mezőgazdaság területi igazgatása és szabályozása</t>
  </si>
  <si>
    <t xml:space="preserve">     Mezőőri feladatok</t>
  </si>
  <si>
    <t xml:space="preserve">     Hegyközség támogatása</t>
  </si>
  <si>
    <t>Központi költségvetési befizetések</t>
  </si>
  <si>
    <t>Önkormányzatok nemzetközi kapcsolatai</t>
  </si>
  <si>
    <t>Közterület rendjének fenntartása</t>
  </si>
  <si>
    <t>Bűnmegelőzés</t>
  </si>
  <si>
    <t>Városi Polgárőrség Bűnmegelőzési és Önvédelmi Egyesület támogatása</t>
  </si>
  <si>
    <t>Önkéntes Tűzoltó Egyesület támogatása</t>
  </si>
  <si>
    <t>A polgári védelem ágazati feladatai</t>
  </si>
  <si>
    <t>Ár- és belvízvédelemmel összefüggő tevékenységek</t>
  </si>
  <si>
    <t>Oktatás</t>
  </si>
  <si>
    <t xml:space="preserve">Egyéb oktatást kiegészítő tevékenység </t>
  </si>
  <si>
    <t>Kiskőrös Ifjúságáért Egyesület</t>
  </si>
  <si>
    <t>Önkormányzati pénzbeli ellátások</t>
  </si>
  <si>
    <t>Rendszeres szociális segély (felnőttek)</t>
  </si>
  <si>
    <t>Lakásfenntartási támogatás normatív alapon</t>
  </si>
  <si>
    <t>Helyi rendszeres lakásfenntartási támogatás</t>
  </si>
  <si>
    <t>Ft-ban</t>
  </si>
  <si>
    <t>Állami hozzájárulás jogcíme</t>
  </si>
  <si>
    <t xml:space="preserve">Eredeti </t>
  </si>
  <si>
    <t>Évközi változások (+,-)</t>
  </si>
  <si>
    <t>Tényleges</t>
  </si>
  <si>
    <t>Eltérés</t>
  </si>
  <si>
    <t>mutató-szám</t>
  </si>
  <si>
    <t>állami hozzájárulás</t>
  </si>
  <si>
    <t>Körzeti igazgatás</t>
  </si>
  <si>
    <t>Alap hozzájárulás</t>
  </si>
  <si>
    <t>Okmányiroda működési kiadásai</t>
  </si>
  <si>
    <t>Gyámügyi igazgatási feladatok</t>
  </si>
  <si>
    <t>Építésügyi igazgatási feladatok</t>
  </si>
  <si>
    <t>Kiegészítő hozzájár. Építésügyi ig-i fel-hoz</t>
  </si>
  <si>
    <t>Lakott külterülettel kapcsolatos feladatok</t>
  </si>
  <si>
    <t>Lakossági folyékony hulladék ártalmatlanítása</t>
  </si>
  <si>
    <t>Üdülőhelyi feladatok</t>
  </si>
  <si>
    <t>Jövedelemdifferenciálódás mérséklése</t>
  </si>
  <si>
    <t>Pénzbeli szociális juttatások</t>
  </si>
  <si>
    <t>Szociális és gyermekjóléti alap-szolgáltatás</t>
  </si>
  <si>
    <t>Családsegítés</t>
  </si>
  <si>
    <t>Gyermekjóléti szolgálat</t>
  </si>
  <si>
    <t>Idősek nappali intézményi ellátása</t>
  </si>
  <si>
    <t>Gyermekek napközbeni ellátása</t>
  </si>
  <si>
    <t>Bölcsődei ellátás</t>
  </si>
  <si>
    <t>Ingyenes int. étkeztetés</t>
  </si>
  <si>
    <t>Közoktatás</t>
  </si>
  <si>
    <t>Alapfokú művészetoktatás zene 8hó</t>
  </si>
  <si>
    <t>Alapfokú művészetoktatás tánc 8hó</t>
  </si>
  <si>
    <t>Alapfokú művészetoktatás zene 4hó</t>
  </si>
  <si>
    <t>Alapfokú művészetoktatás tánc 4hó</t>
  </si>
  <si>
    <t>Pedagógiai módszerek támogatása zene 8 hó</t>
  </si>
  <si>
    <t>Pedagógiai módszerek támogatása képző 8 hó</t>
  </si>
  <si>
    <t>Szociális továbbképzés</t>
  </si>
  <si>
    <t>Helyi önkormányzati hivatásos tűzoltóság támogatása</t>
  </si>
  <si>
    <t>Kötött</t>
  </si>
  <si>
    <t xml:space="preserve">Szabad </t>
  </si>
  <si>
    <t>A.               Felhalmozási célú maradvány és előző évben képzett tartalék maradványa</t>
  </si>
  <si>
    <t xml:space="preserve">A / I. </t>
  </si>
  <si>
    <t>a</t>
  </si>
  <si>
    <t>Központosított összesen:</t>
  </si>
  <si>
    <t>Kötvénykibocsátás fejlesztési feladatok ellátásához - tartalék</t>
  </si>
  <si>
    <t>b</t>
  </si>
  <si>
    <t>Intézményi összesen:</t>
  </si>
  <si>
    <t>Ö S S Z E S E N   (A / I./a+b)</t>
  </si>
  <si>
    <t>A / II.</t>
  </si>
  <si>
    <t>A / III.</t>
  </si>
  <si>
    <t>Egyéb felhalmozás jellegű kiadások</t>
  </si>
  <si>
    <t xml:space="preserve">a </t>
  </si>
  <si>
    <t>Ö S S Z E S E N    (A / III./a)</t>
  </si>
  <si>
    <t>A.       FELHALMOZÁSI CÉLÚ PÉNZMARADVÁNY ÉS ELŐZŐ ÉVBEN KÉPZETT TARTALÉK MARADVÁNYA ÖSSZESEN (I.-III.)</t>
  </si>
  <si>
    <t>B.            Működési célú pénzmaradvány</t>
  </si>
  <si>
    <t>B / I.</t>
  </si>
  <si>
    <t>Bevételi többletből</t>
  </si>
  <si>
    <t>Városi Alapfokú Művészetoktási Intézmény</t>
  </si>
  <si>
    <t>Személyi jellegű kiadások 1.-7. sorok</t>
  </si>
  <si>
    <t>Munkaadót terhelő járulékok 1.-7. sorok</t>
  </si>
  <si>
    <t>Dologi kiadások 1.-7. sorok</t>
  </si>
  <si>
    <t>Bevételi többlet 1.-7. sorok</t>
  </si>
  <si>
    <t>B / I. Intézményi összesen kiadásmegtakarítás és bevételi többlet:</t>
  </si>
  <si>
    <t>B / II.</t>
  </si>
  <si>
    <t>KÖZPONTOSÍTOTT</t>
  </si>
  <si>
    <t xml:space="preserve"> Szociálisan rászoruló gyerekek továbbtanulásának támogatása (Bursa )</t>
  </si>
  <si>
    <t>Átmeneti segély</t>
  </si>
  <si>
    <t>Cigány Kisebbségi Önkormányzat</t>
  </si>
  <si>
    <t>Egyéb köztisztasági tevékenység</t>
  </si>
  <si>
    <t>Értékbecslések, tulajdoni lapok</t>
  </si>
  <si>
    <t>Értékesítéshez kapcsolódó Áfa kiadások</t>
  </si>
  <si>
    <t>Hivatali igazgatási feladatok</t>
  </si>
  <si>
    <t>Kamat és egyéb hitelfelvételi kiadások</t>
  </si>
  <si>
    <t>Környezetvédelmi alapból minőség védelemre</t>
  </si>
  <si>
    <t>Kötvénykibocsátás</t>
  </si>
  <si>
    <t>Közművelődési megállapodás alapján végzett szolgáltatás</t>
  </si>
  <si>
    <t>Közterületfelügyelők</t>
  </si>
  <si>
    <t>Közvilágítási feladatok</t>
  </si>
  <si>
    <t>KTKT házirorvosi ügyelet támogatása</t>
  </si>
  <si>
    <t>KTKT oktatási, nevelési feladatainak támogatása</t>
  </si>
  <si>
    <t>Lakásfenntartási támogatás</t>
  </si>
  <si>
    <t>Mezőőri feladatok</t>
  </si>
  <si>
    <t>Német Kisebbségi Önkormányzat</t>
  </si>
  <si>
    <t>Önkormányzati vagyon és épületek hasznosításával kapcs.kiad.</t>
  </si>
  <si>
    <t>Polgárvédelmi feladatok</t>
  </si>
  <si>
    <t>PPP projekt Petőfi Sándor Általános Iskola tornaterem</t>
  </si>
  <si>
    <t xml:space="preserve">PPP projekt Térségi uszoda </t>
  </si>
  <si>
    <t>Sikeres Magyarországért Panel Plusz hitelprogram</t>
  </si>
  <si>
    <t>Szlovák Kisebbségi Önkormányzat</t>
  </si>
  <si>
    <t>Szüreti napok</t>
  </si>
  <si>
    <t>Temetkezés</t>
  </si>
  <si>
    <t>Térfigyelő rendszer</t>
  </si>
  <si>
    <t>Testületi feladatok ellátása</t>
  </si>
  <si>
    <t>Városi rendezvények</t>
  </si>
  <si>
    <t>B / II . Központosított összesen:</t>
  </si>
  <si>
    <t>B.  ÖSSZESEN: I.+II.</t>
  </si>
  <si>
    <t>Módosított pénzmaradványból kötelezettséggel terhelt                           (15. számú melléklet 14. sor)</t>
  </si>
  <si>
    <t>előző években képzett tartalék maradvány                                                    (15. számú melléklet 4. sor)</t>
  </si>
  <si>
    <t>összesen</t>
  </si>
  <si>
    <t>Kötött pénzmaradvány és előző évben képzett tartalék maradványa</t>
  </si>
  <si>
    <t>ebből: működési célú         (B)</t>
  </si>
  <si>
    <t xml:space="preserve">           felhalmozási célú    (A)</t>
  </si>
  <si>
    <t>Víztermelés-, kezelés- ellátás</t>
  </si>
  <si>
    <t>Közutak üzemeltetése, fenntartása</t>
  </si>
  <si>
    <t>Zöldterületkezelés, parkfenntartás, parképítés</t>
  </si>
  <si>
    <t>Állategészségügyi tevékenységek</t>
  </si>
  <si>
    <t>Lakástámogatások</t>
  </si>
  <si>
    <t>Közcélú, közhasznú foglalkoztatás</t>
  </si>
  <si>
    <t>Eseti-, ügygondnoki díjak</t>
  </si>
  <si>
    <t>Magyar Professzionális Erőemelő Liga támogatása</t>
  </si>
  <si>
    <t>Kiskőrösi advent</t>
  </si>
  <si>
    <t>Ápolási díj alanyi jogon</t>
  </si>
  <si>
    <t>Ápolási díj méltányossági alapon</t>
  </si>
  <si>
    <t>Rendszeres gyermekvédelmi pénzbeli ellátás</t>
  </si>
  <si>
    <t>Mozgáskorlátozottak közlekedési támogatása</t>
  </si>
  <si>
    <t>Önkormányzati természetbeni ellátások</t>
  </si>
  <si>
    <t>Egyéb szociális ellátások bentlakás nélkül</t>
  </si>
  <si>
    <t>Önkormányzat által nyújtott lakástámogatások</t>
  </si>
  <si>
    <t>Civil szervezetek működési támogatása</t>
  </si>
  <si>
    <t xml:space="preserve">     Kiskőrös Város Fúvószenekarát és Mazsorett Csoportját      Támogatók Egyesület</t>
  </si>
  <si>
    <t xml:space="preserve">Egyházak közösségi és hitéleti tevékenységének támogatása </t>
  </si>
  <si>
    <t xml:space="preserve">      Keresztény Ifjúsági Egyesület támogatása</t>
  </si>
  <si>
    <t xml:space="preserve">      Evangélikus Egyház szociális tevékenységének támogatása</t>
  </si>
  <si>
    <t>Kulturális műsorok, rendezvények, kiállítások szervezése</t>
  </si>
  <si>
    <t xml:space="preserve">      Szüreti Napok</t>
  </si>
  <si>
    <t xml:space="preserve">      Petőfi Sándor Társaság támogatása</t>
  </si>
  <si>
    <t xml:space="preserve">      Kiskőrösi Városi Borverseny támogatása</t>
  </si>
  <si>
    <t xml:space="preserve">      Kadarka Nemzetközi Nagydíj rose- és vörösborverseny támogatása</t>
  </si>
  <si>
    <t>Közművelődési tevékenységek és támogatásuk</t>
  </si>
  <si>
    <t>Művelődési Ház, Könyvtár hitelfelvétel - kamatfizetés</t>
  </si>
  <si>
    <t>Szabadidősport-tevékenység és támogatása</t>
  </si>
  <si>
    <t xml:space="preserve">     Labdarúgó utánpótlás- FOCISULI</t>
  </si>
  <si>
    <t xml:space="preserve">     Birkózás sportcélok támogatása</t>
  </si>
  <si>
    <t xml:space="preserve">     Női kézilabda sportcélok támogatása</t>
  </si>
  <si>
    <t>Szabadidős park, fürdő- és strandszolgáltatás</t>
  </si>
  <si>
    <t>Köztemető fenntartása és működtetése</t>
  </si>
  <si>
    <t>Aktív korúak ellátása (Rendszeres szoc. segély)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</si>
  <si>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</si>
  <si>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</si>
  <si>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</si>
  <si>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</si>
  <si>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</si>
  <si>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</si>
  <si>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</si>
  <si>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</si>
  <si>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</si>
  <si>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</si>
  <si>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</si>
  <si>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</si>
  <si>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</si>
  <si>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</si>
  <si>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</si>
  <si>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</si>
  <si>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</si>
  <si>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</si>
  <si>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</si>
  <si>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</si>
  <si>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</si>
  <si>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</si>
  <si>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</si>
  <si>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Bevételek</t>
  </si>
  <si>
    <t>Pénzforgalom nélküli bevételek</t>
  </si>
  <si>
    <t>Előző évi pénzmaradvány</t>
  </si>
  <si>
    <t xml:space="preserve">Intézményi működési </t>
  </si>
  <si>
    <t xml:space="preserve">Támogatásértékű működési </t>
  </si>
  <si>
    <t>Felhal-mozási</t>
  </si>
  <si>
    <t xml:space="preserve">bevétel </t>
  </si>
  <si>
    <t>-ebből OEP</t>
  </si>
  <si>
    <t>Egyéb köztisztasági tevékenységek</t>
  </si>
  <si>
    <t>Köztisztaság pályáztatás alapján</t>
  </si>
  <si>
    <t>a Magyarország stabilitásáról szóló 2011. évi CXCIV. törvény 3.§ (1) bekezdése szerinti adósságot keletkeztető ügyletek és kezességvállalások, valamint saját bevételek</t>
  </si>
  <si>
    <t>Tárgyévi módosított előirányzat</t>
  </si>
  <si>
    <t>Tárgyévi teljesítés</t>
  </si>
  <si>
    <t>Kötelezettség/saját bevétel a tárgyévet követő</t>
  </si>
  <si>
    <t>…</t>
  </si>
  <si>
    <t>1.1</t>
  </si>
  <si>
    <t>1.2</t>
  </si>
  <si>
    <t>OTP Bank Zrt-nél 17.601 ezer Ft összegben felvett ÖKIF (fejlesztési célú) hitel a Művelődési Központ felújítására (felvétel éve: 2006. , lejárata: 2026.) - tőke</t>
  </si>
  <si>
    <t>OTP Bank Zrt-nél 17.601 ezer Ft összegben felvett ÖKIF (fejlesztési célú) hitel a Művelődési Központ felújítására (felvétel éve: 2006. , lejárata: 2026.) - kamat</t>
  </si>
  <si>
    <t>Raiffeisen Bank Zrt-nél 3.018.000 EURO összegben kötvénykibocsátás (kibocsátás éve: 2008., lejárata: 2028., tőketörlesztés kezdete: 2013.) - tőke</t>
  </si>
  <si>
    <t>Raiffeisen Bank Zrt-nél 3.018.000 EURO összegben kötvénykibocsátás (kibocsátás éve: 2008., lejárata: 2028., tőketörlesztés kezdete: 2013.) - kamat</t>
  </si>
  <si>
    <t>Petőfi Sándor Városi Könyvtár és a Művelődési Központ</t>
  </si>
  <si>
    <t>Fejlesztések, beruházások finanszírozása</t>
  </si>
  <si>
    <t>4. és ezt követő év(ek)ben a futamidő végéig, ill. a kezesség érvényesíthetőségéig</t>
  </si>
  <si>
    <t>OTP Bank Nyrt - hitel</t>
  </si>
  <si>
    <r>
      <t>Raiffeisen Bank - kötvénykibocsátás</t>
    </r>
    <r>
      <rPr>
        <sz val="9"/>
        <rFont val="Arial"/>
        <family val="2"/>
      </rPr>
      <t>*</t>
    </r>
  </si>
  <si>
    <t xml:space="preserve">Fejlesztési cél megnevezése </t>
  </si>
  <si>
    <t>Fejlesztési cél teljes összege (ezer Ft)</t>
  </si>
  <si>
    <t>Fejlesztési cél tárgyévi előirányzata (ezer Ft)</t>
  </si>
  <si>
    <t>Adósságot keletkeztető ügylet megnevezése</t>
  </si>
  <si>
    <t>Felvétel tervezett éve</t>
  </si>
  <si>
    <t>Lejárat tervezett éve</t>
  </si>
  <si>
    <t>Ügylet várható együttes összege (ezer Ft)</t>
  </si>
  <si>
    <t>saját bevételek</t>
  </si>
  <si>
    <t>Hitelezők</t>
  </si>
  <si>
    <r>
      <t>1</t>
    </r>
    <r>
      <rPr>
        <sz val="8"/>
        <rFont val="Times New Roman"/>
        <family val="1"/>
      </rPr>
      <t>A bölcsődei ellátásnál nyújtott kedvezmény a személyes gondoskodást nyújtó szociális ellátások térítési díjáról szóló 24/2006. (XII.28.) önk. rendelet alapján.</t>
    </r>
  </si>
  <si>
    <r>
      <t xml:space="preserve">5 </t>
    </r>
    <r>
      <rPr>
        <sz val="8"/>
        <rFont val="Times New Roman"/>
        <family val="1"/>
      </rPr>
      <t>A kedvezmény a szervezetek sporttevékenységének a helyi sportfeladatok meghatározásáról és ellátásáról szóló 9/2012. (III. 30.) önkormányzati rendelet alapján biztosított helyiségek bérleti díja alapján került meghatározásra.</t>
    </r>
  </si>
  <si>
    <t>Egyéb működési célú kiadások: speciális célú és támogtásértékű kiadások</t>
  </si>
  <si>
    <t>Intézmények összesen               1-7. sorok</t>
  </si>
  <si>
    <t>Szivárvány Szlovák Néptáncegyüttes</t>
  </si>
  <si>
    <t>Díszvilágítás</t>
  </si>
  <si>
    <t>Tehetséges gyermekek továbbtanulásának támogatása</t>
  </si>
  <si>
    <t>Mellrákszűrés</t>
  </si>
  <si>
    <t>Kiskőrösi Mentő Alapítvány támogatása</t>
  </si>
  <si>
    <t>Képviselő-testületi ülések, városi rendezvények közvetítései</t>
  </si>
  <si>
    <t>Hulladékgazdálkodás - egyéb veszélyes hulladékok</t>
  </si>
  <si>
    <t>Képviselő-testület</t>
  </si>
  <si>
    <t>Gyermekkarácsony, Idősek napja</t>
  </si>
  <si>
    <t>Városi rendezvények, fizetendő jogdíjak</t>
  </si>
  <si>
    <t>Az Önkormányzat, az Önkormányzat költségvetési szervei és a KTKT által fenntartott, de az Önkormányzat által is finanszírozott intézmények dologi kiadásai indokolt kiegészítéséhez szükséges tartalék</t>
  </si>
  <si>
    <t>Közművelődési intézmények, közösségi színterek működtetése, Tourinform Iroda támogatása</t>
  </si>
  <si>
    <t>Gyermektartásdíj megelőlegezése</t>
  </si>
  <si>
    <t>Kiskőrös Városért Alapítvány működésének támogatása</t>
  </si>
  <si>
    <t>Ezer Ft - ban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</si>
  <si>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</si>
  <si>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</si>
  <si>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</si>
  <si>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</si>
  <si>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</si>
  <si>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</si>
  <si>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</si>
  <si>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</si>
  <si>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</si>
  <si>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</si>
  <si>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</si>
  <si>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</si>
  <si>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</si>
  <si>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</si>
  <si>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</si>
  <si>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Intézményi működési bevételek</t>
  </si>
  <si>
    <t>2.</t>
  </si>
  <si>
    <t>Önkormányzat saját folyó bevétele</t>
  </si>
  <si>
    <t>3.</t>
  </si>
  <si>
    <t>Helyi adók</t>
  </si>
  <si>
    <t>4.</t>
  </si>
  <si>
    <t>Átengedett központi adók</t>
  </si>
  <si>
    <t>5.</t>
  </si>
  <si>
    <t>Önkormányzat egyéb sajátos bevételei</t>
  </si>
  <si>
    <t>6.</t>
  </si>
  <si>
    <t>PPP szolgáltatási díjak és hozzájárulások: szerződés szerint számított összegek</t>
  </si>
  <si>
    <t>Az európai uniós forrásokkal támogatott program megnevezése és a pályázat célja</t>
  </si>
  <si>
    <t>Kiadást finanszírozó források</t>
  </si>
  <si>
    <t>Önerő</t>
  </si>
  <si>
    <t>Támogatás megelőlegezése önkormányzati bevételből</t>
  </si>
  <si>
    <t>Hazai - központi támogatás</t>
  </si>
  <si>
    <t>Európai Unió támogatása</t>
  </si>
  <si>
    <t>Kiskőrösi Bölcsőde fejlesztése - DAOP-4.1.3/C-2008.</t>
  </si>
  <si>
    <t>teljes projekt</t>
  </si>
  <si>
    <t>2009. évi teljesítés</t>
  </si>
  <si>
    <t>2010. évi teljesítés</t>
  </si>
  <si>
    <t>Kiskőrös, Soltvadkert, Kecel és Izsák Városok könyvtári szolgáltatásainak összehangolt infrastruktúra fejlesztése - TIOP-1.2.3/08/01</t>
  </si>
  <si>
    <t>2008. évi teljesítés</t>
  </si>
  <si>
    <t>Petőfi Sándor Művelődési Központ felújítása Kiskőrösön - DAOP - 2009-4.1.3/C</t>
  </si>
  <si>
    <t>Belterületi útfejlesztés Kiskőrösön - DAOP-2009-3.1.1/B</t>
  </si>
  <si>
    <t xml:space="preserve"> Volt állami tulajdonban lévő lakásvásárlási kölcsön*</t>
  </si>
  <si>
    <t xml:space="preserve"> Szoc.lakásvásárlás, munkáltatói kölcsönök, belvízkárosult lakások visszatérítendő támogatása**</t>
  </si>
  <si>
    <t>2010-ben a 2010. december 31-i hitelkeret-igénybevétel. 2011. évben a bevételi előirányzatok között  rövid lejáratú hitel (működési hiány).</t>
  </si>
  <si>
    <r>
      <t>Fejlesztési célú hitel</t>
    </r>
    <r>
      <rPr>
        <vertAlign val="superscript"/>
        <sz val="8"/>
        <rFont val="Times New Roman CE"/>
        <family val="0"/>
      </rPr>
      <t>1</t>
    </r>
  </si>
  <si>
    <r>
      <t>Működési célú hitel visszafizetése</t>
    </r>
    <r>
      <rPr>
        <vertAlign val="superscript"/>
        <sz val="8"/>
        <rFont val="Times New Roman CE"/>
        <family val="0"/>
      </rPr>
      <t>2</t>
    </r>
  </si>
  <si>
    <r>
      <t>PPP Tanuszoda szolgáltatási díj</t>
    </r>
    <r>
      <rPr>
        <vertAlign val="superscript"/>
        <sz val="8"/>
        <rFont val="Times New Roman CE"/>
        <family val="0"/>
      </rPr>
      <t>3</t>
    </r>
  </si>
  <si>
    <r>
      <t>PPP Tornaterem szolgáltatási díj</t>
    </r>
    <r>
      <rPr>
        <vertAlign val="superscript"/>
        <sz val="8"/>
        <rFont val="Times New Roman CE"/>
        <family val="0"/>
      </rPr>
      <t>3</t>
    </r>
  </si>
  <si>
    <t>Központi kltsgvetésből kapott tám.</t>
  </si>
  <si>
    <t>7.</t>
  </si>
  <si>
    <t>8.</t>
  </si>
  <si>
    <t>Hitelek</t>
  </si>
  <si>
    <t>9.</t>
  </si>
  <si>
    <t>10.</t>
  </si>
  <si>
    <t>11.</t>
  </si>
  <si>
    <t>KIADÁSI ELŐIRÁNYZAT FELHASZNÁLÁS ALAKULÁSA</t>
  </si>
  <si>
    <t>Személyi juttatások</t>
  </si>
  <si>
    <t>Munkaadókat terhelő járulékok</t>
  </si>
  <si>
    <t>Dologi kiadások</t>
  </si>
  <si>
    <t>Felhalmozási célú kiadások</t>
  </si>
  <si>
    <t>Tartalékok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</si>
  <si>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</si>
  <si>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</si>
  <si>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</si>
  <si>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</si>
  <si>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</si>
  <si>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</si>
  <si>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</si>
  <si>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Intézményi bevételek</t>
  </si>
  <si>
    <t>II.</t>
  </si>
  <si>
    <t>Központosított bevételek</t>
  </si>
  <si>
    <t>Önkormányzatok egyéb sajátos bevételei</t>
  </si>
  <si>
    <t>Felhalmozási és tőke jellegű bevételek</t>
  </si>
  <si>
    <t>Központi költségvetésből kapott támogatás</t>
  </si>
  <si>
    <t>KIADÁSOK</t>
  </si>
  <si>
    <t>Működési célú kiadások</t>
  </si>
  <si>
    <t>Ellátottak pénzbeli juttatása</t>
  </si>
  <si>
    <t xml:space="preserve">Összesen </t>
  </si>
  <si>
    <t>Felhalmozási jellegű kiadások</t>
  </si>
  <si>
    <t>Beruházások</t>
  </si>
  <si>
    <t>Felújítások</t>
  </si>
  <si>
    <t>III.</t>
  </si>
  <si>
    <t>Általános tartalék</t>
  </si>
  <si>
    <t>Céltartalék</t>
  </si>
  <si>
    <t>KIADÁSOK ÖSSZESEN</t>
  </si>
  <si>
    <t>Ezer Ft-ban</t>
  </si>
  <si>
    <t>M E G N E V E Z É S</t>
  </si>
  <si>
    <t xml:space="preserve">B E V É T E L E K </t>
  </si>
  <si>
    <t>A./</t>
  </si>
  <si>
    <t>INTÉZMÉNYI BEVÉTELEK</t>
  </si>
  <si>
    <t>Intézményi alaptevékenység és egyéb tevékenység</t>
  </si>
  <si>
    <t>B./</t>
  </si>
  <si>
    <t>KÖZPONTOSÍTOTT FOLYÓ BEVÉTELEK</t>
  </si>
  <si>
    <t>Bérleti díjak ( közterület, garázs, föld )</t>
  </si>
  <si>
    <t>Helyiség bérleti díjak</t>
  </si>
  <si>
    <t>Helyőrségi Klub bérleti díja</t>
  </si>
  <si>
    <t>Krimpeni ház bérleti díja</t>
  </si>
  <si>
    <t>Továbbszámlázott szolgáltatás bevétele</t>
  </si>
  <si>
    <t>Gépjárműadó</t>
  </si>
  <si>
    <t>Intézményi kötött pénzmaradvány (1-7. sorok) bevételi többletből</t>
  </si>
  <si>
    <t>INTÉZMÉNYI ÖSSZES PÉNZMARADVÁNY (I.+II.+III.+IV.)</t>
  </si>
  <si>
    <t xml:space="preserve">Szabad pénzmaradvány: bevételi többlet </t>
  </si>
  <si>
    <t>Egyéb működési célú kiadások: társadalom-, szociálpolitikai és egyéb juttatások, támogatások</t>
  </si>
  <si>
    <t>Egyéb működési célú kiadások: támogatásértékű kiadások</t>
  </si>
  <si>
    <t>Egyéb működési célú kiadások: speciális célú támogatások</t>
  </si>
  <si>
    <t>Egyéb működési célú kiadások: támogatásértékű kiadások, támogatások</t>
  </si>
  <si>
    <t>Egyéb működési célú támogatások</t>
  </si>
  <si>
    <t xml:space="preserve">     Munkaadókat terhelő járulék</t>
  </si>
  <si>
    <t>Idegenforgalmi adó bevételek</t>
  </si>
  <si>
    <t>Személyi jövedelemadó helyben maradó része</t>
  </si>
  <si>
    <t>Talajterhelési díj</t>
  </si>
  <si>
    <t>Részvények értékesítése, hozama</t>
  </si>
  <si>
    <t>IV.</t>
  </si>
  <si>
    <t>Ápolási díj</t>
  </si>
  <si>
    <t>Időskorúak járadéka</t>
  </si>
  <si>
    <t>Lakásfenntartás támogatása</t>
  </si>
  <si>
    <t>Polgári védelmi feladatok ellátása</t>
  </si>
  <si>
    <t>Mezőőri feladatok ellátására támogatás</t>
  </si>
  <si>
    <t>12.</t>
  </si>
  <si>
    <t>V.</t>
  </si>
  <si>
    <t>Volt állami tulajdonban lévő lakásvásárlási kölcsönök és szociális lakástámogatás törlesztéséből származó bevételek</t>
  </si>
  <si>
    <t>13.</t>
  </si>
  <si>
    <t>VI.</t>
  </si>
  <si>
    <t>VII.</t>
  </si>
  <si>
    <t>Német Kisebbségi Önkormányzat támogatása</t>
  </si>
  <si>
    <t>Szlovák Kisebbségi Önkormányzat támogatása</t>
  </si>
  <si>
    <t>Cigány Kisebbségi Önkormányzat támogatása</t>
  </si>
  <si>
    <t>VIII.</t>
  </si>
  <si>
    <t>14.</t>
  </si>
  <si>
    <t>15.</t>
  </si>
  <si>
    <t>K I A DÁ S O K</t>
  </si>
  <si>
    <t>Központosított beruházások</t>
  </si>
  <si>
    <t>Intézményi beruházások</t>
  </si>
  <si>
    <t>Központosított felújítások</t>
  </si>
  <si>
    <t>Céltartalékok</t>
  </si>
  <si>
    <t>Cím,</t>
  </si>
  <si>
    <t>Cím</t>
  </si>
  <si>
    <t>szám</t>
  </si>
  <si>
    <t>megnevezése</t>
  </si>
  <si>
    <t>bevételek</t>
  </si>
  <si>
    <t>Cím ,</t>
  </si>
  <si>
    <t>Személyi</t>
  </si>
  <si>
    <t>Dologi</t>
  </si>
  <si>
    <t>Ellátottak</t>
  </si>
  <si>
    <t>Beruházá-</t>
  </si>
  <si>
    <t>Létszám-</t>
  </si>
  <si>
    <t>Alcím</t>
  </si>
  <si>
    <t xml:space="preserve">             alcím megnevezése</t>
  </si>
  <si>
    <t>jellegű</t>
  </si>
  <si>
    <t xml:space="preserve">terhelő </t>
  </si>
  <si>
    <t>kiadások</t>
  </si>
  <si>
    <t>pénzbeli</t>
  </si>
  <si>
    <t>célú kiadások</t>
  </si>
  <si>
    <t>sok, felújí-</t>
  </si>
  <si>
    <t>keret</t>
  </si>
  <si>
    <t>Szám</t>
  </si>
  <si>
    <t>járulékok</t>
  </si>
  <si>
    <t>juttatása</t>
  </si>
  <si>
    <t>tások</t>
  </si>
  <si>
    <t>Város -és községgazdálkodási szolgáltatás</t>
  </si>
  <si>
    <t>Közvilágítás</t>
  </si>
  <si>
    <t>e Ft-ban</t>
  </si>
  <si>
    <t>A.</t>
  </si>
  <si>
    <t>Központosított</t>
  </si>
  <si>
    <t>B.</t>
  </si>
  <si>
    <t>Intézményi</t>
  </si>
  <si>
    <t>Ö S S Z E S E N</t>
  </si>
  <si>
    <t>BERUHÁZÁSOK, FELÚJÍTÁSOK ÉS EGYÉB FELHALMOZÁSI</t>
  </si>
  <si>
    <t xml:space="preserve"> </t>
  </si>
  <si>
    <t>ezer Ft-ban</t>
  </si>
  <si>
    <t>Sor-szám</t>
  </si>
  <si>
    <t>Feladat</t>
  </si>
  <si>
    <t>Az átcsoportosítás jogát gyakorolja</t>
  </si>
  <si>
    <t>Polgármester</t>
  </si>
  <si>
    <t>Más forrásból nem finanszírozható városi feladatok ellátásának fedezetére</t>
  </si>
  <si>
    <t>Önkormányzati rendezvények, külkapcsolatok, városi kiadványokköltségeinek fedezetére</t>
  </si>
  <si>
    <t>Ügyrendi és Összeférhetetlenségi Bizottság</t>
  </si>
  <si>
    <t>Kulturális, oktatási tevékenységek, programok, pályázatok, valamint 1/2003 (I. 24.) önk. sportrendelet 8.§ (7) bekezdésében meghatározottak kiegészítő támogatására</t>
  </si>
  <si>
    <t>Művelődési, Közoktatási és Sport Bizottság</t>
  </si>
  <si>
    <t>Mezőgazdasági, környezetvédelmi és idegenforgalmi feladatok ellátásának támogatására</t>
  </si>
  <si>
    <t>Összesen:</t>
  </si>
  <si>
    <t>Fejlesztési célra átvett pénzeszközök</t>
  </si>
  <si>
    <t>Támogatásértékű bevételek</t>
  </si>
  <si>
    <t>Rendszeres gyermekvédelmi kedvezmény</t>
  </si>
  <si>
    <t>Kiegészítő gyermekvédelmi támogatás</t>
  </si>
  <si>
    <t>Támogatás- értékű kiadások</t>
  </si>
  <si>
    <t xml:space="preserve">Ellátottak pénzbeli juttatása </t>
  </si>
  <si>
    <t>Társ.szoc. pol. és egyéb juttatás/tám</t>
  </si>
  <si>
    <t>Támogatásértékű működési bevételek</t>
  </si>
  <si>
    <t>Véglegesen átvett pénzeszközök</t>
  </si>
  <si>
    <t>Mindösszesen</t>
  </si>
  <si>
    <t>Sikeres Magyarországért Panel Plusz Hitelprogram</t>
  </si>
  <si>
    <t>Humán Szolgáltató Központ</t>
  </si>
  <si>
    <t>Nyugdíjas köztisztviselők juttatásai</t>
  </si>
  <si>
    <t>Építési tilalom alatt álló ingatlan kártalanítása</t>
  </si>
  <si>
    <t>Védett épületek felújításának támogatása</t>
  </si>
  <si>
    <t>Állami lakástámogatások jogszabály alapján - Sikeres Mo-ért Panel Plusz</t>
  </si>
  <si>
    <t>Közcélú foglalkoztatás - Út a munkához program</t>
  </si>
  <si>
    <t xml:space="preserve">      Értékbecslések, tulajdoni lapok, térképkivonatok, vázrajzok, ingatlan-nyilvántartási eljárás díjai</t>
  </si>
  <si>
    <t>Lakbértámogatás</t>
  </si>
  <si>
    <t>Tartásdíj támogatása</t>
  </si>
  <si>
    <t>Átmeneti segély (felnőttek eseti segélyezése)</t>
  </si>
  <si>
    <t>Közgyógy-ellátás</t>
  </si>
  <si>
    <t>Lakóingatlan, nem lakóingatlan bérbeadása, üzemeltetése</t>
  </si>
  <si>
    <t>Rendkívüli gyermekvédelmi támogatás</t>
  </si>
  <si>
    <t>Köztemetés</t>
  </si>
  <si>
    <t>Kiegészítő gyermekvédelmi  támogatás</t>
  </si>
  <si>
    <t>Temetési segély</t>
  </si>
  <si>
    <t>Mozgáskorlátozottak támogatása</t>
  </si>
  <si>
    <t>Otthonteremtési támogatás</t>
  </si>
  <si>
    <t>Buszváró lakás bérleti díja</t>
  </si>
  <si>
    <t xml:space="preserve">I. </t>
  </si>
  <si>
    <t>Felhalmozási és tőke jellegű bevételek összesen</t>
  </si>
  <si>
    <t>Otthonteremtő támogatás</t>
  </si>
  <si>
    <t xml:space="preserve">IV. </t>
  </si>
  <si>
    <t>Támogatásértékű bevételek mindösszesen</t>
  </si>
  <si>
    <t>Költségvetési, Városfejlesztési és Mezőgazdasági Bizottság</t>
  </si>
  <si>
    <t>Művelődési Ház, Könyvtár fejlesztési célú hitelfelvétel kamattámogatása</t>
  </si>
  <si>
    <t>Alapfokú Művészetoktatás telephelyei általi befizetések</t>
  </si>
  <si>
    <t>Petőfi Sándor Városi Könyvtár</t>
  </si>
  <si>
    <t xml:space="preserve">Városi Alapfokú Művészeti Iskola </t>
  </si>
  <si>
    <t xml:space="preserve">Városi Sportigazgatóság </t>
  </si>
  <si>
    <t xml:space="preserve">Petőfi Szülőház és Emlékmúzeum </t>
  </si>
  <si>
    <t xml:space="preserve">Hivatásos Önkormányzati Tűzoltóság </t>
  </si>
  <si>
    <t xml:space="preserve">Humán Szolgáltató Központ </t>
  </si>
  <si>
    <t xml:space="preserve">Városi Alapfokú Művészetoktatási Intézmény </t>
  </si>
  <si>
    <t>Városi Sportigazgatóság</t>
  </si>
  <si>
    <r>
      <t xml:space="preserve">INTÉZMÉNYEK ÖSSZESEN </t>
    </r>
    <r>
      <rPr>
        <sz val="8"/>
        <rFont val="Times New Roman CE"/>
        <family val="1"/>
      </rPr>
      <t>( 1-7 sorok )</t>
    </r>
  </si>
  <si>
    <t>Lakbérbevételek</t>
  </si>
  <si>
    <t>Dolgozóknak, intézményi dolgozóknak nyújtott lakásvásárlási, lakásépítési kölcsön visszatérítése</t>
  </si>
  <si>
    <t>Dolgozóknak nyújtott lakásvásárlási-, lakásépítési kölcsön</t>
  </si>
  <si>
    <t>Gondozási szükséglet vizsgálata házi segítségnyújtásnál</t>
  </si>
  <si>
    <t>Önkormányzat saját bevételei összesen</t>
  </si>
  <si>
    <t>Önkormányzat sajátos bevételei</t>
  </si>
  <si>
    <t>Önkormányzat sajátos bevételei összesen</t>
  </si>
  <si>
    <t>Jövedelemkülönbség mérséklése</t>
  </si>
  <si>
    <t>Környezetvédelmi bírság</t>
  </si>
  <si>
    <t>Termőföld bérbeadásából származó jövedelem adó</t>
  </si>
  <si>
    <t>Lakossághoz és feladatmutatóhoz kötött normatív hozzájárulás</t>
  </si>
  <si>
    <t>Kiegészítő támogatás egyes közoktatási feladatokhoz</t>
  </si>
  <si>
    <t>Helyi önkormányzati hivatásos tűzoltóságok támogatása</t>
  </si>
  <si>
    <t>Kiegészítő támogatás egyes szociális feladatokhoz</t>
  </si>
  <si>
    <t>Önkormány-zati hozzá-járulás</t>
  </si>
  <si>
    <t>Egészségügyi Szolgálat</t>
  </si>
  <si>
    <t>Polgármesteri Hivatal saját bevétele</t>
  </si>
  <si>
    <t>Iparűzési adó</t>
  </si>
  <si>
    <t>Magánszemélyek kommunális adója</t>
  </si>
  <si>
    <t xml:space="preserve">Felújítások </t>
  </si>
  <si>
    <t>Könyvtár pályázat - TIOP 1.2.3-08/1-2008-0052</t>
  </si>
  <si>
    <t>Könyvtár pályázat -  TIOP 1.2.3-08/1-2008-0052</t>
  </si>
  <si>
    <t>Fejlesztési célra átvett pénzeszközök összesen</t>
  </si>
  <si>
    <t>Támogatásértékű felhalmozási bevételek</t>
  </si>
  <si>
    <t>Civil szervezetek program támogatása</t>
  </si>
  <si>
    <t>IX.</t>
  </si>
  <si>
    <t>Kölcsönök megtérülése</t>
  </si>
  <si>
    <t>KTKT</t>
  </si>
  <si>
    <t>Kölcsönök visszatérülése</t>
  </si>
  <si>
    <t>X.</t>
  </si>
  <si>
    <t>Intézményi pénzmaradvány</t>
  </si>
  <si>
    <t>Petőfi Szülőház és Emlékmúzeum</t>
  </si>
  <si>
    <t>16.</t>
  </si>
  <si>
    <t>Önkormányzati bérlakások felújítása, kialakítása - önerő</t>
  </si>
  <si>
    <t>Művelődési Ház füstelvezetés, elektromos javítás</t>
  </si>
  <si>
    <t>17.</t>
  </si>
  <si>
    <t>18.</t>
  </si>
  <si>
    <t>19.</t>
  </si>
  <si>
    <t>20.</t>
  </si>
  <si>
    <t>21.</t>
  </si>
  <si>
    <t>22.</t>
  </si>
  <si>
    <t>23.</t>
  </si>
  <si>
    <t>Petőfi tér 3. sz. alatti ingatlan homlokzat felújítása</t>
  </si>
  <si>
    <t>Útépítés, felújítás</t>
  </si>
  <si>
    <t>Utak</t>
  </si>
  <si>
    <t xml:space="preserve">Hulladékgazdálkodás </t>
  </si>
  <si>
    <t>Szennyvízcsatorna-hálózat VII-VIII. ütemének kiépítése KEOP-1-2-0</t>
  </si>
  <si>
    <t>24.</t>
  </si>
  <si>
    <t>Hivatásos Tűzoltóság gépjárműfecskendő beszerzése önerő</t>
  </si>
  <si>
    <t>Kötvénykibocsátás - tartalék</t>
  </si>
  <si>
    <t>Munka-adókat</t>
  </si>
  <si>
    <r>
      <t>808 824</t>
    </r>
    <r>
      <rPr>
        <sz val="9"/>
        <rFont val="Arial"/>
        <family val="2"/>
      </rPr>
      <t>*</t>
    </r>
  </si>
  <si>
    <t>Oktatási célok és egyéb feladatok</t>
  </si>
  <si>
    <t>Felhalmozási célú bevételek (+felh.pm +felh.tart.)</t>
  </si>
  <si>
    <t>Működési célú pénzmaradvány</t>
  </si>
  <si>
    <t>24</t>
  </si>
  <si>
    <t>25.</t>
  </si>
  <si>
    <t>Petőfi Szülőház és Emlékmúzeum - "A felemelő század - nemzeti romantika és polgári felemelkedés a XIX. századi Magyarországon"</t>
  </si>
  <si>
    <t>Sportcélok támogatása</t>
  </si>
  <si>
    <t>26.</t>
  </si>
  <si>
    <r>
      <t xml:space="preserve">INTÉZMÉNYEK ÖSSZESEN </t>
    </r>
    <r>
      <rPr>
        <sz val="7"/>
        <rFont val="Times New Roman"/>
        <family val="1"/>
      </rPr>
      <t>(1-7.sor)       A</t>
    </r>
  </si>
  <si>
    <t>Összesen C (A+B)</t>
  </si>
  <si>
    <t>C+D+E+F</t>
  </si>
  <si>
    <r>
      <t>korrekció miatti változás</t>
    </r>
    <r>
      <rPr>
        <sz val="7"/>
        <rFont val="Times New Roman"/>
        <family val="1"/>
      </rPr>
      <t xml:space="preserve">: likvid hitel átkonvertálása rövid lejáratú hitellé </t>
    </r>
  </si>
  <si>
    <r>
      <t>korrekció miatti változás</t>
    </r>
    <r>
      <rPr>
        <sz val="7"/>
        <rFont val="Times New Roman"/>
        <family val="1"/>
      </rPr>
      <t xml:space="preserve">: előző évi kiutalási igény rendezése                         </t>
    </r>
  </si>
  <si>
    <t xml:space="preserve">2011. évi kiutalási igény                                                                                              </t>
  </si>
  <si>
    <t xml:space="preserve">Költségvetési pénzmaradvány (15. melléklet 9. sor)                              </t>
  </si>
  <si>
    <t>Települési önk. feladatai - sport, igazgatás, településüzemeltetés</t>
  </si>
  <si>
    <t>Hivatásos Önkormányzati Tűzoltóság  - gépjárműfecskendő</t>
  </si>
  <si>
    <t>KIADÁSOK ÖSSZESEN ( 1-47. sorok )</t>
  </si>
  <si>
    <t>Feladatalapú támogatás</t>
  </si>
  <si>
    <t>F</t>
  </si>
  <si>
    <t>Ebből: Működési célú</t>
  </si>
  <si>
    <t xml:space="preserve">           Felhalmozási célú</t>
  </si>
  <si>
    <t xml:space="preserve">         8. Tárgyi eszközök értékhelyesbítése</t>
  </si>
  <si>
    <t xml:space="preserve">         7. Állami készletek, tartalékok</t>
  </si>
  <si>
    <t xml:space="preserve">         1. Tartós részesedés</t>
  </si>
  <si>
    <t xml:space="preserve">         5/a. Áruk, betétdíjas göngyölegek, közvetített szolgáltatások</t>
  </si>
  <si>
    <t xml:space="preserve">         5/b. Követelés fejében átvett eszközök, készletek</t>
  </si>
  <si>
    <t xml:space="preserve">                      - nemzetközi támogatási programok miatti követelések</t>
  </si>
  <si>
    <t xml:space="preserve">                    '- támogatási program előlegek</t>
  </si>
  <si>
    <t xml:space="preserve">                    '- előfinanszírozás miatti követelések</t>
  </si>
  <si>
    <t xml:space="preserve">      1. Forgatási célú részesedés</t>
  </si>
  <si>
    <t xml:space="preserve">      1/a. Forgatási célú részesedés bekerülési értéke</t>
  </si>
  <si>
    <t xml:space="preserve">      1/b. Forgatási célú részesedés elszámolt értékvesztése</t>
  </si>
  <si>
    <t xml:space="preserve">         2/a. Forgatási célú hitelviszonyt megtestesítő értékpapír bekerülési értéke</t>
  </si>
  <si>
    <t xml:space="preserve">         2/b. Forgatási célú hitelviszonyt megtestesítő értékpapír elszámolt értékvesztése</t>
  </si>
  <si>
    <t xml:space="preserve">         4. Idegen pénzeszközök </t>
  </si>
  <si>
    <t xml:space="preserve">         2. Költségvetési pénzforgalmi számlák</t>
  </si>
  <si>
    <t xml:space="preserve"> IV. Üzemeltetésre, kezelésre átadott, koncesszióba, vagyonkezelésbe adott, illetve vagyonkezelésbe vett eszközök                                                                                                                                                                                                                        </t>
  </si>
  <si>
    <t xml:space="preserve"> 1. Tartós tőke</t>
  </si>
  <si>
    <t>25</t>
  </si>
  <si>
    <t>26</t>
  </si>
  <si>
    <t>Országos Szlovák Kisebbségi Önkormányzat támogatása</t>
  </si>
  <si>
    <t>Működési célra átvett pénzeszközök</t>
  </si>
  <si>
    <t>Működési célra átvett pénzeszközök összesen</t>
  </si>
  <si>
    <t>27</t>
  </si>
  <si>
    <t>Nyári gyermekétkeztetés</t>
  </si>
  <si>
    <t>- eredeti előirányzat</t>
  </si>
  <si>
    <t>- módosított előirányzat</t>
  </si>
  <si>
    <t>- teljesítés</t>
  </si>
  <si>
    <t>Eredeti</t>
  </si>
  <si>
    <t>Módosított</t>
  </si>
  <si>
    <t>Teljesítés</t>
  </si>
  <si>
    <t>Működési kiadások összesen</t>
  </si>
  <si>
    <t>Támogatásértékű bevétel</t>
  </si>
  <si>
    <t>Egyes jövedelempótló támogatások kiegészítése</t>
  </si>
  <si>
    <t>5  2</t>
  </si>
  <si>
    <t>5  3</t>
  </si>
  <si>
    <t>5  4</t>
  </si>
  <si>
    <t>5  1</t>
  </si>
  <si>
    <t>5  5</t>
  </si>
  <si>
    <t>5  6</t>
  </si>
  <si>
    <t>Rendszeres szociális segély</t>
  </si>
  <si>
    <t>Közcélú foglalkoztatás</t>
  </si>
  <si>
    <t>Normatív lakásfenntartási támogatás</t>
  </si>
  <si>
    <t>Könyvtári érdekeltségnövelő támogatás</t>
  </si>
  <si>
    <t xml:space="preserve">Prémiumévek program </t>
  </si>
  <si>
    <t>Kamatbevétel</t>
  </si>
  <si>
    <t>Országos Szlovák Önkormányzat támogatása</t>
  </si>
  <si>
    <t>Bevételek összesen</t>
  </si>
  <si>
    <t>ügyek száma (db)</t>
  </si>
  <si>
    <t>összeg (Ft)</t>
  </si>
  <si>
    <t>A</t>
  </si>
  <si>
    <t>Bölcsődei ellátásnál</t>
  </si>
  <si>
    <t>B</t>
  </si>
  <si>
    <t>lakosság részére lakásépítéshez, felújításhoz nyújtott kölcsön elengedése</t>
  </si>
  <si>
    <t>C</t>
  </si>
  <si>
    <t>helyi adónál, gépjárműadónál biztosított kedvezmény, mentesség összege adónemenként (1.+2.+3.)</t>
  </si>
  <si>
    <t>Bírság</t>
  </si>
  <si>
    <t>Pótlékok</t>
  </si>
  <si>
    <t>1. ÖSSZESEN</t>
  </si>
  <si>
    <t>Magánszemélyek kommunális adója:</t>
  </si>
  <si>
    <t>62 év felettiek kedvezménye</t>
  </si>
  <si>
    <t>2. ÖSSZESEN</t>
  </si>
  <si>
    <t>D</t>
  </si>
  <si>
    <t>helyiségek, eszközök hasznosításából származó bevételből nyújtott kedvezmény, mentesség</t>
  </si>
  <si>
    <t>órák száma</t>
  </si>
  <si>
    <t>Térítésmentes használók</t>
  </si>
  <si>
    <t>50%-os kedvezménnyel - szabadidősport</t>
  </si>
  <si>
    <t>75%-os kedvezménnyel - diáksport</t>
  </si>
  <si>
    <t>Városi Teremlabdarúgó Bajnokság</t>
  </si>
  <si>
    <t>Szilveszter Kupa</t>
  </si>
  <si>
    <t>1., 2. és 3. ÖSSZESEN</t>
  </si>
  <si>
    <t>E</t>
  </si>
  <si>
    <t>egyéb nyújtott kedvezmény, vagy kölcsön elengedése</t>
  </si>
  <si>
    <t>létszám</t>
  </si>
  <si>
    <t>50 %-os belépődíjkedvezmény</t>
  </si>
  <si>
    <t>100 %-os belépődíjkedvezmény</t>
  </si>
  <si>
    <t>könyvtári beiratkozási díj esetében nyújtott</t>
  </si>
  <si>
    <t>50%-os kedvezmény (pedagógusok, nyugdíjasok részére)</t>
  </si>
  <si>
    <t>100%-os kedvezmény (70 év felett, egy alkalommal 16. életévig)</t>
  </si>
  <si>
    <t>Mindösszesen (A+B+C+D+E):</t>
  </si>
  <si>
    <t>Szöveges indoklás:</t>
  </si>
  <si>
    <r>
      <t>ellátottak térítési díjának, illetve kártérítésének méltányossági alapon történő elengedése</t>
    </r>
    <r>
      <rPr>
        <b/>
        <vertAlign val="superscript"/>
        <sz val="9"/>
        <rFont val="Arial"/>
        <family val="2"/>
      </rPr>
      <t>1</t>
    </r>
  </si>
  <si>
    <r>
      <t>adóelengedések méltányosságból</t>
    </r>
    <r>
      <rPr>
        <u val="single"/>
        <vertAlign val="superscript"/>
        <sz val="9"/>
        <rFont val="Arial"/>
        <family val="2"/>
      </rPr>
      <t>2</t>
    </r>
  </si>
  <si>
    <r>
      <t>adókedvezmények</t>
    </r>
    <r>
      <rPr>
        <u val="single"/>
        <vertAlign val="superscript"/>
        <sz val="9"/>
        <rFont val="Arial"/>
        <family val="2"/>
      </rPr>
      <t>3</t>
    </r>
  </si>
  <si>
    <r>
      <t>Kommunális beruházás miatt igénybevett kedvezmény</t>
    </r>
    <r>
      <rPr>
        <vertAlign val="superscript"/>
        <sz val="9"/>
        <rFont val="Arial"/>
        <family val="2"/>
      </rPr>
      <t>4</t>
    </r>
  </si>
  <si>
    <r>
      <t>Sportcsarnok</t>
    </r>
    <r>
      <rPr>
        <vertAlign val="superscript"/>
        <sz val="9"/>
        <rFont val="Arial"/>
        <family val="2"/>
      </rPr>
      <t>5</t>
    </r>
  </si>
  <si>
    <r>
      <t>Sportpálya</t>
    </r>
    <r>
      <rPr>
        <vertAlign val="superscript"/>
        <sz val="9"/>
        <rFont val="Arial"/>
        <family val="2"/>
      </rPr>
      <t>5</t>
    </r>
  </si>
  <si>
    <r>
      <t>Petőfi Sándor Művelődési Központ épületét használó civil szervezetek</t>
    </r>
    <r>
      <rPr>
        <vertAlign val="superscript"/>
        <sz val="9"/>
        <rFont val="Arial"/>
        <family val="2"/>
      </rPr>
      <t>6</t>
    </r>
  </si>
  <si>
    <r>
      <t xml:space="preserve">múzeumi belépődíjak esetében nyújtott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:</t>
    </r>
  </si>
  <si>
    <r>
      <t xml:space="preserve">alapfokú művészetoktatási intézményben a tandíjmentesség </t>
    </r>
    <r>
      <rPr>
        <vertAlign val="superscript"/>
        <sz val="9"/>
        <rFont val="Arial"/>
        <family val="2"/>
      </rPr>
      <t>8</t>
    </r>
  </si>
  <si>
    <r>
      <t xml:space="preserve">2 </t>
    </r>
    <r>
      <rPr>
        <sz val="8"/>
        <rFont val="Times New Roman"/>
        <family val="1"/>
      </rPr>
      <t xml:space="preserve">A méltányosságból történő adótörlés az adózás rendjéről szóló 2003. évi XCII. törvényben meghatározott feltételek megléte esetében kerül alkalmazásra. </t>
    </r>
  </si>
  <si>
    <r>
      <t xml:space="preserve">3 </t>
    </r>
    <r>
      <rPr>
        <sz val="8"/>
        <rFont val="Times New Roman"/>
        <family val="1"/>
      </rPr>
      <t xml:space="preserve">Magánszemélyek kommunális adójáról szóló 9/1991. (X.3.) önkormányzati rendeletben foglalt adókedvezmények: kommunális adó esetén 62 év felettiek kedvezménye.                                     </t>
    </r>
  </si>
  <si>
    <r>
      <t xml:space="preserve">4 </t>
    </r>
    <r>
      <rPr>
        <sz val="8"/>
        <rFont val="Times New Roman"/>
        <family val="1"/>
      </rPr>
      <t>Magánszemélyek kommunális adójáról szóló 9/1991. (X.3.) önkormányzati rendelet alapján mentes a kommunális adó alól a magánszemély tulajdonában lévő nem lakás céljára szolgáló építmény a gépjárműtároló kivételével.</t>
    </r>
  </si>
  <si>
    <r>
      <t xml:space="preserve">6 </t>
    </r>
    <r>
      <rPr>
        <sz val="8"/>
        <rFont val="Times New Roman"/>
        <family val="1"/>
      </rPr>
      <t>Helyi közművelődési feladatok meghatározásáról szóló többször módosított 4/1999. (IV.1.) önk.rendelet 6.§-a.</t>
    </r>
  </si>
  <si>
    <r>
      <t xml:space="preserve">7  </t>
    </r>
    <r>
      <rPr>
        <sz val="8"/>
        <rFont val="Times New Roman"/>
        <family val="1"/>
      </rPr>
      <t>Kedvezmény a muzeális intézmények látogatóit megillető kedvezményekről szóló 194/2000. (XI.24.) Korm.rendelet alapján.</t>
    </r>
  </si>
  <si>
    <r>
      <t xml:space="preserve">8 </t>
    </r>
    <r>
      <rPr>
        <sz val="8"/>
        <rFont val="Times New Roman"/>
        <family val="1"/>
      </rPr>
      <t>Mentesség a közoktatásról szóló 1993. évi LXXIX. törvény 114.§-a alapján a hátrányos helyzetű tanulók részére.</t>
    </r>
  </si>
  <si>
    <t>Eredeti előirányzat</t>
  </si>
  <si>
    <t>Módosított előirányzat</t>
  </si>
  <si>
    <t>Általános tartalékok</t>
  </si>
  <si>
    <t>1. Rendkívüli javítások, felújítások, tárgyi eszközök halaszthatatlanpótlásának fedezetére</t>
  </si>
  <si>
    <t>2. Indokolt létszámcsökkentés végrehajtása érdekében felmerülő végkielégítés, egyéb nem tervezett személyi juttatás fedezetére, munkaügyi vitákhoz kapcsolódó fizetési kötelezettségekhez</t>
  </si>
  <si>
    <t>3. Más forrásból nem finanszírozható városi feladatok ellátásának fedezetére</t>
  </si>
  <si>
    <t>4. Önkormányzati rendezvények, külkapcsolatok, városi kiadványok költségeinek fedezetére</t>
  </si>
  <si>
    <t>6. Mezőgazdasági, környezet-védelmi és idegenforgalmi feladatok ellátásának támogatása</t>
  </si>
  <si>
    <t>7. Az Önkormányzat, az Önkormányzat költségvetési szervei és a KTKT által fenntartott, de az Önkormányzat által is finanszírozott intézmények dologi kiadásai indokolt kiegészítéséhez szükséges tartalék</t>
  </si>
  <si>
    <t>BKM- Közgyűlés Hivatala</t>
  </si>
  <si>
    <t>Önkormányzati lakások, egyéb helyiségek értékesítése</t>
  </si>
  <si>
    <t>TARTALÉKOK TERHÉRE BIZTOSÍTOTT TÁMOGATÁSOK MEGNEVEZÉSE</t>
  </si>
  <si>
    <t>ÁLTALÁ-NOS TARTALÉK</t>
  </si>
  <si>
    <t>CÉLTARTALÉKOK</t>
  </si>
  <si>
    <t>TARTALÉKOK VÁLTOZÁSA ÖSSZESEN</t>
  </si>
  <si>
    <t>(1.)</t>
  </si>
  <si>
    <t>(2.)</t>
  </si>
  <si>
    <t>(3.)</t>
  </si>
  <si>
    <t>(4.)</t>
  </si>
  <si>
    <t>(5.)</t>
  </si>
  <si>
    <t>(6.)</t>
  </si>
  <si>
    <t>(7.)</t>
  </si>
  <si>
    <t>EREDETI ELŐIRÁNYZAT</t>
  </si>
  <si>
    <t xml:space="preserve">Támogatásértékű felhalmozási </t>
  </si>
  <si>
    <t>bevétel</t>
  </si>
  <si>
    <t>Államháztartáson kívülről átvett</t>
  </si>
  <si>
    <t>működési pénzeszközök bevétele</t>
  </si>
  <si>
    <t>felhalmozási pénzeszközök bevételei</t>
  </si>
  <si>
    <t>Kártérítés</t>
  </si>
  <si>
    <t>Közhatalmi bevételek</t>
  </si>
  <si>
    <t>Ágazati hatósági jögkörhöz nem köthető bevételek</t>
  </si>
  <si>
    <t>Temetkezéshez kapcsolódó bevételek</t>
  </si>
  <si>
    <t>Anyakönyvi eljárás díja</t>
  </si>
  <si>
    <t>Kőrösvíz Kft. - Fürdő bérleti díj</t>
  </si>
  <si>
    <t>Helyi adókhoz kapcsolódó pótlék, bírság, önkormányzatot megillető bírságok, egyéb sajátos bevételek</t>
  </si>
  <si>
    <t>Önkormányzati értékesített bérlakások fizetési részletei</t>
  </si>
  <si>
    <t>Tárgyi eszközök, immateriális javak értékesítése</t>
  </si>
  <si>
    <t>Aktív korúak ellátása (Bérpótló juttatás)</t>
  </si>
  <si>
    <t>Közfoglalkoztatás</t>
  </si>
  <si>
    <t>Kisebbségi önkormányzati választás</t>
  </si>
  <si>
    <t>MÁK ellenőrzése miatti támogatás kiutalása</t>
  </si>
  <si>
    <t>Rövid időtartamú közfoglalkoztatás eszközbeszerzésének támogatása</t>
  </si>
  <si>
    <t>Hosszabb időtartamú közfoglalkoztatás eszközbeszerzésének támogatása</t>
  </si>
  <si>
    <t>2011. évi népszámlálás</t>
  </si>
  <si>
    <t>2010. év rendezése</t>
  </si>
  <si>
    <t>2011. évi bérkompenzáció</t>
  </si>
  <si>
    <t>Településőr program támogatása</t>
  </si>
  <si>
    <t>BKKM-i Közgyűlés Hivatala - rétesfesztivál támogatása</t>
  </si>
  <si>
    <t>Német Kisebbségi Önkormányzat BKKM-i Szövetsége</t>
  </si>
  <si>
    <t>Kiskőrösi Bölcsőde fejlesztése - DAOP-4.1.3/C-2008</t>
  </si>
  <si>
    <t>Járóbeteg-szakellátó korszerűsítése - DAOP-4.1.1/B-09</t>
  </si>
  <si>
    <t>0</t>
  </si>
  <si>
    <t>Befejezett viziközmű lakossági befizetések</t>
  </si>
  <si>
    <t>Szennyvízhátralék - lakossági befizetések</t>
  </si>
  <si>
    <t>Útépítéshez lakossági befizetések</t>
  </si>
  <si>
    <t>KEOP-1.2.0/09-11. szennvízelvezetés végleges megoldása - Társulási befizetés</t>
  </si>
  <si>
    <t>5  7</t>
  </si>
  <si>
    <t>Aktív korúak ellátása (foglalkoztatást helyettesítő támogatás)</t>
  </si>
  <si>
    <t>Az önhibájukon kívül hátrányos helyzetben lévő önkormányzatok támogatása</t>
  </si>
  <si>
    <t>Működési támogatás</t>
  </si>
  <si>
    <t>Működési támogatás összesen</t>
  </si>
  <si>
    <t>Állami támogatások összesen</t>
  </si>
  <si>
    <t>Pályázaton nyert támogatások</t>
  </si>
  <si>
    <t>Kerékpárút-hálózat fejlesztése - KÖZOP-2008-3.2</t>
  </si>
  <si>
    <t>Kiskőrösi Szlovákok Szervezete</t>
  </si>
  <si>
    <t>Összesen ( II./1-11.)</t>
  </si>
  <si>
    <t>XI.</t>
  </si>
  <si>
    <t>Költségvetés hiány - külső finanszírozás</t>
  </si>
  <si>
    <t xml:space="preserve">Rövidlejáratú hitel </t>
  </si>
  <si>
    <t>2010. év működési hiány</t>
  </si>
  <si>
    <t>Költségvetés hiány - külső finanszírozás - összesen</t>
  </si>
  <si>
    <t>Költségvetési hiány - belső finanszírozás</t>
  </si>
  <si>
    <t>Előző évi pénzmaradvány összege</t>
  </si>
  <si>
    <t>Előző évben képzett tartalék összege</t>
  </si>
  <si>
    <t>Költségvetési hiány - belső finanszírozás összesen</t>
  </si>
  <si>
    <t>Finanszírozási célú bevételek B / XI.+XII.</t>
  </si>
  <si>
    <t>Központosított bevételek finanszírozási célú bevételek nélkül B / I.+….+X.</t>
  </si>
  <si>
    <t>Központosított bevételek összesen B / I.+….+ XII.</t>
  </si>
  <si>
    <t>ÖNKORMÁNYZATI BEVÉTELEK ÖSSZESEN A + B</t>
  </si>
  <si>
    <t>1. Költségvetési hiány - külső finanszírozás - rövid lejáratú hitel</t>
  </si>
  <si>
    <t>2. 2010. év működési hiánya</t>
  </si>
  <si>
    <t>Költségvetési hiány - belső finanszírozás - előző évi pénzmaradvány értéke</t>
  </si>
  <si>
    <t>Költségvetési hiány - belső finanszírozás - előző években képzett tartalék maradványának értéke</t>
  </si>
  <si>
    <t>Bevételek összesen I. + II.</t>
  </si>
  <si>
    <t>2011. évi eredeti előirányzat</t>
  </si>
  <si>
    <t>2011. évi módosított előirányzat</t>
  </si>
  <si>
    <t>Iparűzési adó (őstermelői kedvezmény)</t>
  </si>
  <si>
    <t>Építéshatósági feladatok</t>
  </si>
  <si>
    <t>Helyi menetrendszerinti buszjárat üzemeltetése</t>
  </si>
  <si>
    <t>Gyermekkarácsony, Idősek Napja</t>
  </si>
  <si>
    <t>Társadalmi bűnmegelőzési pályázat</t>
  </si>
  <si>
    <t>Önkéntes Tűzoltó Egyesület dologi kiadása</t>
  </si>
  <si>
    <t>KTKT bentlakásos otthon támogatása</t>
  </si>
  <si>
    <t>Bérpótló támogatás</t>
  </si>
  <si>
    <t>Baptista egyház részére normatíva továbbutalása</t>
  </si>
  <si>
    <t>Média, marketing</t>
  </si>
  <si>
    <t>Focisuli</t>
  </si>
  <si>
    <t>Borversenyek</t>
  </si>
  <si>
    <t>Agrárexpo</t>
  </si>
  <si>
    <t>Kiskőrösi Szlovákok Egyesülete támogatása</t>
  </si>
  <si>
    <t>Rendkívüli javítások, karbantartások elvégzése, halaszthatatlan kisértékű tárgyi eszközök pótlásának fedezetére</t>
  </si>
  <si>
    <t>Építéshatósági feladatok kiadása</t>
  </si>
  <si>
    <t>Humán Szolgáltató Központ megszűntetése miatti kifizetések</t>
  </si>
  <si>
    <t>Szennyvíz-kezelés</t>
  </si>
  <si>
    <t>Helyi menetrend szerinti buszjárat szolgáltatás pályázat</t>
  </si>
  <si>
    <t xml:space="preserve">Választások, szavazások  </t>
  </si>
  <si>
    <t>Helyi népszavazás</t>
  </si>
  <si>
    <t xml:space="preserve">    Önkormányzati kötvénnyel kapcsolatos kiadásai</t>
  </si>
  <si>
    <t>LEADER - Térségi rendezvények külterületi feltételeinek biztosítása - önerő</t>
  </si>
  <si>
    <t>Jégelhárító rendszer létesítése</t>
  </si>
  <si>
    <t>Köz- és díszvilágítás</t>
  </si>
  <si>
    <t>Környezetvédelmi Alap felhasználása</t>
  </si>
  <si>
    <t>Környezetvédelmi Alap felhasználása - környezetvédelmi program felülvizsgálata</t>
  </si>
  <si>
    <t>Társadalmi bűnmegelőzási pályázat kiadása</t>
  </si>
  <si>
    <t xml:space="preserve">     Térfigyelő kamera üzemeltetése</t>
  </si>
  <si>
    <t>Terményvédelem, bűnmegelőzés</t>
  </si>
  <si>
    <t>Helyi közrendvédelmi és közbiztonsági feladatok támogatása</t>
  </si>
  <si>
    <t>Kiskőrösi Többcélú Kistérségi Társulás oktatási és nevelési feladatainak támogatása</t>
  </si>
  <si>
    <t>Pályázati támogatások megelőlegezése, önerő</t>
  </si>
  <si>
    <t>BURSA - támogatás önerő</t>
  </si>
  <si>
    <t xml:space="preserve">     PPP tornaterem szolgáltatási díja</t>
  </si>
  <si>
    <t xml:space="preserve">     PPP tanuszoda szolgáltatási díja</t>
  </si>
  <si>
    <t>Kiskőrös, Soltvadkert, Kecel és Izsák Városok könyvtári szolgáltatásainak összehangolt infrastrukturális fejlesztése - TIOP 1.2.3-08/01</t>
  </si>
  <si>
    <t>KTKT-DAOP-4.2.1/2f-2009-0008. - Petőfi Sándor Általános Iskola fejlesztése</t>
  </si>
  <si>
    <t>Bács-Szakma Zrt. - 2011. évi szolgáltatási díj</t>
  </si>
  <si>
    <t>Kiskőrösi Többcélú Kistérségi Társulás - TIOP - 1.1.1/07/1-2008-0482</t>
  </si>
  <si>
    <t>Bérpótló juttatás</t>
  </si>
  <si>
    <t>Szociális lakástámogatások kezelési költségei</t>
  </si>
  <si>
    <t>Magyarországi Baptista Egyház részére családsegítés normatíva továbbutalása</t>
  </si>
  <si>
    <t xml:space="preserve">Közfoglalkoztatás </t>
  </si>
  <si>
    <t xml:space="preserve">Közfoglalkoztatás-szervező </t>
  </si>
  <si>
    <t>Kiskőrösi Református Egyházközösség támogatása</t>
  </si>
  <si>
    <t>Média és marketing</t>
  </si>
  <si>
    <t>Kiskőrösi Adventi esték kiadásai</t>
  </si>
  <si>
    <t>Agrárexpo-támogatása</t>
  </si>
  <si>
    <t>Kiskőrösi Szlovákok Szervezete - Országos Rétes Fesztivál</t>
  </si>
  <si>
    <t>Evangélikus Egyházközség Liszt Ferenc emlékkoncert támogatása</t>
  </si>
  <si>
    <t xml:space="preserve">     Kiskőrösi Labdarugó klub támogatása</t>
  </si>
  <si>
    <t xml:space="preserve">     Judo sportcélok támogatása</t>
  </si>
  <si>
    <t>KTKT - DARFT/CÉDE/2009. gyepmesteri telep</t>
  </si>
  <si>
    <t>KTKT - Petőfi Sándor Általános Iskola - szivattyú beszerzése</t>
  </si>
  <si>
    <t>KTKT – DAOP-4.2.1/2F-2f-2009-0008.  – Petőfi Sándor Általános Iskola fejlesztése</t>
  </si>
  <si>
    <t>Petőfi Sándor Művelődési Központ felújítása Kiskőrösön - DAOP - 2009-4.1.3/C - előleg visszafizetése</t>
  </si>
  <si>
    <t>978</t>
  </si>
  <si>
    <t>KTKT - Kerékpárút-hálózat fejlesztés - KÖZOP-3.2.0/c-08-2010-0008 - utófinanszírozás miatti előleg</t>
  </si>
  <si>
    <t>Hivatásos Önkormányzati Tűzoltóság - számítógépfelújítás</t>
  </si>
  <si>
    <t>Petőfi Szülőház és Emlékmúzeum felújítás</t>
  </si>
  <si>
    <t>Belterületi utak feljesztése - DAOP-2009-3.1.1/B</t>
  </si>
  <si>
    <t>Hivatásos Önkormányzati és az Önkéntes Tűzoltóságok tűzoltó laktanya felújítása - önerő</t>
  </si>
  <si>
    <t>Szennyvíz csatorna fejlesztése</t>
  </si>
  <si>
    <t>Belterületi kerékpárutak fejlesztése</t>
  </si>
  <si>
    <t>Polgármesteri Hivatal földszinti mosdó festése, mázolása</t>
  </si>
  <si>
    <t>Belterületi csapadékcsatorna-hálózat  fejlesztése</t>
  </si>
  <si>
    <t>Városközpont rehabilitációs projekt - DAOP-5.1.2/A</t>
  </si>
  <si>
    <t>Petőfi Sándor Városi Könyvtár - beruházás</t>
  </si>
  <si>
    <t>Hivatásos Önkormányzati Tűzoltóság - beruházás</t>
  </si>
  <si>
    <t>Városi csapadékcsatorna fennmaradási engedély V. ütem</t>
  </si>
  <si>
    <t>Képviselő-testület tagjainak laptop vásárlása</t>
  </si>
  <si>
    <t>Kötvény felhasználása fejlesztési feladatokhoz</t>
  </si>
  <si>
    <t>Öregszőlői tanyák elbontása</t>
  </si>
  <si>
    <t>Polgármesteri Hivatal udvari parkolók kialakítása</t>
  </si>
  <si>
    <t>Bajcsy-Árpád csomópont körforgalomépítés</t>
  </si>
  <si>
    <t>Városi Sporttelep nyilvános WC építése - önerő</t>
  </si>
  <si>
    <t>Kerékpárút hálózat fejlesztése - DAOP-3.1.2/A-11 - önerő</t>
  </si>
  <si>
    <t>Budai N. A. járdaépítés - TEKI</t>
  </si>
  <si>
    <t>Térfigyelő kamerarendszer ÁFA befizetés</t>
  </si>
  <si>
    <t>Csapadékvíz hálózat fejlesztése - DAOP-5.2.1/A-11. - önerő</t>
  </si>
  <si>
    <t>A 0560/46. és a 0560/47. hrsz-ú ingatlanokon földút kialakítása</t>
  </si>
  <si>
    <t>Polgármesteri hivatalba eszközök beszerzése</t>
  </si>
  <si>
    <t>Városközpont rehabilitációs projekt - DAOP-5.1.2/A - önerő</t>
  </si>
  <si>
    <t>Szennyvízcsatorna-hálózat VII-VIII. ütemének kiépítése KEOP-7.1.2.0/09-11</t>
  </si>
  <si>
    <t>Pályázatokhoz önerő, pályázatok előkészítő szakaszainak kiadásai</t>
  </si>
  <si>
    <t>Kossuth utca útrekonstrukció -Önkomrányzati tulajdonú belterületi utak fejlesztése - DAOP-3.1.1/B-11.</t>
  </si>
  <si>
    <t>Kerékpárúthálózat fejlesztése - KÖZOP-2008-3.2.</t>
  </si>
  <si>
    <t>Szennyvízcsatorna-hálózat VII-VIII. ütemének kiépítése KEOP-7.1.2.0/09-11- előkészítő szakasz</t>
  </si>
  <si>
    <t>Luther tér 1. sz. alatti ingatlan megvásárlása</t>
  </si>
  <si>
    <t>201</t>
  </si>
  <si>
    <t>KIADÁSOK MINDÖSSZESEN</t>
  </si>
  <si>
    <t>Önkormányzati adatok   B</t>
  </si>
  <si>
    <t>Összesen (15. számú melléklet G sor)</t>
  </si>
  <si>
    <t xml:space="preserve">33. űrlap: 2011. évi központosított előirányzatok és egyéb kötött felhasználású támogatások </t>
  </si>
  <si>
    <t>I. 31. űrlap: A normatív hozzájárulások</t>
  </si>
  <si>
    <t>I. 31. űrlap összesen:</t>
  </si>
  <si>
    <t>V. 51. űrlap: Normatív kötött felhasználású támogatás</t>
  </si>
  <si>
    <t>V. 51. űrlap összesen:</t>
  </si>
  <si>
    <t>VI. 46. űrlap: 2010. évi kötelezettséggel terhelt, de fel nem használt támogatás (Helyi önkormányzati hivatásos tűzoltóság támogatás)</t>
  </si>
  <si>
    <t>VII. 50. űrlap összesen:</t>
  </si>
  <si>
    <t>Követelések a tárgyévet követő</t>
  </si>
  <si>
    <t>ÖNKORMÁNYZATI KIADÁSOK ÖSSZESEN I-V.</t>
  </si>
  <si>
    <t>ÖNKORMÁNYZATI KIADÁSOK FINANSZÍROZÁSI CÉLÚ KIADÁSOK NÉLKÜL ÖSSZESEN I-IV.</t>
  </si>
  <si>
    <t>MÓDOSÍTOTT ELŐIRÁNYZAT</t>
  </si>
  <si>
    <t>Egyéb működési célú kiadások</t>
  </si>
  <si>
    <t>juttatások</t>
  </si>
  <si>
    <t>juttatásai</t>
  </si>
  <si>
    <t>Lakóingatlan, nem lakóingatlan bérbeadása, üzemeltetése, építményüzemeltetés</t>
  </si>
  <si>
    <t>Intézményi kötött pénzmaradvány (1-7. sorok) kiadási megtakarításból</t>
  </si>
  <si>
    <t>Szabad pénzmaradvány kiadási megtakarításból</t>
  </si>
  <si>
    <t>Felhalmozás</t>
  </si>
  <si>
    <t xml:space="preserve">kiadások </t>
  </si>
  <si>
    <t>II.    Központosított szabad pénzmaradvány</t>
  </si>
  <si>
    <t>III.   Központosított pénzmaradvány összesen: (I.+II.)</t>
  </si>
  <si>
    <t>Müködés</t>
  </si>
  <si>
    <t>Kiadások összesen</t>
  </si>
  <si>
    <t xml:space="preserve">Bevételek összesen </t>
  </si>
  <si>
    <t xml:space="preserve">Kiadások összesen </t>
  </si>
  <si>
    <t>28</t>
  </si>
  <si>
    <t>29</t>
  </si>
  <si>
    <t>OKM - Bursa visszautalása</t>
  </si>
  <si>
    <t>Közigazgatási végrehajtási kiadások megelőlegezése</t>
  </si>
  <si>
    <t>Építményüzemeltetés - intézményi villamosenergia</t>
  </si>
  <si>
    <t>Ár- és belvízvédelemmel összefüggő tevékenységek (vis maior-önerő)</t>
  </si>
  <si>
    <t xml:space="preserve">Finanszírozási kiadások </t>
  </si>
  <si>
    <t xml:space="preserve">Művelődési Ház, Könyvtár hitelfelvétel </t>
  </si>
  <si>
    <t>Likvid hitelek törlésztése</t>
  </si>
  <si>
    <t>27.</t>
  </si>
  <si>
    <t>28.</t>
  </si>
  <si>
    <t>29.</t>
  </si>
  <si>
    <t>Jókai utca 34. sz. épület bontása</t>
  </si>
  <si>
    <t>Kerékpárút-hálózat fejlesztése - KÖZOP-2008-3.2.</t>
  </si>
  <si>
    <t>Finanszírozási kiadások</t>
  </si>
  <si>
    <t>30</t>
  </si>
  <si>
    <t>31</t>
  </si>
  <si>
    <t>XII.</t>
  </si>
  <si>
    <t>Pályázaton nyert támogatások összesen</t>
  </si>
  <si>
    <t xml:space="preserve">Pályázaton nyert támogatások </t>
  </si>
  <si>
    <t>30.</t>
  </si>
  <si>
    <t>31.</t>
  </si>
  <si>
    <t>Megelőlegezett tartásdíj visszafizetése</t>
  </si>
  <si>
    <t>Vagyonvédelmi Alapítvány - közfoglalkoztatás támogatása</t>
  </si>
  <si>
    <t>Kötvény kamatbevétele és árfolyamnyeresége</t>
  </si>
  <si>
    <t>Helyi adók és gépjárműadó</t>
  </si>
  <si>
    <t>32.</t>
  </si>
  <si>
    <t>33.</t>
  </si>
  <si>
    <t>Uzsoki utca útépítése</t>
  </si>
  <si>
    <t>KÖTELEZETTSÉGEK</t>
  </si>
  <si>
    <t>CIB Bank Zrt. - számlavezetési díj</t>
  </si>
  <si>
    <t>Kötvénykibocsátás adósságszolgálata</t>
  </si>
  <si>
    <t>ÖSSZESEN:</t>
  </si>
  <si>
    <t>KÖVETELÉSEK</t>
  </si>
  <si>
    <t>Kötvénykibocsátás kamatbevétele</t>
  </si>
  <si>
    <t>Szöveges indoklás</t>
  </si>
  <si>
    <t xml:space="preserve">2006-ban kötött 17.601 eFt összegű fejlesztési célú hitel  visszafizetési határideje 2026. és törlesztése 2008-ban kezdődött. (tőketörlesztés)                                                                        </t>
  </si>
  <si>
    <t>HITELEK</t>
  </si>
  <si>
    <t xml:space="preserve">Cél és eszközök megnevezése </t>
  </si>
  <si>
    <t>Felvétel éve</t>
  </si>
  <si>
    <t>Lejárat éve</t>
  </si>
  <si>
    <t>Teljes futamidő</t>
  </si>
  <si>
    <t>Tárgyévi nyitó</t>
  </si>
  <si>
    <t>Tárgyévi törlesztés</t>
  </si>
  <si>
    <t>Tárgyévi záró</t>
  </si>
  <si>
    <t>Tárgyévet követő évben esedékes törlesztés</t>
  </si>
  <si>
    <t>Likviditási hitelállomány</t>
  </si>
  <si>
    <t>CIB Bank</t>
  </si>
  <si>
    <t>KÖLCSÖNÖK</t>
  </si>
  <si>
    <t>Bérlakások vásárlói</t>
  </si>
  <si>
    <t>Bérlakás vásárlás</t>
  </si>
  <si>
    <t>folyamatos</t>
  </si>
  <si>
    <t>Munkáltató kölcsön</t>
  </si>
  <si>
    <t>Dolgozók</t>
  </si>
  <si>
    <t xml:space="preserve"> - ebből: intézményi munkáltatói kölcsön</t>
  </si>
  <si>
    <t xml:space="preserve"> Volt állami tulajdonban lévő lakások vásárlói</t>
  </si>
  <si>
    <t xml:space="preserve"> Szoc.lakásvásárlás, belvízkárosult lakásokra tám.igénybe vevők</t>
  </si>
  <si>
    <t>Lakásvásárlás, lakáskorszerűsítés</t>
  </si>
  <si>
    <t>Kisebbségi Önkormányzatok támogatásai</t>
  </si>
  <si>
    <t xml:space="preserve">Központosított állami támogatások   </t>
  </si>
  <si>
    <r>
      <t>*</t>
    </r>
    <r>
      <rPr>
        <sz val="8"/>
        <rFont val="Times New Roman CE"/>
        <family val="0"/>
      </rPr>
      <t>3.018 ezer EURO 268 HUF/EUR árfolyamon számítva</t>
    </r>
  </si>
  <si>
    <t>Saját bevételek</t>
  </si>
  <si>
    <t>Kiadások</t>
  </si>
  <si>
    <t>Képződött pénz-marad-vány összesen</t>
  </si>
  <si>
    <t>Munkaadót</t>
  </si>
  <si>
    <t>Támo-gatás- értékű kiadások</t>
  </si>
  <si>
    <t>Egyéb felhalm.</t>
  </si>
  <si>
    <t>Bevételi többlet / hiány</t>
  </si>
  <si>
    <t>Kiadási meg-takarítás</t>
  </si>
  <si>
    <t>Tarta-lékok</t>
  </si>
  <si>
    <t>támogatása</t>
  </si>
  <si>
    <t xml:space="preserve">Petőfi Sándor Városi Könyvtár </t>
  </si>
  <si>
    <t>Hivatásos Önkormányzati Tűzoltóság</t>
  </si>
  <si>
    <t>Előző évi költségvetési beszámoló záró adatai</t>
  </si>
  <si>
    <t>Auditálási eltérések (±)*</t>
  </si>
  <si>
    <t>Előző évi auditált egyszerűsített beszámoló záró adatai</t>
  </si>
  <si>
    <t>Tárgyévi költségvetési beszámoló záró adatai</t>
  </si>
  <si>
    <t>Auditálási eltérések (±)**</t>
  </si>
  <si>
    <t>Tárgyévi auditált egyszerűsített beszámoló záró adatai</t>
  </si>
  <si>
    <t>E S Z K Ö Z Ö K</t>
  </si>
  <si>
    <t>A) BEFEKTETT ESZKÖZÖK</t>
  </si>
  <si>
    <t xml:space="preserve"> I.   Immateriális javak</t>
  </si>
  <si>
    <t xml:space="preserve"> II.  Tárgyi eszközök</t>
  </si>
  <si>
    <t xml:space="preserve"> III. Befektetett pénzügyi eszközök</t>
  </si>
  <si>
    <t>B)  FORGÓESZKÖZÖK</t>
  </si>
  <si>
    <t xml:space="preserve"> I.   Készletek</t>
  </si>
  <si>
    <t xml:space="preserve"> II.  Követelések</t>
  </si>
  <si>
    <t xml:space="preserve"> III. Értékpapírok</t>
  </si>
  <si>
    <t xml:space="preserve"> IV. Pénzeszközök</t>
  </si>
  <si>
    <t xml:space="preserve"> V.  Egyéb aktív pénzügyi elszámolások</t>
  </si>
  <si>
    <t>ESZKÖZÖK ÖSSZESEN</t>
  </si>
  <si>
    <t>Előző év auditált egyszerűsített beszámoló záró adatai</t>
  </si>
  <si>
    <t>Tárgyév auditált egyszerűsített beszámoló záró adatai</t>
  </si>
  <si>
    <t>F O R R Á S O K</t>
  </si>
  <si>
    <t>D)  SAJÁT  TŐKE</t>
  </si>
  <si>
    <t xml:space="preserve"> 2. Tőkeváltozások</t>
  </si>
  <si>
    <t>E)  TARTALÉKOK</t>
  </si>
  <si>
    <t xml:space="preserve">  I.  Költségvetési tartalékok</t>
  </si>
  <si>
    <t xml:space="preserve"> II. Vállalkozási tartalékok</t>
  </si>
  <si>
    <t>F) KÖTELEZETTSÉGEK</t>
  </si>
  <si>
    <t xml:space="preserve"> I.  Hosszú lejáratú kötelezettségek</t>
  </si>
  <si>
    <t xml:space="preserve"> II.  Rövid lejáratú kötelezettségek</t>
  </si>
  <si>
    <t xml:space="preserve"> III. Egyéb passzív pénzügyi elszámolások</t>
  </si>
  <si>
    <t>FORRÁSOK ÖSSZESEN</t>
  </si>
  <si>
    <t>*   Az előző évet érintő és a könyvekben tárgyévben rögzített módosítások</t>
  </si>
  <si>
    <t>**  A tárgyévet érintő és a könyvekben a tárgyévet követő évben rögzített módosítások</t>
  </si>
  <si>
    <r>
      <t xml:space="preserve"> 3. </t>
    </r>
    <r>
      <rPr>
        <sz val="8"/>
        <rFont val="Times New Roman"/>
        <family val="1"/>
      </rPr>
      <t>*</t>
    </r>
    <r>
      <rPr>
        <sz val="8"/>
        <rFont val="Times New Roman CE"/>
        <family val="1"/>
      </rPr>
      <t>Értékelési tartalék</t>
    </r>
  </si>
  <si>
    <t>Megnevezés</t>
  </si>
  <si>
    <t xml:space="preserve">Módosított </t>
  </si>
  <si>
    <t>előirányzat</t>
  </si>
  <si>
    <t>01.</t>
  </si>
  <si>
    <t xml:space="preserve">     Személyi juttatások</t>
  </si>
  <si>
    <t>02.</t>
  </si>
  <si>
    <t>03.</t>
  </si>
  <si>
    <t xml:space="preserve">     Dologi és egyéb folyó kiadások</t>
  </si>
  <si>
    <t>04.</t>
  </si>
  <si>
    <t xml:space="preserve">     Működési célú támogatásértékű kiadások, egyéb támogatások</t>
  </si>
  <si>
    <t>05.</t>
  </si>
  <si>
    <t xml:space="preserve">     Államháztartáson kívülre végleges működési pénzeszközátadások</t>
  </si>
  <si>
    <t>06.</t>
  </si>
  <si>
    <t xml:space="preserve">     Ellátottak pénzbeli juttatásai</t>
  </si>
  <si>
    <t>07.</t>
  </si>
  <si>
    <t xml:space="preserve">     Felújítás</t>
  </si>
  <si>
    <t>08.</t>
  </si>
  <si>
    <t xml:space="preserve">     Felhalmozási kiadások</t>
  </si>
  <si>
    <t>09.</t>
  </si>
  <si>
    <t xml:space="preserve">     Felhalmozási célú támogatásértékű kiadások, egyéb támogatások</t>
  </si>
  <si>
    <t xml:space="preserve">    Államháztartáson kívülre végleges felhalmozási pénzeszközátadások</t>
  </si>
  <si>
    <t xml:space="preserve">    Hosszú lejáratú kölcsönök nyújtása</t>
  </si>
  <si>
    <t xml:space="preserve">    Rövid lejáratú kölcsönök nyújtása</t>
  </si>
  <si>
    <t xml:space="preserve">    Tartós hitelviszonyt megtestesítő értékpapírok kiadásai</t>
  </si>
  <si>
    <t xml:space="preserve">    Forgatási célú hitelviszonyt megtestesítő értékpapírok kiadásai</t>
  </si>
  <si>
    <t xml:space="preserve">    Pénzforgalom nélküli kiadások</t>
  </si>
  <si>
    <t xml:space="preserve">    Kiegyenlítő, függő, átfutó kiadások</t>
  </si>
  <si>
    <t xml:space="preserve">    Intézményi működési bevételek</t>
  </si>
  <si>
    <t xml:space="preserve">    Önkormányzatok sajátos működési bevétele</t>
  </si>
  <si>
    <t xml:space="preserve">    Működési célú támogatásértékű bevételek, egyéb támogatások</t>
  </si>
  <si>
    <t xml:space="preserve">    Felhalmozási és tőke jellegű bevételek</t>
  </si>
  <si>
    <t xml:space="preserve">   28-ból: Önkormányzatok sajátos felhalmozási és tőkebevételei</t>
  </si>
  <si>
    <t xml:space="preserve">   Felhalmozási célú támogatásértékű bevételek, egyéb támogatások</t>
  </si>
  <si>
    <t xml:space="preserve">   Államháztartáson kívülről végleges felhalmozási pénzeszközátvételek</t>
  </si>
  <si>
    <t xml:space="preserve">   Támogatások, kiegészítések </t>
  </si>
  <si>
    <t xml:space="preserve">    32-ből: Önkormányzatok költségvetési támogatása   </t>
  </si>
  <si>
    <t>34.</t>
  </si>
  <si>
    <t xml:space="preserve">    Hosszú lejáratú kölcsönök visszatérülése</t>
  </si>
  <si>
    <t>35.</t>
  </si>
  <si>
    <t xml:space="preserve">    Rövid lejáratú kölcsönök visszatérülése</t>
  </si>
  <si>
    <t>36.</t>
  </si>
  <si>
    <t>37.</t>
  </si>
  <si>
    <t>38.</t>
  </si>
  <si>
    <t>39.</t>
  </si>
  <si>
    <t xml:space="preserve">    Tartós hitelviszonyt megtestesítő értékpapírok bevételei</t>
  </si>
  <si>
    <t>40.</t>
  </si>
  <si>
    <t xml:space="preserve">    Forgatási célú hitelviszonyt megtestesítő értékpapírok bevételei</t>
  </si>
  <si>
    <t>41.</t>
  </si>
  <si>
    <t>42.</t>
  </si>
  <si>
    <t>43.</t>
  </si>
  <si>
    <t>15-ből likvidhitelek kiadása</t>
  </si>
  <si>
    <r>
      <t xml:space="preserve">    Finanszírozási kiadások összesen </t>
    </r>
    <r>
      <rPr>
        <sz val="8"/>
        <rFont val="Times New Roman"/>
        <family val="1"/>
      </rPr>
      <t>(14+15+17+18)</t>
    </r>
  </si>
  <si>
    <r>
      <t xml:space="preserve">    Pénzforgalmi kiadások </t>
    </r>
    <r>
      <rPr>
        <sz val="8"/>
        <rFont val="Times New Roman"/>
        <family val="1"/>
      </rPr>
      <t>(13+19)</t>
    </r>
  </si>
  <si>
    <r>
      <t xml:space="preserve">    KIADÁSOK ÖSSZESEN </t>
    </r>
    <r>
      <rPr>
        <sz val="8"/>
        <rFont val="Times New Roman"/>
        <family val="1"/>
      </rPr>
      <t>(20+21+22)</t>
    </r>
  </si>
  <si>
    <t>38-ból likvid hitelek bevétele</t>
  </si>
  <si>
    <r>
      <t xml:space="preserve">    Finanszírozási bevételek összesen </t>
    </r>
    <r>
      <rPr>
        <sz val="8"/>
        <rFont val="Times New Roman"/>
        <family val="1"/>
      </rPr>
      <t>(37+38+40+41)</t>
    </r>
  </si>
  <si>
    <r>
      <t xml:space="preserve">    Pénzforgalmi bevételek </t>
    </r>
    <r>
      <rPr>
        <sz val="8"/>
        <rFont val="Times New Roman"/>
        <family val="1"/>
      </rPr>
      <t>(36+42)</t>
    </r>
  </si>
  <si>
    <r>
      <t xml:space="preserve">    BEVÉTELEK ÖSSZESEN </t>
    </r>
    <r>
      <rPr>
        <sz val="8"/>
        <rFont val="Times New Roman"/>
        <family val="1"/>
      </rPr>
      <t>(43+...+46)</t>
    </r>
  </si>
  <si>
    <t xml:space="preserve">Pénzforgalmi költségvetési bevételek és kiadások különbsége (36-13) [költségvetési hiány(-),költségvetési többlet(+)]        </t>
  </si>
  <si>
    <r>
      <t xml:space="preserve">    </t>
    </r>
    <r>
      <rPr>
        <sz val="8"/>
        <rFont val="Times New Roman"/>
        <family val="1"/>
      </rPr>
      <t>Hosszú lejáratú hitelek törlesztése</t>
    </r>
  </si>
  <si>
    <r>
      <t xml:space="preserve">    </t>
    </r>
    <r>
      <rPr>
        <sz val="8"/>
        <rFont val="Times New Roman"/>
        <family val="1"/>
      </rPr>
      <t>Rövid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lejáratú hitelek törlesztése</t>
    </r>
  </si>
  <si>
    <t xml:space="preserve">    Államháztartáson kívülről végleges működési pénzeszközátvételek</t>
  </si>
  <si>
    <t>51.</t>
  </si>
  <si>
    <r>
      <t xml:space="preserve">    Aktív és passzív műveletek egyenlege </t>
    </r>
    <r>
      <rPr>
        <sz val="8"/>
        <rFont val="Times New Roman"/>
        <family val="1"/>
      </rPr>
      <t>(45+46-22)</t>
    </r>
  </si>
  <si>
    <r>
      <t xml:space="preserve">    Finanszírozási műveletek eredménye </t>
    </r>
    <r>
      <rPr>
        <sz val="8"/>
        <rFont val="Times New Roman"/>
        <family val="1"/>
      </rPr>
      <t>(42-19)</t>
    </r>
  </si>
  <si>
    <t>Forgatási célú pénzügyi műveletek egyenlege</t>
  </si>
  <si>
    <t>elszámolások összevont</t>
  </si>
  <si>
    <t>záróegyenlege ( + - )</t>
  </si>
  <si>
    <t xml:space="preserve"> Vállalkozási tevékenység pénzforgalmi</t>
  </si>
  <si>
    <t xml:space="preserve">  vállalkozási maradványa  ( - )</t>
  </si>
  <si>
    <t>(1+2+-3-4-5)</t>
  </si>
  <si>
    <t>(6+-7+-8)</t>
  </si>
  <si>
    <t>Vállalkozási maradványból</t>
  </si>
  <si>
    <t>az alaptevékenység</t>
  </si>
  <si>
    <t>Költségvetési pénzmaradványt</t>
  </si>
  <si>
    <t>A 12. sorból az                             - egészségbiztosítási alapból folyósított pénzmaradvány</t>
  </si>
  <si>
    <t>- kötelezettséggel terhelt pénzmaradvány</t>
  </si>
  <si>
    <t xml:space="preserve"> - szabad pénzmaradvány</t>
  </si>
  <si>
    <t>Vállalkozási tevékenység  működési célú bevételei</t>
  </si>
  <si>
    <t xml:space="preserve">Igénybe vett tartalékokkal korrigált költségvetési bevételek és kiadások különbsége (48+44-21) [korrigált költségvetési hiány (-),korrigált költségvetési többlet(+)]  </t>
  </si>
  <si>
    <t>Vállalkozási tevékenység felhalmozási célú bevételei</t>
  </si>
  <si>
    <t>Vállalkozási maradványban figyelembe vehető finanszírozási bevételek</t>
  </si>
  <si>
    <t xml:space="preserve">E </t>
  </si>
  <si>
    <t>Vállalkozási tevékenység szakfeladaton elszámolt bevételei (1+2+-3)</t>
  </si>
  <si>
    <t>Vállalkozási tevékenység működési célú kiadásai</t>
  </si>
  <si>
    <t xml:space="preserve">Vállalkozási tevékenység felhalmozási célú kiadásai </t>
  </si>
  <si>
    <t>Vállalkozási maradványban figyelembe vehető finanszírozási kiadások</t>
  </si>
  <si>
    <t>Vállalkozási tevékenység szakfeladaton elszámolt kiadásai (4+5+-6)</t>
  </si>
  <si>
    <t>Vállalkozási tevékenység pénzforgalmi maradványa (A-B)</t>
  </si>
  <si>
    <t>Vállalkozási tevékenységet terhelő értékcsökkenési leírás</t>
  </si>
  <si>
    <t>Alaptevékenység ellátására felhasznált és felhasználni tervezett vállalkozási maradvány</t>
  </si>
  <si>
    <t>Pénzforgalmi maradványt jogszabály alapján módosító egyéb tétel</t>
  </si>
  <si>
    <t>Vállalkozási tevékenység módosított pénzforgalmi vállalkozási maradványa (C-7-8+9)</t>
  </si>
  <si>
    <t>Vállalkozási tevékenységet terhelő befizetési kötelezettség</t>
  </si>
  <si>
    <t>Vállalkozási tartalékba helyezendő összeg (C-8-9-E)</t>
  </si>
  <si>
    <t>I.     Központosított kötött pénzmaradvány ( 8.-39. sorok) és előző évben képzett tartalék maradványa</t>
  </si>
  <si>
    <t>Összes kötött pénzmaradvány és előző évben képzett tartalék maradványa                             A</t>
  </si>
  <si>
    <t>Összes szabad pénzmaradvány            B</t>
  </si>
  <si>
    <t>Összes felhalmozási bevételi kiesés  C</t>
  </si>
  <si>
    <t>Összes működési bevételi kiesés        D</t>
  </si>
  <si>
    <t>Működés</t>
  </si>
  <si>
    <t>Kiadási megtakarítás       F  (A+B)</t>
  </si>
  <si>
    <t>Bevételi kiesés       E   (C+D)</t>
  </si>
  <si>
    <t>ÖSSZESÍTÉS</t>
  </si>
  <si>
    <t>Maradvány (E+F)</t>
  </si>
  <si>
    <t>Kamatfelvételi kiadások</t>
  </si>
  <si>
    <t>Járóbeteg-szakellátó korszerűsítése - DAOP-4.1.1/B-09 (pénzmaradvány)</t>
  </si>
  <si>
    <t>Petőfi Sándor Művelődési Központ felújítása Kiskőrösön - DAOP - 2009-4.1.3/C (10.126 e pénzmaradvány, 2.820 e tartalék)</t>
  </si>
  <si>
    <t>pénz-marad-vány</t>
  </si>
  <si>
    <t>tarta-lék</t>
  </si>
  <si>
    <t>tarta-lék + pénz-marad-vány</t>
  </si>
  <si>
    <t xml:space="preserve">    Pénzforgalom nélküli bevételek</t>
  </si>
  <si>
    <t>44.</t>
  </si>
  <si>
    <t xml:space="preserve">    Továbbadási (lebonyolítási) célú bevételek</t>
  </si>
  <si>
    <t>45.</t>
  </si>
  <si>
    <t xml:space="preserve">    Kiegyenlítő, függő, átfutó bevételek</t>
  </si>
  <si>
    <t>46.</t>
  </si>
  <si>
    <t>47.</t>
  </si>
  <si>
    <t>48.</t>
  </si>
  <si>
    <t>49.</t>
  </si>
  <si>
    <t>50.</t>
  </si>
  <si>
    <r>
      <t xml:space="preserve">   Költségvetési pénzforgalmi kiadások összesen </t>
    </r>
    <r>
      <rPr>
        <sz val="8"/>
        <rFont val="Times New Roman"/>
        <family val="1"/>
      </rPr>
      <t>(01+…+12)</t>
    </r>
  </si>
  <si>
    <r>
      <t xml:space="preserve">    Költségvetési pénzforgalmi bevételek összesen </t>
    </r>
    <r>
      <rPr>
        <sz val="8"/>
        <rFont val="Times New Roman"/>
        <family val="1"/>
      </rPr>
      <t>(24+…28+30+31+32+34+35)</t>
    </r>
  </si>
  <si>
    <r>
      <t xml:space="preserve">    </t>
    </r>
    <r>
      <rPr>
        <sz val="8"/>
        <rFont val="Times New Roman"/>
        <family val="1"/>
      </rPr>
      <t>Hosszú lejáratú hitelek felvétele</t>
    </r>
  </si>
  <si>
    <r>
      <t xml:space="preserve">   </t>
    </r>
    <r>
      <rPr>
        <sz val="8"/>
        <rFont val="Times New Roman"/>
        <family val="1"/>
      </rPr>
      <t xml:space="preserve"> Rövid lejáratú hitelek felvétele</t>
    </r>
  </si>
  <si>
    <t>Sor-    szám</t>
  </si>
  <si>
    <t>Záró pénzkészlet</t>
  </si>
  <si>
    <t>Egyéb aktív és passzív pénzügyi</t>
  </si>
  <si>
    <t xml:space="preserve">      </t>
  </si>
  <si>
    <t>Előző év(ek)ben képzett</t>
  </si>
  <si>
    <t xml:space="preserve"> tartalékok maradványa  ( - )</t>
  </si>
  <si>
    <t>Tárgyévi helyesbített</t>
  </si>
  <si>
    <t xml:space="preserve">       </t>
  </si>
  <si>
    <t>pénzmaradvány</t>
  </si>
  <si>
    <t>Finanszírozásból származó</t>
  </si>
  <si>
    <t>korrekciók  ( + - )</t>
  </si>
  <si>
    <t>Pénzmaradványt terhelő</t>
  </si>
  <si>
    <t>elvonások  ( + - )</t>
  </si>
  <si>
    <t>Költségvetési pénzmaradvány</t>
  </si>
  <si>
    <t xml:space="preserve">     </t>
  </si>
  <si>
    <t xml:space="preserve"> ellátására felhasznált összeg</t>
  </si>
  <si>
    <t>külön jogszabály alapján</t>
  </si>
  <si>
    <t>módosító tétel  ( + - )</t>
  </si>
  <si>
    <t>Módosított pénzmaradvány</t>
  </si>
  <si>
    <t>*    Az előző évet érintő és a könyvekben tárgyévben rögzített módosítások</t>
  </si>
  <si>
    <t xml:space="preserve">Előző évi </t>
  </si>
  <si>
    <t>Auditálási</t>
  </si>
  <si>
    <t>Előző évi auditált</t>
  </si>
  <si>
    <t xml:space="preserve">Tárgy évi </t>
  </si>
  <si>
    <t>Tárgyévi auditált</t>
  </si>
  <si>
    <t>költségvetési</t>
  </si>
  <si>
    <t>eltérések</t>
  </si>
  <si>
    <t>egyszerűsitett</t>
  </si>
  <si>
    <t>költsévetési</t>
  </si>
  <si>
    <t>beszámoló záró</t>
  </si>
  <si>
    <t>( +/- )</t>
  </si>
  <si>
    <t>beszámoló</t>
  </si>
  <si>
    <t>(+/- )</t>
  </si>
  <si>
    <t>adatai</t>
  </si>
  <si>
    <t>záró adatai</t>
  </si>
  <si>
    <t>VAGYONKIMUTATÁS TAGOLÁSA A KÖNYVVITELI MÉRLEGBEN SZEREPLŐ ADATOK ALAPJÁN</t>
  </si>
  <si>
    <t>A) BEFEKTETETT ESZKÖZÖK</t>
  </si>
  <si>
    <t xml:space="preserve">   I.   IMMATERIÁLIS JAVAK</t>
  </si>
  <si>
    <t xml:space="preserve">         1. Alapítás-átszervezés aktivált értéke</t>
  </si>
  <si>
    <t xml:space="preserve">         2. Kísérleti fejlesztés aktivált értéke</t>
  </si>
  <si>
    <t xml:space="preserve">         3. Vagyoni értékű jogok</t>
  </si>
  <si>
    <t xml:space="preserve">         4. Szellemi termékek</t>
  </si>
  <si>
    <t xml:space="preserve">         5. Immateriális javakra adott előlegek</t>
  </si>
  <si>
    <t>2011. évi teljesített előirányzat</t>
  </si>
  <si>
    <t>2011. teljesített előirányzat</t>
  </si>
  <si>
    <t xml:space="preserve">Kötelezettség a tárgyévet követő </t>
  </si>
  <si>
    <t>1. évben</t>
  </si>
  <si>
    <t>2. évben</t>
  </si>
  <si>
    <t>3. évben</t>
  </si>
  <si>
    <t>4. és ezt követő év(ek)ben</t>
  </si>
  <si>
    <t>Kiskőrösi kistérségi Járóbeteg Szakellátó korszerűsítése - DAOP-2009-4.1.1/B-09-2010-0002</t>
  </si>
  <si>
    <t>Kiskőrös Város szennyvízelvezetésének végleges megoldása - KEOP-1.2.0/09-11-2011-0042</t>
  </si>
  <si>
    <t>Petőfi Sándor Művelődési Központ felújítása Kiskőrösön - DAOP - 2009-4.1.3/C-09-2009-0008</t>
  </si>
  <si>
    <t>Belterületi útfejlesztés Kiskőrösön - DAOP-2009-3.1.1/B-09-2009-0015</t>
  </si>
  <si>
    <t>Kiskőrös Város Önkormányzatának városközpont rehabilitációs projektje - DAOP-5.1.2/A-09-1f-2010-0006</t>
  </si>
  <si>
    <t>Kerékpárút-hálózat fejlesztése - DAOP-3.1.2/A-11-2011-0011</t>
  </si>
  <si>
    <t>LEADER - térségi rendezvények külterületi feltételeinek biztosítása</t>
  </si>
  <si>
    <t>Kiskőrös, Kossuth utca fejlesztése - DAOP-3.1.1/B-11</t>
  </si>
  <si>
    <t>Kiskőrös szennyvíztisztításának és elvezetésének végleges megoldása - KEOP-1.2.0/09-11-2011-0042</t>
  </si>
  <si>
    <t>2011. évi teljesítés</t>
  </si>
  <si>
    <t>2012. évi terv</t>
  </si>
  <si>
    <t>LEADER - Térségi rendezvények külterületi feltételeinek biztosítása</t>
  </si>
  <si>
    <t>2013. évi terv</t>
  </si>
  <si>
    <t xml:space="preserve">         6. Immateriális javak értékhelyesbítése</t>
  </si>
  <si>
    <t xml:space="preserve">   II.  TÁRGYI ESZKÖZÖK</t>
  </si>
  <si>
    <t xml:space="preserve">         1. Ingatlanok és a kapcsolódó vagyoni értékű jogok</t>
  </si>
  <si>
    <t xml:space="preserve">         2. Gépek, berendezések és felszerelések</t>
  </si>
  <si>
    <t xml:space="preserve">         3. Járművek</t>
  </si>
  <si>
    <t xml:space="preserve">         4. Tenyészállatok</t>
  </si>
  <si>
    <t xml:space="preserve">         5. Beruházások, felújítások</t>
  </si>
  <si>
    <t xml:space="preserve">         6. Beruházásra adott előlegek</t>
  </si>
  <si>
    <t xml:space="preserve">   III. BEFEKTETETT PÉNZÜGYI ESZKÖZÖK</t>
  </si>
  <si>
    <t xml:space="preserve">         2. Tartós hitelviszonyt megtestesítő értékpapír</t>
  </si>
  <si>
    <t xml:space="preserve">         3. Tartósan adott kölcsön</t>
  </si>
  <si>
    <t xml:space="preserve">         4. Hosszú lejáratú bankbetétek</t>
  </si>
  <si>
    <t xml:space="preserve">         5. Egyéb hosszúlejáratú követelések</t>
  </si>
  <si>
    <t xml:space="preserve">         6. Befektetett pénzügyi eszközök értékhelyesbítése</t>
  </si>
  <si>
    <t xml:space="preserve">         1. Üzemeltetésre, kezelésre átadott eszközök</t>
  </si>
  <si>
    <t xml:space="preserve">         2. Koncesszióba adott eszközök</t>
  </si>
  <si>
    <t xml:space="preserve">         3. Vagyonkezelésbe adott eszközök</t>
  </si>
  <si>
    <t xml:space="preserve">         4. Vagyonkezelésbe vett eszközök</t>
  </si>
  <si>
    <t xml:space="preserve">         5. Üzemeltetésre, kezelésre átadott, koncesszióba adott, vagyonkezelésbe vett eszközök értékhelyesbítése</t>
  </si>
  <si>
    <t xml:space="preserve">   I.   KÉSZLETEK</t>
  </si>
  <si>
    <t xml:space="preserve">         1. Anyagok</t>
  </si>
  <si>
    <t xml:space="preserve">         2. Befejezetlen termelés és félkész termékek</t>
  </si>
  <si>
    <t xml:space="preserve">         3. Növendék-, hízó és egyéb állatok</t>
  </si>
  <si>
    <t xml:space="preserve">         4. Késztermékek</t>
  </si>
  <si>
    <t xml:space="preserve">   II.  KÖVETELÉSEK</t>
  </si>
  <si>
    <t xml:space="preserve">         1. Követelések áruszállításból, szolgálttaásokból (vevők)</t>
  </si>
  <si>
    <t xml:space="preserve">         2. Adósok</t>
  </si>
  <si>
    <t xml:space="preserve">         3. Rövid lejáratú kölcsönök</t>
  </si>
  <si>
    <t xml:space="preserve">         4. Egyéb követelések</t>
  </si>
  <si>
    <t xml:space="preserve">         Ebből: -tartósan adott kölcsönökből a mérlegfordulónapot követő éven belül esedékes részlet</t>
  </si>
  <si>
    <t xml:space="preserve">                      - egyéb hosszú lejáratú követelésekből a mérlegfordulónapot követő egy éven belül esedékes részletek</t>
  </si>
  <si>
    <t xml:space="preserve">                     - támogatási programok szabálytalan kifizetése miatti követelések</t>
  </si>
  <si>
    <t xml:space="preserve">                       - garancia- és kezességvállalásból származó követelések</t>
  </si>
  <si>
    <t xml:space="preserve">   III. ÉRTÉKPAPÍROK</t>
  </si>
  <si>
    <t xml:space="preserve">         2. Forgatási célú hitelviszonyt megtestesítő értékpapírok</t>
  </si>
  <si>
    <t xml:space="preserve">   IV. PÉNZESZKÖZÖK</t>
  </si>
  <si>
    <t xml:space="preserve">         1. Pénztárak, csekkek, betétkönyvek</t>
  </si>
  <si>
    <t xml:space="preserve">         3. Elszámolási számlák</t>
  </si>
  <si>
    <t xml:space="preserve">   V.  EGYÉB AKTÍV PÉNZÜGYI ELSZÁMOLÁSOK</t>
  </si>
  <si>
    <t xml:space="preserve">         1. Költségvetési aktív függő elszámolások</t>
  </si>
  <si>
    <t xml:space="preserve">         2. Költségvetési aktív átfutó elszámolások</t>
  </si>
  <si>
    <t xml:space="preserve">         3. Költségvetési aktív kiegyenlítő elszámolások</t>
  </si>
  <si>
    <t xml:space="preserve">         4. Költségvetésen kívüli aktív pénzügyi elszámolások</t>
  </si>
  <si>
    <t xml:space="preserve"> A) TÖRZSVAGYON</t>
  </si>
  <si>
    <t xml:space="preserve">  I.  FORGALOMKÉPTELEN TÖRZSVAGYON</t>
  </si>
  <si>
    <t xml:space="preserve">         -helyi közútak és műtárgyaik, ezek tartozékai</t>
  </si>
  <si>
    <t xml:space="preserve">         - terek, parkok</t>
  </si>
  <si>
    <t>Irányító szerv által utalt támogatás</t>
  </si>
  <si>
    <t>Egyéb központi támogatás</t>
  </si>
  <si>
    <t>Ár-belvízvédelem</t>
  </si>
  <si>
    <t>KTKT - TIOP - 3.4.1 kölcsön Bentlakásos intézmény</t>
  </si>
  <si>
    <t>KTKT - DAOP-4.2.1. nevelési intézmények fejlesztése</t>
  </si>
  <si>
    <t>Önkéntes Tűzoltó Egyesület</t>
  </si>
  <si>
    <t>Kiskőrösi Advent</t>
  </si>
  <si>
    <t>Gyermekkarácsony</t>
  </si>
  <si>
    <t>IV.  Központosított bevételi kiesés / többlet:</t>
  </si>
  <si>
    <t>Társulási hozzájárulás</t>
  </si>
  <si>
    <t>Csapadékvíz hálózat fejlesztése - DAOP-5.2.1/A-11.</t>
  </si>
  <si>
    <t>II.  Kiskőrös Város Önkormányzata támogatásával megvalósuló projektek, programok</t>
  </si>
  <si>
    <t>Önkormányzati hozzájárulás</t>
  </si>
  <si>
    <t>támogatás</t>
  </si>
  <si>
    <t>támogatás megelőlegezése önkormányzati bevételből</t>
  </si>
  <si>
    <t>Kiskőrösi Többcélú Kistérségi Társulás – DAOP-4.2.1/2F-2f-2009-0008.  – Petőfi Sándor Általános Iskola fejlesztése</t>
  </si>
  <si>
    <t>Kiskőrösi Többcélú Kistérségi Társulás - TIOP-1.1.1/07/1-2008-0482 kölcsön</t>
  </si>
  <si>
    <t>Kiskőrösi Többcélú Kistérségi Társulás – kerékpárúthálózat-fejlesztése - KÖZOP-3.2.0/c-08-2010-0008 - utófinanszírozás miatti előleg</t>
  </si>
  <si>
    <t>A helyi önkormányzatok rövid lejáratú hiteltörlesztési támogatása</t>
  </si>
  <si>
    <t>Létszámcsökkentési pályázat</t>
  </si>
  <si>
    <t>A hátrányos helyzetű önkormányzatok kiegészítő támogatása</t>
  </si>
  <si>
    <t>Az önhibájukon kívül hátrányos helyzetben lévő önkormányzatok támogatása összesen</t>
  </si>
  <si>
    <t>KÖLTSÉGVETÉSI KIADÁSOK ÖSSZESEN ( 1-47. sorok )</t>
  </si>
  <si>
    <t>KÖZPONTOSÍTOTT KIADÁSOK FINANSZÍROZÁSI CÉLÚ KIADÁSOK NÉLKÜL ÖSSZESEN ( 8-45. sorok )</t>
  </si>
  <si>
    <t xml:space="preserve">         - vizek és vízi közműnek nem minősülő közcélú vízi létesítmény</t>
  </si>
  <si>
    <t xml:space="preserve">         - egyéb forgalomképtelen ingatlanvagyon</t>
  </si>
  <si>
    <t xml:space="preserve">         - levéltári anyagok, tervtárak, terv-, térkép és iratanyag</t>
  </si>
  <si>
    <t xml:space="preserve">         - forgalomképtelen vagyonhoz tartozó ingó és egyéb vagyon</t>
  </si>
  <si>
    <t xml:space="preserve">         - közművek</t>
  </si>
  <si>
    <t xml:space="preserve">         - muzeális gyűjtemény és emlék</t>
  </si>
  <si>
    <t xml:space="preserve">         - sportpályák és sportcélú létesítmények</t>
  </si>
  <si>
    <t xml:space="preserve">         - köztemetők</t>
  </si>
  <si>
    <t xml:space="preserve">         - korlátozottan forgalomképes egyéb ingatlanvagyon (kezelésbe adott)</t>
  </si>
  <si>
    <t xml:space="preserve">         - ingatlanokhoz kapcsolódó korlátozottan forgalomképes vagyoni értékű jogok</t>
  </si>
  <si>
    <t xml:space="preserve">         - az önkormányzat képviselő-testülete által korlátozottan forgalomképesnek minősített befektetett pénzügyi eszközök</t>
  </si>
  <si>
    <t>B) TÖRZSVAGYONON KÍVÜL EGYÉB , FORGALOMKÉPES VAGYON</t>
  </si>
  <si>
    <t xml:space="preserve">   I.  TÖRZSVAGYON KÖRÉBE NEM TARTOZÓ INGATLANOK</t>
  </si>
  <si>
    <t xml:space="preserve">   II.  TÖRZSVAGYON KÖRÉBE NEM TARTOZÓ INGÓ VAGYON</t>
  </si>
  <si>
    <t>(*) A kataszteri nyilvántartás bruttó értékei alapján</t>
  </si>
  <si>
    <t>A KÖNYVVITELI MÉRLEGBEN NEM SZEREPLŐ ESZKÖZÖK ÉS KÖTELEZETTSÉGEK KIEMELT TÉTELEI</t>
  </si>
  <si>
    <t xml:space="preserve">  I.  A "O"-RA LEÍRT DE HASZNÁLATBAN LÉVŐ, ILLETVE HASZNÁLATON KÍVÜLI ESZKÖZÖK ÁLLOMÁNYA</t>
  </si>
  <si>
    <t xml:space="preserve"> III.  A MÉRLEGBEN ÉRTÉKKEL NEM SZEREPLŐ KÖTELEZETTSÉGEK, IDEÉRTVE A KEZESSÉG- ILLETVE GARANCIA VÁLLALÁSSAL KAPCSOLATOS FÜGGŐ KÖTELEZETTSÉGEKET</t>
  </si>
  <si>
    <r>
      <t xml:space="preserve">   IV. ÜZEMELTETÉSRE, </t>
    </r>
    <r>
      <rPr>
        <sz val="7"/>
        <rFont val="Times New Roman CE"/>
        <family val="1"/>
      </rPr>
      <t>KEZELÉSRE ÁTADOTT, KONCESSZIÓBA ADOTT, VAGYONKEZELÉSBE VETT ESZKÖZÖK</t>
    </r>
  </si>
  <si>
    <r>
      <t>VAGYONKIMUTATÁS TAGOLÁSA AZ ÖNKORMÁNYZAT ÁLTAL ELLÁTOTT FELADATOKHOZ VALÓ VISZONYA SZERINT</t>
    </r>
    <r>
      <rPr>
        <b/>
        <sz val="8"/>
        <rFont val="Times New Roman CE"/>
        <family val="1"/>
      </rPr>
      <t xml:space="preserve"> (*)</t>
    </r>
  </si>
  <si>
    <r>
      <t xml:space="preserve">  II.  KORLÁTOZOTTAN FORGALOMKÉPES </t>
    </r>
    <r>
      <rPr>
        <sz val="7"/>
        <rFont val="Times New Roman CE"/>
        <family val="1"/>
      </rPr>
      <t>TÖRZSVAGYON</t>
    </r>
  </si>
  <si>
    <t>Bevétel-kiesés</t>
  </si>
  <si>
    <r>
      <t xml:space="preserve">  II.  ÖNKORMÁNYZAT TULAJDONÁBA LÉVŐ, A KÜLÖN JOGSZABÁLY ALAPJÁN A SZAKMAI NYILVÁNTARTÁSBAN SZEREPLŐ ÉRTÉK NÉLKÜL NYILVÁNTARTOTT ESZKÖZÖK ÁLLOMÁNYA </t>
    </r>
    <r>
      <rPr>
        <sz val="7"/>
        <rFont val="Times New Roman CE"/>
        <family val="1"/>
      </rPr>
      <t>(képzőművészeti alkotások, régészeti leletek, kép- és hangarchívumok, gyűjtemények, kulturális javak)</t>
    </r>
  </si>
  <si>
    <t>Intézményi felújítások</t>
  </si>
  <si>
    <t xml:space="preserve">KTKT - Idősek, fogyatékossággal élők bentlakásos szociális ellátásának komplex támogatása </t>
  </si>
  <si>
    <t>KTKT  - Háziorvosi ügyelet támogtása</t>
  </si>
  <si>
    <t>Munkaadókat</t>
  </si>
  <si>
    <t>Egyéb felhalmozási</t>
  </si>
  <si>
    <t xml:space="preserve">      Áruértékesítéshez, szolgáltatásnyújtáshoz kapcsolódó ÁFA befizetések</t>
  </si>
  <si>
    <t>Egyéb felhalmozási célú kiadások, támogatások</t>
  </si>
  <si>
    <t>Intézményi egyéb felhalmozási célú kiadások, támogatások</t>
  </si>
  <si>
    <t>Dologi jellegű kiadások</t>
  </si>
  <si>
    <t>Általános forgalmi adó bevételek</t>
  </si>
  <si>
    <t>Központosított egyéb felhalmozási célú kiadások, támogatások</t>
  </si>
  <si>
    <t>Eseti-, ügygondnoki díjak, hivatásos gondnoki megbízási díjak</t>
  </si>
  <si>
    <t>Egyéb felhalmozás jellegű kiadások, támogatások</t>
  </si>
  <si>
    <t>JELLEGŰ KIADÁSOK, TÁMOGATÁSOK ÖSSZESEN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</si>
</sst>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</numFmts>
  <fonts count="1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9"/>
      <name val="Tahoma"/>
      <family val="2"/>
    </font>
    <font>
      <b/>
      <sz val="9"/>
      <name val="Tahoma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i/>
      <sz val="8"/>
      <color indexed="10"/>
      <name val="Times New Roman CE"/>
      <family val="1"/>
    </font>
    <font>
      <sz val="8"/>
      <color indexed="10"/>
      <name val="Tahoma"/>
      <family val="2"/>
    </font>
    <font>
      <b/>
      <sz val="8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Arial CE"/>
      <family val="0"/>
    </font>
    <font>
      <b/>
      <sz val="8"/>
      <color indexed="9"/>
      <name val="Times New Roman"/>
      <family val="1"/>
    </font>
    <font>
      <b/>
      <sz val="8"/>
      <color indexed="10"/>
      <name val="Tahoma"/>
      <family val="2"/>
    </font>
    <font>
      <sz val="9"/>
      <name val="Times New Roman CE"/>
      <family val="1"/>
    </font>
    <font>
      <b/>
      <sz val="9"/>
      <name val="Times New Roman CE"/>
      <family val="0"/>
    </font>
    <font>
      <sz val="8"/>
      <name val="Arial"/>
      <family val="0"/>
    </font>
    <font>
      <b/>
      <u val="single"/>
      <sz val="9"/>
      <name val="Times New Roman CE"/>
      <family val="1"/>
    </font>
    <font>
      <sz val="7"/>
      <name val="Arial CE"/>
      <family val="0"/>
    </font>
    <font>
      <sz val="10"/>
      <name val="MS Sans Serif"/>
      <family val="0"/>
    </font>
    <font>
      <sz val="9"/>
      <name val="Arial"/>
      <family val="2"/>
    </font>
    <font>
      <sz val="6"/>
      <name val="Times New Roman CE"/>
      <family val="1"/>
    </font>
    <font>
      <sz val="8"/>
      <color indexed="9"/>
      <name val="Times New Roman CE"/>
      <family val="1"/>
    </font>
    <font>
      <b/>
      <sz val="8"/>
      <color indexed="9"/>
      <name val="Times New Roman CE"/>
      <family val="1"/>
    </font>
    <font>
      <i/>
      <sz val="8"/>
      <name val="Times New Roman CE"/>
      <family val="1"/>
    </font>
    <font>
      <sz val="6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 CE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u val="single"/>
      <vertAlign val="superscript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vertAlign val="superscript"/>
      <sz val="8"/>
      <name val="Times New Roman"/>
      <family val="1"/>
    </font>
    <font>
      <sz val="9"/>
      <name val="Arial CE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sz val="7"/>
      <color indexed="10"/>
      <name val="Times New Roman"/>
      <family val="1"/>
    </font>
    <font>
      <b/>
      <sz val="9"/>
      <name val="Arial CE"/>
      <family val="0"/>
    </font>
    <font>
      <b/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0"/>
    </font>
    <font>
      <u val="single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0"/>
    </font>
    <font>
      <b/>
      <sz val="7"/>
      <color indexed="8"/>
      <name val="Tahoma"/>
      <family val="0"/>
    </font>
    <font>
      <sz val="6"/>
      <color indexed="8"/>
      <name val="Arial CE"/>
      <family val="0"/>
    </font>
    <font>
      <b/>
      <sz val="6"/>
      <color indexed="8"/>
      <name val="Arial CE"/>
      <family val="0"/>
    </font>
    <font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Tahoma"/>
      <family val="0"/>
    </font>
    <font>
      <sz val="10"/>
      <color indexed="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hair"/>
    </border>
    <border>
      <left style="hair"/>
      <right style="thin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double"/>
      <bottom style="medium"/>
    </border>
    <border>
      <left style="thin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6" fillId="20" borderId="1" applyNumberFormat="0" applyAlignment="0" applyProtection="0"/>
    <xf numFmtId="0" fontId="117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0" fillId="0" borderId="0" applyNumberFormat="0" applyFill="0" applyBorder="0" applyAlignment="0" applyProtection="0"/>
    <xf numFmtId="0" fontId="12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0" fillId="22" borderId="7" applyNumberFormat="0" applyFont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5" fillId="26" borderId="0" applyNumberFormat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24" fillId="29" borderId="0" applyNumberFormat="0" applyBorder="0" applyAlignment="0" applyProtection="0"/>
    <xf numFmtId="0" fontId="125" fillId="30" borderId="8" applyNumberFormat="0" applyAlignment="0" applyProtection="0"/>
    <xf numFmtId="0" fontId="2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129" fillId="32" borderId="0" applyNumberFormat="0" applyBorder="0" applyAlignment="0" applyProtection="0"/>
    <xf numFmtId="0" fontId="130" fillId="30" borderId="1" applyNumberFormat="0" applyAlignment="0" applyProtection="0"/>
    <xf numFmtId="9" fontId="0" fillId="0" borderId="0" applyFont="0" applyFill="0" applyBorder="0" applyAlignment="0" applyProtection="0"/>
  </cellStyleXfs>
  <cellXfs count="2300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3" fontId="9" fillId="0" borderId="17" xfId="0" applyNumberFormat="1" applyFont="1" applyFill="1" applyBorder="1" applyAlignment="1">
      <alignment horizontal="right" vertical="center" shrinkToFit="1"/>
    </xf>
    <xf numFmtId="3" fontId="10" fillId="0" borderId="18" xfId="0" applyNumberFormat="1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vertical="center" shrinkToFit="1"/>
    </xf>
    <xf numFmtId="3" fontId="9" fillId="0" borderId="20" xfId="0" applyNumberFormat="1" applyFont="1" applyFill="1" applyBorder="1" applyAlignment="1">
      <alignment horizontal="right" vertical="center" shrinkToFit="1"/>
    </xf>
    <xf numFmtId="3" fontId="10" fillId="0" borderId="21" xfId="0" applyNumberFormat="1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horizontal="right" vertical="center" shrinkToFit="1"/>
    </xf>
    <xf numFmtId="3" fontId="10" fillId="0" borderId="23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>
      <alignment horizontal="justify" shrinkToFit="1"/>
    </xf>
    <xf numFmtId="0" fontId="11" fillId="0" borderId="26" xfId="0" applyFont="1" applyFill="1" applyBorder="1" applyAlignment="1">
      <alignment shrinkToFit="1"/>
    </xf>
    <xf numFmtId="0" fontId="11" fillId="0" borderId="27" xfId="0" applyFont="1" applyFill="1" applyBorder="1" applyAlignment="1">
      <alignment horizontal="justify" shrinkToFit="1"/>
    </xf>
    <xf numFmtId="0" fontId="12" fillId="0" borderId="0" xfId="0" applyFont="1" applyFill="1" applyAlignment="1">
      <alignment shrinkToFit="1"/>
    </xf>
    <xf numFmtId="0" fontId="11" fillId="0" borderId="28" xfId="0" applyFont="1" applyFill="1" applyBorder="1" applyAlignment="1">
      <alignment shrinkToFit="1"/>
    </xf>
    <xf numFmtId="0" fontId="13" fillId="0" borderId="29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14" fillId="0" borderId="29" xfId="0" applyFont="1" applyFill="1" applyBorder="1" applyAlignment="1">
      <alignment horizontal="right" shrinkToFit="1"/>
    </xf>
    <xf numFmtId="0" fontId="14" fillId="0" borderId="0" xfId="0" applyFont="1" applyFill="1" applyAlignment="1">
      <alignment shrinkToFit="1"/>
    </xf>
    <xf numFmtId="0" fontId="13" fillId="0" borderId="30" xfId="0" applyFont="1" applyFill="1" applyBorder="1" applyAlignment="1">
      <alignment horizontal="right" shrinkToFit="1"/>
    </xf>
    <xf numFmtId="0" fontId="13" fillId="0" borderId="0" xfId="0" applyFont="1" applyFill="1" applyAlignment="1">
      <alignment shrinkToFit="1"/>
    </xf>
    <xf numFmtId="0" fontId="13" fillId="0" borderId="0" xfId="0" applyFont="1" applyFill="1" applyAlignment="1">
      <alignment vertical="center" shrinkToFit="1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15" fillId="0" borderId="29" xfId="0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/>
    </xf>
    <xf numFmtId="3" fontId="17" fillId="0" borderId="29" xfId="0" applyNumberFormat="1" applyFont="1" applyFill="1" applyBorder="1" applyAlignment="1">
      <alignment horizontal="center" vertical="center"/>
    </xf>
    <xf numFmtId="3" fontId="17" fillId="0" borderId="3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 vertical="center" shrinkToFit="1"/>
    </xf>
    <xf numFmtId="0" fontId="23" fillId="0" borderId="0" xfId="0" applyFont="1" applyFill="1" applyBorder="1" applyAlignment="1">
      <alignment horizontal="justify" vertical="center" shrinkToFit="1"/>
    </xf>
    <xf numFmtId="0" fontId="24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34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3" fontId="26" fillId="0" borderId="35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33" borderId="46" xfId="0" applyNumberFormat="1" applyFont="1" applyFill="1" applyBorder="1" applyAlignment="1">
      <alignment horizontal="center" vertical="center" wrapText="1"/>
    </xf>
    <xf numFmtId="0" fontId="26" fillId="0" borderId="47" xfId="0" applyFont="1" applyBorder="1" applyAlignment="1">
      <alignment horizontal="left" vertical="center" wrapText="1"/>
    </xf>
    <xf numFmtId="3" fontId="26" fillId="0" borderId="46" xfId="0" applyNumberFormat="1" applyFont="1" applyBorder="1" applyAlignment="1">
      <alignment horizontal="right" vertical="center" wrapText="1"/>
    </xf>
    <xf numFmtId="0" fontId="25" fillId="33" borderId="47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3" fontId="16" fillId="0" borderId="29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3" fontId="16" fillId="0" borderId="53" xfId="0" applyNumberFormat="1" applyFont="1" applyFill="1" applyBorder="1" applyAlignment="1">
      <alignment horizontal="center" vertical="center"/>
    </xf>
    <xf numFmtId="3" fontId="15" fillId="0" borderId="54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shrinkToFit="1"/>
    </xf>
    <xf numFmtId="3" fontId="25" fillId="0" borderId="19" xfId="0" applyNumberFormat="1" applyFont="1" applyFill="1" applyBorder="1" applyAlignment="1">
      <alignment horizontal="left" vertical="center" wrapText="1"/>
    </xf>
    <xf numFmtId="0" fontId="15" fillId="0" borderId="55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shrinkToFi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31" fillId="0" borderId="0" xfId="0" applyFont="1" applyAlignment="1">
      <alignment/>
    </xf>
    <xf numFmtId="0" fontId="15" fillId="0" borderId="57" xfId="0" applyFont="1" applyBorder="1" applyAlignment="1">
      <alignment vertical="center" wrapText="1"/>
    </xf>
    <xf numFmtId="0" fontId="4" fillId="0" borderId="54" xfId="0" applyFont="1" applyFill="1" applyBorder="1" applyAlignment="1">
      <alignment horizontal="right" vertical="center" shrinkToFit="1"/>
    </xf>
    <xf numFmtId="3" fontId="30" fillId="0" borderId="58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 horizontal="justify" shrinkToFit="1"/>
    </xf>
    <xf numFmtId="0" fontId="39" fillId="0" borderId="59" xfId="0" applyFont="1" applyFill="1" applyBorder="1" applyAlignment="1">
      <alignment horizontal="justify" shrinkToFit="1"/>
    </xf>
    <xf numFmtId="0" fontId="39" fillId="0" borderId="60" xfId="0" applyFont="1" applyFill="1" applyBorder="1" applyAlignment="1">
      <alignment horizontal="center" shrinkToFit="1"/>
    </xf>
    <xf numFmtId="0" fontId="39" fillId="0" borderId="0" xfId="0" applyFont="1" applyFill="1" applyAlignment="1">
      <alignment horizontal="center" shrinkToFit="1"/>
    </xf>
    <xf numFmtId="3" fontId="15" fillId="0" borderId="58" xfId="0" applyNumberFormat="1" applyFont="1" applyFill="1" applyBorder="1" applyAlignment="1">
      <alignment horizontal="right" vertical="center"/>
    </xf>
    <xf numFmtId="3" fontId="16" fillId="0" borderId="61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left" vertical="center"/>
    </xf>
    <xf numFmtId="3" fontId="15" fillId="0" borderId="54" xfId="0" applyNumberFormat="1" applyFont="1" applyFill="1" applyBorder="1" applyAlignment="1">
      <alignment horizontal="left" vertical="center"/>
    </xf>
    <xf numFmtId="3" fontId="16" fillId="0" borderId="58" xfId="0" applyNumberFormat="1" applyFont="1" applyFill="1" applyBorder="1" applyAlignment="1">
      <alignment horizontal="left" vertical="center"/>
    </xf>
    <xf numFmtId="3" fontId="38" fillId="0" borderId="58" xfId="0" applyNumberFormat="1" applyFont="1" applyFill="1" applyBorder="1" applyAlignment="1">
      <alignment horizontal="left" vertical="center"/>
    </xf>
    <xf numFmtId="3" fontId="38" fillId="0" borderId="15" xfId="0" applyNumberFormat="1" applyFont="1" applyFill="1" applyBorder="1" applyAlignment="1">
      <alignment horizontal="left" vertical="center"/>
    </xf>
    <xf numFmtId="3" fontId="36" fillId="0" borderId="58" xfId="0" applyNumberFormat="1" applyFont="1" applyFill="1" applyBorder="1" applyAlignment="1">
      <alignment horizontal="left" vertical="center"/>
    </xf>
    <xf numFmtId="3" fontId="36" fillId="0" borderId="15" xfId="0" applyNumberFormat="1" applyFont="1" applyFill="1" applyBorder="1" applyAlignment="1">
      <alignment horizontal="left" vertical="center"/>
    </xf>
    <xf numFmtId="3" fontId="38" fillId="0" borderId="62" xfId="0" applyNumberFormat="1" applyFont="1" applyFill="1" applyBorder="1" applyAlignment="1">
      <alignment horizontal="left" vertical="center"/>
    </xf>
    <xf numFmtId="3" fontId="37" fillId="0" borderId="58" xfId="0" applyNumberFormat="1" applyFont="1" applyFill="1" applyBorder="1" applyAlignment="1">
      <alignment horizontal="left" vertical="center"/>
    </xf>
    <xf numFmtId="3" fontId="37" fillId="0" borderId="15" xfId="0" applyNumberFormat="1" applyFont="1" applyFill="1" applyBorder="1" applyAlignment="1">
      <alignment horizontal="left" vertical="center"/>
    </xf>
    <xf numFmtId="3" fontId="37" fillId="0" borderId="27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Alignment="1">
      <alignment horizontal="left" vertical="center"/>
    </xf>
    <xf numFmtId="3" fontId="16" fillId="0" borderId="15" xfId="0" applyNumberFormat="1" applyFont="1" applyFill="1" applyBorder="1" applyAlignment="1">
      <alignment horizontal="right" vertical="center"/>
    </xf>
    <xf numFmtId="3" fontId="16" fillId="0" borderId="63" xfId="0" applyNumberFormat="1" applyFont="1" applyFill="1" applyBorder="1" applyAlignment="1">
      <alignment horizontal="right" vertical="center"/>
    </xf>
    <xf numFmtId="3" fontId="16" fillId="0" borderId="58" xfId="0" applyNumberFormat="1" applyFont="1" applyFill="1" applyBorder="1" applyAlignment="1">
      <alignment horizontal="right" vertical="center"/>
    </xf>
    <xf numFmtId="3" fontId="16" fillId="0" borderId="44" xfId="0" applyNumberFormat="1" applyFont="1" applyFill="1" applyBorder="1" applyAlignment="1">
      <alignment horizontal="right" vertical="center"/>
    </xf>
    <xf numFmtId="3" fontId="16" fillId="0" borderId="64" xfId="0" applyNumberFormat="1" applyFont="1" applyFill="1" applyBorder="1" applyAlignment="1">
      <alignment horizontal="right" vertical="center"/>
    </xf>
    <xf numFmtId="3" fontId="16" fillId="0" borderId="23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49" fontId="33" fillId="0" borderId="58" xfId="0" applyNumberFormat="1" applyFont="1" applyFill="1" applyBorder="1" applyAlignment="1">
      <alignment vertical="center" shrinkToFit="1"/>
    </xf>
    <xf numFmtId="3" fontId="16" fillId="0" borderId="65" xfId="0" applyNumberFormat="1" applyFont="1" applyFill="1" applyBorder="1" applyAlignment="1">
      <alignment horizontal="right" vertical="center"/>
    </xf>
    <xf numFmtId="3" fontId="16" fillId="0" borderId="66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left" vertical="center"/>
    </xf>
    <xf numFmtId="3" fontId="15" fillId="0" borderId="58" xfId="0" applyNumberFormat="1" applyFont="1" applyFill="1" applyBorder="1" applyAlignment="1">
      <alignment horizontal="left" vertical="center"/>
    </xf>
    <xf numFmtId="3" fontId="15" fillId="0" borderId="15" xfId="0" applyNumberFormat="1" applyFont="1" applyFill="1" applyBorder="1" applyAlignment="1">
      <alignment horizontal="left" vertical="center"/>
    </xf>
    <xf numFmtId="3" fontId="21" fillId="0" borderId="0" xfId="69" applyNumberFormat="1" applyFont="1" applyFill="1" applyAlignment="1">
      <alignment horizontal="center" vertical="center"/>
      <protection/>
    </xf>
    <xf numFmtId="3" fontId="19" fillId="0" borderId="0" xfId="69" applyNumberFormat="1" applyFont="1" applyFill="1" applyAlignment="1">
      <alignment vertical="center"/>
      <protection/>
    </xf>
    <xf numFmtId="3" fontId="27" fillId="0" borderId="0" xfId="69" applyNumberFormat="1" applyFont="1" applyFill="1" applyAlignment="1">
      <alignment vertical="center"/>
      <protection/>
    </xf>
    <xf numFmtId="3" fontId="29" fillId="0" borderId="0" xfId="69" applyNumberFormat="1" applyFont="1" applyFill="1" applyAlignment="1">
      <alignment vertical="center"/>
      <protection/>
    </xf>
    <xf numFmtId="3" fontId="29" fillId="0" borderId="27" xfId="69" applyNumberFormat="1" applyFont="1" applyFill="1" applyBorder="1" applyAlignment="1">
      <alignment horizontal="center" vertical="center"/>
      <protection/>
    </xf>
    <xf numFmtId="3" fontId="20" fillId="0" borderId="0" xfId="69" applyNumberFormat="1" applyFont="1" applyFill="1" applyBorder="1" applyAlignment="1">
      <alignment horizontal="center" vertical="center"/>
      <protection/>
    </xf>
    <xf numFmtId="3" fontId="29" fillId="0" borderId="58" xfId="69" applyNumberFormat="1" applyFont="1" applyFill="1" applyBorder="1" applyAlignment="1">
      <alignment horizontal="center" vertical="center"/>
      <protection/>
    </xf>
    <xf numFmtId="3" fontId="29" fillId="0" borderId="59" xfId="69" applyNumberFormat="1" applyFont="1" applyFill="1" applyBorder="1" applyAlignment="1">
      <alignment horizontal="center" vertical="center"/>
      <protection/>
    </xf>
    <xf numFmtId="3" fontId="20" fillId="0" borderId="67" xfId="69" applyNumberFormat="1" applyFont="1" applyFill="1" applyBorder="1" applyAlignment="1">
      <alignment horizontal="center" vertical="center"/>
      <protection/>
    </xf>
    <xf numFmtId="3" fontId="18" fillId="0" borderId="68" xfId="69" applyNumberFormat="1" applyFont="1" applyFill="1" applyBorder="1" applyAlignment="1">
      <alignment vertical="center"/>
      <protection/>
    </xf>
    <xf numFmtId="3" fontId="29" fillId="0" borderId="68" xfId="69" applyNumberFormat="1" applyFont="1" applyFill="1" applyBorder="1" applyAlignment="1">
      <alignment horizontal="right" vertical="center"/>
      <protection/>
    </xf>
    <xf numFmtId="3" fontId="29" fillId="0" borderId="68" xfId="69" applyNumberFormat="1" applyFont="1" applyFill="1" applyBorder="1" applyAlignment="1">
      <alignment vertical="center"/>
      <protection/>
    </xf>
    <xf numFmtId="3" fontId="18" fillId="0" borderId="0" xfId="69" applyNumberFormat="1" applyFont="1" applyFill="1" applyBorder="1" applyAlignment="1">
      <alignment vertical="center"/>
      <protection/>
    </xf>
    <xf numFmtId="3" fontId="20" fillId="0" borderId="37" xfId="69" applyNumberFormat="1" applyFont="1" applyFill="1" applyBorder="1" applyAlignment="1">
      <alignment horizontal="center" vertical="center"/>
      <protection/>
    </xf>
    <xf numFmtId="3" fontId="18" fillId="0" borderId="38" xfId="69" applyNumberFormat="1" applyFont="1" applyFill="1" applyBorder="1" applyAlignment="1">
      <alignment vertical="center"/>
      <protection/>
    </xf>
    <xf numFmtId="3" fontId="29" fillId="0" borderId="38" xfId="69" applyNumberFormat="1" applyFont="1" applyFill="1" applyBorder="1" applyAlignment="1">
      <alignment horizontal="right" vertical="center"/>
      <protection/>
    </xf>
    <xf numFmtId="3" fontId="29" fillId="0" borderId="38" xfId="69" applyNumberFormat="1" applyFont="1" applyFill="1" applyBorder="1" applyAlignment="1">
      <alignment vertical="center"/>
      <protection/>
    </xf>
    <xf numFmtId="3" fontId="20" fillId="0" borderId="55" xfId="69" applyNumberFormat="1" applyFont="1" applyFill="1" applyBorder="1" applyAlignment="1">
      <alignment horizontal="center" vertical="center"/>
      <protection/>
    </xf>
    <xf numFmtId="3" fontId="18" fillId="0" borderId="58" xfId="69" applyNumberFormat="1" applyFont="1" applyFill="1" applyBorder="1" applyAlignment="1">
      <alignment vertical="center"/>
      <protection/>
    </xf>
    <xf numFmtId="3" fontId="27" fillId="0" borderId="58" xfId="69" applyNumberFormat="1" applyFont="1" applyFill="1" applyBorder="1" applyAlignment="1">
      <alignment horizontal="right" vertical="center"/>
      <protection/>
    </xf>
    <xf numFmtId="3" fontId="27" fillId="0" borderId="58" xfId="69" applyNumberFormat="1" applyFont="1" applyFill="1" applyBorder="1" applyAlignment="1">
      <alignment vertical="center"/>
      <protection/>
    </xf>
    <xf numFmtId="3" fontId="29" fillId="0" borderId="58" xfId="69" applyNumberFormat="1" applyFont="1" applyFill="1" applyBorder="1" applyAlignment="1">
      <alignment horizontal="right" vertical="center"/>
      <protection/>
    </xf>
    <xf numFmtId="3" fontId="29" fillId="0" borderId="58" xfId="69" applyNumberFormat="1" applyFont="1" applyFill="1" applyBorder="1" applyAlignment="1">
      <alignment vertical="center"/>
      <protection/>
    </xf>
    <xf numFmtId="3" fontId="29" fillId="0" borderId="35" xfId="69" applyNumberFormat="1" applyFont="1" applyFill="1" applyBorder="1" applyAlignment="1">
      <alignment horizontal="right" vertical="center"/>
      <protection/>
    </xf>
    <xf numFmtId="3" fontId="20" fillId="0" borderId="69" xfId="69" applyNumberFormat="1" applyFont="1" applyFill="1" applyBorder="1" applyAlignment="1">
      <alignment horizontal="center" vertical="center"/>
      <protection/>
    </xf>
    <xf numFmtId="3" fontId="18" fillId="0" borderId="70" xfId="69" applyNumberFormat="1" applyFont="1" applyFill="1" applyBorder="1" applyAlignment="1">
      <alignment horizontal="center" vertical="center"/>
      <protection/>
    </xf>
    <xf numFmtId="3" fontId="27" fillId="0" borderId="70" xfId="69" applyNumberFormat="1" applyFont="1" applyFill="1" applyBorder="1" applyAlignment="1">
      <alignment horizontal="right" vertical="center"/>
      <protection/>
    </xf>
    <xf numFmtId="3" fontId="27" fillId="0" borderId="70" xfId="69" applyNumberFormat="1" applyFont="1" applyFill="1" applyBorder="1" applyAlignment="1">
      <alignment vertical="center"/>
      <protection/>
    </xf>
    <xf numFmtId="3" fontId="29" fillId="0" borderId="70" xfId="69" applyNumberFormat="1" applyFont="1" applyFill="1" applyBorder="1" applyAlignment="1">
      <alignment horizontal="right" vertical="center"/>
      <protection/>
    </xf>
    <xf numFmtId="3" fontId="29" fillId="0" borderId="70" xfId="69" applyNumberFormat="1" applyFont="1" applyFill="1" applyBorder="1" applyAlignment="1">
      <alignment vertical="center"/>
      <protection/>
    </xf>
    <xf numFmtId="3" fontId="20" fillId="0" borderId="40" xfId="69" applyNumberFormat="1" applyFont="1" applyFill="1" applyBorder="1" applyAlignment="1">
      <alignment horizontal="center" vertical="center"/>
      <protection/>
    </xf>
    <xf numFmtId="3" fontId="18" fillId="0" borderId="41" xfId="69" applyNumberFormat="1" applyFont="1" applyFill="1" applyBorder="1" applyAlignment="1">
      <alignment horizontal="center" vertical="center"/>
      <protection/>
    </xf>
    <xf numFmtId="3" fontId="27" fillId="0" borderId="41" xfId="69" applyNumberFormat="1" applyFont="1" applyFill="1" applyBorder="1" applyAlignment="1">
      <alignment horizontal="left" vertical="center" indent="1"/>
      <protection/>
    </xf>
    <xf numFmtId="3" fontId="27" fillId="0" borderId="41" xfId="69" applyNumberFormat="1" applyFont="1" applyFill="1" applyBorder="1" applyAlignment="1">
      <alignment horizontal="right" vertical="center"/>
      <protection/>
    </xf>
    <xf numFmtId="3" fontId="27" fillId="0" borderId="41" xfId="69" applyNumberFormat="1" applyFont="1" applyFill="1" applyBorder="1" applyAlignment="1">
      <alignment vertical="center"/>
      <protection/>
    </xf>
    <xf numFmtId="3" fontId="29" fillId="0" borderId="41" xfId="69" applyNumberFormat="1" applyFont="1" applyFill="1" applyBorder="1" applyAlignment="1">
      <alignment horizontal="right" vertical="center"/>
      <protection/>
    </xf>
    <xf numFmtId="3" fontId="29" fillId="0" borderId="41" xfId="69" applyNumberFormat="1" applyFont="1" applyFill="1" applyBorder="1" applyAlignment="1">
      <alignment vertical="center"/>
      <protection/>
    </xf>
    <xf numFmtId="3" fontId="18" fillId="0" borderId="58" xfId="69" applyNumberFormat="1" applyFont="1" applyFill="1" applyBorder="1" applyAlignment="1">
      <alignment horizontal="center" vertical="center"/>
      <protection/>
    </xf>
    <xf numFmtId="3" fontId="21" fillId="0" borderId="0" xfId="69" applyNumberFormat="1" applyFont="1" applyFill="1" applyAlignment="1">
      <alignment vertical="center"/>
      <protection/>
    </xf>
    <xf numFmtId="3" fontId="18" fillId="0" borderId="40" xfId="69" applyNumberFormat="1" applyFont="1" applyFill="1" applyBorder="1" applyAlignment="1">
      <alignment horizontal="center" vertical="center"/>
      <protection/>
    </xf>
    <xf numFmtId="3" fontId="18" fillId="0" borderId="69" xfId="69" applyNumberFormat="1" applyFont="1" applyFill="1" applyBorder="1" applyAlignment="1">
      <alignment horizontal="center" vertical="center"/>
      <protection/>
    </xf>
    <xf numFmtId="3" fontId="20" fillId="0" borderId="38" xfId="69" applyNumberFormat="1" applyFont="1" applyFill="1" applyBorder="1" applyAlignment="1">
      <alignment horizontal="center" vertical="center"/>
      <protection/>
    </xf>
    <xf numFmtId="1" fontId="18" fillId="0" borderId="41" xfId="69" applyNumberFormat="1" applyFont="1" applyFill="1" applyBorder="1" applyAlignment="1">
      <alignment horizontal="center" vertical="center"/>
      <protection/>
    </xf>
    <xf numFmtId="1" fontId="18" fillId="0" borderId="58" xfId="69" applyNumberFormat="1" applyFont="1" applyFill="1" applyBorder="1" applyAlignment="1">
      <alignment horizontal="center" vertical="center"/>
      <protection/>
    </xf>
    <xf numFmtId="1" fontId="18" fillId="0" borderId="70" xfId="69" applyNumberFormat="1" applyFont="1" applyFill="1" applyBorder="1" applyAlignment="1">
      <alignment horizontal="center" vertical="center"/>
      <protection/>
    </xf>
    <xf numFmtId="3" fontId="20" fillId="0" borderId="71" xfId="69" applyNumberFormat="1" applyFont="1" applyFill="1" applyBorder="1" applyAlignment="1">
      <alignment horizontal="center" vertical="center"/>
      <protection/>
    </xf>
    <xf numFmtId="3" fontId="18" fillId="0" borderId="27" xfId="69" applyNumberFormat="1" applyFont="1" applyFill="1" applyBorder="1" applyAlignment="1">
      <alignment horizontal="center" vertical="center"/>
      <protection/>
    </xf>
    <xf numFmtId="3" fontId="29" fillId="0" borderId="27" xfId="69" applyNumberFormat="1" applyFont="1" applyFill="1" applyBorder="1" applyAlignment="1">
      <alignment vertical="center"/>
      <protection/>
    </xf>
    <xf numFmtId="164" fontId="18" fillId="0" borderId="70" xfId="69" applyNumberFormat="1" applyFont="1" applyFill="1" applyBorder="1" applyAlignment="1">
      <alignment horizontal="center" vertical="center"/>
      <protection/>
    </xf>
    <xf numFmtId="3" fontId="18" fillId="0" borderId="38" xfId="69" applyNumberFormat="1" applyFont="1" applyFill="1" applyBorder="1" applyAlignment="1">
      <alignment horizontal="center" vertical="center"/>
      <protection/>
    </xf>
    <xf numFmtId="164" fontId="18" fillId="0" borderId="41" xfId="69" applyNumberFormat="1" applyFont="1" applyFill="1" applyBorder="1" applyAlignment="1">
      <alignment horizontal="center" vertical="center"/>
      <protection/>
    </xf>
    <xf numFmtId="3" fontId="27" fillId="0" borderId="41" xfId="69" applyNumberFormat="1" applyFont="1" applyFill="1" applyBorder="1" applyAlignment="1">
      <alignment horizontal="left" vertical="center" indent="1" shrinkToFit="1"/>
      <protection/>
    </xf>
    <xf numFmtId="3" fontId="29" fillId="0" borderId="58" xfId="69" applyNumberFormat="1" applyFont="1" applyFill="1" applyBorder="1" applyAlignment="1">
      <alignment vertical="center" wrapText="1"/>
      <protection/>
    </xf>
    <xf numFmtId="3" fontId="29" fillId="0" borderId="27" xfId="69" applyNumberFormat="1" applyFont="1" applyFill="1" applyBorder="1" applyAlignment="1">
      <alignment horizontal="right" vertical="center"/>
      <protection/>
    </xf>
    <xf numFmtId="3" fontId="20" fillId="0" borderId="72" xfId="69" applyNumberFormat="1" applyFont="1" applyFill="1" applyBorder="1" applyAlignment="1">
      <alignment horizontal="center" vertical="center"/>
      <protection/>
    </xf>
    <xf numFmtId="3" fontId="29" fillId="0" borderId="59" xfId="69" applyNumberFormat="1" applyFont="1" applyFill="1" applyBorder="1" applyAlignment="1">
      <alignment horizontal="right" vertical="center"/>
      <protection/>
    </xf>
    <xf numFmtId="3" fontId="29" fillId="0" borderId="59" xfId="69" applyNumberFormat="1" applyFont="1" applyFill="1" applyBorder="1" applyAlignment="1">
      <alignment vertical="center"/>
      <protection/>
    </xf>
    <xf numFmtId="3" fontId="27" fillId="0" borderId="41" xfId="69" applyNumberFormat="1" applyFont="1" applyFill="1" applyBorder="1" applyAlignment="1">
      <alignment vertical="center" wrapText="1"/>
      <protection/>
    </xf>
    <xf numFmtId="3" fontId="27" fillId="0" borderId="41" xfId="64" applyNumberFormat="1" applyFont="1" applyFill="1" applyBorder="1" applyAlignment="1">
      <alignment vertical="center"/>
      <protection/>
    </xf>
    <xf numFmtId="3" fontId="29" fillId="0" borderId="58" xfId="69" applyNumberFormat="1" applyFont="1" applyFill="1" applyBorder="1" applyAlignment="1">
      <alignment horizontal="left" vertical="center"/>
      <protection/>
    </xf>
    <xf numFmtId="3" fontId="15" fillId="0" borderId="73" xfId="0" applyNumberFormat="1" applyFont="1" applyBorder="1" applyAlignment="1">
      <alignment vertical="center" wrapText="1"/>
    </xf>
    <xf numFmtId="3" fontId="20" fillId="0" borderId="27" xfId="69" applyNumberFormat="1" applyFont="1" applyFill="1" applyBorder="1" applyAlignment="1">
      <alignment horizontal="left" vertical="center"/>
      <protection/>
    </xf>
    <xf numFmtId="3" fontId="18" fillId="0" borderId="40" xfId="69" applyNumberFormat="1" applyFont="1" applyFill="1" applyBorder="1" applyAlignment="1">
      <alignment horizontal="left" vertical="center"/>
      <protection/>
    </xf>
    <xf numFmtId="3" fontId="18" fillId="0" borderId="41" xfId="69" applyNumberFormat="1" applyFont="1" applyFill="1" applyBorder="1" applyAlignment="1">
      <alignment horizontal="left" vertical="center" indent="1"/>
      <protection/>
    </xf>
    <xf numFmtId="3" fontId="18" fillId="0" borderId="55" xfId="69" applyNumberFormat="1" applyFont="1" applyFill="1" applyBorder="1" applyAlignment="1">
      <alignment horizontal="left" vertical="center"/>
      <protection/>
    </xf>
    <xf numFmtId="2" fontId="29" fillId="0" borderId="74" xfId="69" applyNumberFormat="1" applyFont="1" applyFill="1" applyBorder="1" applyAlignment="1">
      <alignment horizontal="center" vertical="center"/>
      <protection/>
    </xf>
    <xf numFmtId="2" fontId="29" fillId="0" borderId="39" xfId="69" applyNumberFormat="1" applyFont="1" applyFill="1" applyBorder="1" applyAlignment="1">
      <alignment horizontal="center" vertical="center"/>
      <protection/>
    </xf>
    <xf numFmtId="2" fontId="29" fillId="0" borderId="62" xfId="69" applyNumberFormat="1" applyFont="1" applyFill="1" applyBorder="1" applyAlignment="1">
      <alignment horizontal="center" vertical="center"/>
      <protection/>
    </xf>
    <xf numFmtId="2" fontId="29" fillId="0" borderId="75" xfId="69" applyNumberFormat="1" applyFont="1" applyFill="1" applyBorder="1" applyAlignment="1">
      <alignment horizontal="center" vertical="center"/>
      <protection/>
    </xf>
    <xf numFmtId="2" fontId="29" fillId="0" borderId="42" xfId="69" applyNumberFormat="1" applyFont="1" applyFill="1" applyBorder="1" applyAlignment="1">
      <alignment horizontal="center" vertical="center"/>
      <protection/>
    </xf>
    <xf numFmtId="2" fontId="29" fillId="0" borderId="45" xfId="69" applyNumberFormat="1" applyFont="1" applyFill="1" applyBorder="1" applyAlignment="1">
      <alignment horizontal="center" vertical="center"/>
      <protection/>
    </xf>
    <xf numFmtId="2" fontId="29" fillId="0" borderId="76" xfId="69" applyNumberFormat="1" applyFont="1" applyFill="1" applyBorder="1" applyAlignment="1">
      <alignment horizontal="center" vertical="center"/>
      <protection/>
    </xf>
    <xf numFmtId="2" fontId="29" fillId="0" borderId="36" xfId="69" applyNumberFormat="1" applyFont="1" applyFill="1" applyBorder="1" applyAlignment="1">
      <alignment horizontal="center" vertical="center"/>
      <protection/>
    </xf>
    <xf numFmtId="2" fontId="29" fillId="0" borderId="77" xfId="69" applyNumberFormat="1" applyFont="1" applyFill="1" applyBorder="1" applyAlignment="1">
      <alignment horizontal="center" vertical="center"/>
      <protection/>
    </xf>
    <xf numFmtId="2" fontId="27" fillId="0" borderId="42" xfId="69" applyNumberFormat="1" applyFont="1" applyFill="1" applyBorder="1" applyAlignment="1">
      <alignment horizontal="center" vertical="center"/>
      <protection/>
    </xf>
    <xf numFmtId="2" fontId="27" fillId="0" borderId="75" xfId="69" applyNumberFormat="1" applyFont="1" applyFill="1" applyBorder="1" applyAlignment="1">
      <alignment horizontal="center" vertical="center"/>
      <protection/>
    </xf>
    <xf numFmtId="3" fontId="16" fillId="0" borderId="58" xfId="0" applyNumberFormat="1" applyFont="1" applyFill="1" applyBorder="1" applyAlignment="1">
      <alignment horizontal="center" vertical="center"/>
    </xf>
    <xf numFmtId="3" fontId="29" fillId="0" borderId="27" xfId="69" applyNumberFormat="1" applyFont="1" applyFill="1" applyBorder="1" applyAlignment="1">
      <alignment horizontal="center" vertical="center" wrapText="1"/>
      <protection/>
    </xf>
    <xf numFmtId="3" fontId="28" fillId="0" borderId="0" xfId="0" applyNumberFormat="1" applyFont="1" applyFill="1" applyBorder="1" applyAlignment="1">
      <alignment vertical="center"/>
    </xf>
    <xf numFmtId="3" fontId="28" fillId="0" borderId="54" xfId="0" applyNumberFormat="1" applyFont="1" applyFill="1" applyBorder="1" applyAlignment="1">
      <alignment vertical="center"/>
    </xf>
    <xf numFmtId="3" fontId="43" fillId="0" borderId="31" xfId="0" applyNumberFormat="1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8" fillId="0" borderId="78" xfId="0" applyNumberFormat="1" applyFont="1" applyFill="1" applyBorder="1" applyAlignment="1">
      <alignment vertical="center"/>
    </xf>
    <xf numFmtId="3" fontId="30" fillId="0" borderId="32" xfId="0" applyNumberFormat="1" applyFont="1" applyFill="1" applyBorder="1" applyAlignment="1">
      <alignment vertical="center"/>
    </xf>
    <xf numFmtId="3" fontId="30" fillId="0" borderId="31" xfId="0" applyNumberFormat="1" applyFont="1" applyFill="1" applyBorder="1" applyAlignment="1">
      <alignment vertical="center"/>
    </xf>
    <xf numFmtId="3" fontId="30" fillId="0" borderId="58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27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2" fontId="28" fillId="0" borderId="0" xfId="0" applyNumberFormat="1" applyFont="1" applyFill="1" applyAlignment="1">
      <alignment shrinkToFit="1"/>
    </xf>
    <xf numFmtId="2" fontId="28" fillId="0" borderId="73" xfId="0" applyNumberFormat="1" applyFont="1" applyFill="1" applyBorder="1" applyAlignment="1">
      <alignment shrinkToFit="1"/>
    </xf>
    <xf numFmtId="2" fontId="28" fillId="0" borderId="79" xfId="0" applyNumberFormat="1" applyFont="1" applyFill="1" applyBorder="1" applyAlignment="1">
      <alignment shrinkToFit="1"/>
    </xf>
    <xf numFmtId="2" fontId="30" fillId="0" borderId="33" xfId="0" applyNumberFormat="1" applyFont="1" applyFill="1" applyBorder="1" applyAlignment="1">
      <alignment vertical="center" shrinkToFit="1"/>
    </xf>
    <xf numFmtId="2" fontId="30" fillId="0" borderId="58" xfId="0" applyNumberFormat="1" applyFont="1" applyFill="1" applyBorder="1" applyAlignment="1">
      <alignment vertical="center" shrinkToFit="1"/>
    </xf>
    <xf numFmtId="2" fontId="28" fillId="0" borderId="57" xfId="0" applyNumberFormat="1" applyFont="1" applyFill="1" applyBorder="1" applyAlignment="1">
      <alignment shrinkToFit="1"/>
    </xf>
    <xf numFmtId="2" fontId="28" fillId="0" borderId="78" xfId="0" applyNumberFormat="1" applyFont="1" applyFill="1" applyBorder="1" applyAlignment="1">
      <alignment shrinkToFit="1"/>
    </xf>
    <xf numFmtId="2" fontId="30" fillId="0" borderId="61" xfId="0" applyNumberFormat="1" applyFont="1" applyFill="1" applyBorder="1" applyAlignment="1">
      <alignment shrinkToFit="1"/>
    </xf>
    <xf numFmtId="2" fontId="28" fillId="0" borderId="54" xfId="0" applyNumberFormat="1" applyFont="1" applyFill="1" applyBorder="1" applyAlignment="1">
      <alignment shrinkToFit="1"/>
    </xf>
    <xf numFmtId="0" fontId="28" fillId="0" borderId="0" xfId="0" applyFont="1" applyAlignment="1">
      <alignment/>
    </xf>
    <xf numFmtId="0" fontId="30" fillId="0" borderId="31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44" xfId="0" applyFont="1" applyBorder="1" applyAlignment="1" quotePrefix="1">
      <alignment horizontal="center" vertical="center" wrapText="1"/>
    </xf>
    <xf numFmtId="3" fontId="18" fillId="0" borderId="55" xfId="69" applyNumberFormat="1" applyFont="1" applyFill="1" applyBorder="1" applyAlignment="1">
      <alignment horizontal="center" vertical="center"/>
      <protection/>
    </xf>
    <xf numFmtId="2" fontId="27" fillId="0" borderId="62" xfId="69" applyNumberFormat="1" applyFont="1" applyFill="1" applyBorder="1" applyAlignment="1">
      <alignment horizontal="center" vertical="center"/>
      <protection/>
    </xf>
    <xf numFmtId="3" fontId="20" fillId="0" borderId="58" xfId="69" applyNumberFormat="1" applyFont="1" applyFill="1" applyBorder="1" applyAlignment="1">
      <alignment horizontal="center" vertical="center"/>
      <protection/>
    </xf>
    <xf numFmtId="3" fontId="20" fillId="0" borderId="27" xfId="69" applyNumberFormat="1" applyFont="1" applyFill="1" applyBorder="1" applyAlignment="1">
      <alignment horizontal="center" vertical="center"/>
      <protection/>
    </xf>
    <xf numFmtId="3" fontId="20" fillId="0" borderId="41" xfId="69" applyNumberFormat="1" applyFont="1" applyFill="1" applyBorder="1" applyAlignment="1">
      <alignment horizontal="center" vertical="center"/>
      <protection/>
    </xf>
    <xf numFmtId="3" fontId="27" fillId="0" borderId="41" xfId="69" applyNumberFormat="1" applyFont="1" applyFill="1" applyBorder="1" applyAlignment="1">
      <alignment horizontal="left" vertical="center" wrapText="1" indent="1" shrinkToFit="1"/>
      <protection/>
    </xf>
    <xf numFmtId="3" fontId="20" fillId="0" borderId="27" xfId="69" applyNumberFormat="1" applyFont="1" applyFill="1" applyBorder="1" applyAlignment="1">
      <alignment horizontal="center" vertical="center"/>
      <protection/>
    </xf>
    <xf numFmtId="3" fontId="29" fillId="0" borderId="27" xfId="69" applyNumberFormat="1" applyFont="1" applyFill="1" applyBorder="1" applyAlignment="1">
      <alignment horizontal="left" vertical="center" wrapText="1"/>
      <protection/>
    </xf>
    <xf numFmtId="3" fontId="20" fillId="0" borderId="58" xfId="69" applyNumberFormat="1" applyFont="1" applyFill="1" applyBorder="1" applyAlignment="1">
      <alignment horizontal="center" vertical="center"/>
      <protection/>
    </xf>
    <xf numFmtId="3" fontId="18" fillId="0" borderId="41" xfId="69" applyNumberFormat="1" applyFont="1" applyFill="1" applyBorder="1" applyAlignment="1">
      <alignment horizontal="center" vertical="center"/>
      <protection/>
    </xf>
    <xf numFmtId="3" fontId="18" fillId="0" borderId="58" xfId="69" applyNumberFormat="1" applyFont="1" applyFill="1" applyBorder="1" applyAlignment="1">
      <alignment horizontal="center" vertical="center"/>
      <protection/>
    </xf>
    <xf numFmtId="3" fontId="27" fillId="0" borderId="41" xfId="69" applyNumberFormat="1" applyFont="1" applyFill="1" applyBorder="1" applyAlignment="1">
      <alignment horizontal="left" vertical="center" wrapText="1" indent="1"/>
      <protection/>
    </xf>
    <xf numFmtId="49" fontId="16" fillId="0" borderId="31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shrinkToFit="1"/>
    </xf>
    <xf numFmtId="3" fontId="9" fillId="0" borderId="14" xfId="0" applyNumberFormat="1" applyFont="1" applyFill="1" applyBorder="1" applyAlignment="1">
      <alignment horizontal="right" vertical="center" shrinkToFit="1"/>
    </xf>
    <xf numFmtId="3" fontId="10" fillId="0" borderId="15" xfId="0" applyNumberFormat="1" applyFont="1" applyFill="1" applyBorder="1" applyAlignment="1">
      <alignment horizontal="right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80" xfId="0" applyFont="1" applyBorder="1" applyAlignment="1">
      <alignment/>
    </xf>
    <xf numFmtId="0" fontId="34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vertical="center" shrinkToFit="1"/>
    </xf>
    <xf numFmtId="3" fontId="33" fillId="0" borderId="0" xfId="0" applyNumberFormat="1" applyFont="1" applyFill="1" applyAlignment="1">
      <alignment horizontal="right" vertical="center" shrinkToFit="1"/>
    </xf>
    <xf numFmtId="0" fontId="41" fillId="0" borderId="29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33" fillId="0" borderId="29" xfId="0" applyFont="1" applyFill="1" applyBorder="1" applyAlignment="1">
      <alignment vertical="center" shrinkToFit="1"/>
    </xf>
    <xf numFmtId="0" fontId="34" fillId="0" borderId="29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33" fillId="0" borderId="29" xfId="0" applyFont="1" applyFill="1" applyBorder="1" applyAlignment="1">
      <alignment horizontal="justify" vertical="center" shrinkToFit="1"/>
    </xf>
    <xf numFmtId="0" fontId="42" fillId="0" borderId="81" xfId="0" applyFont="1" applyFill="1" applyBorder="1" applyAlignment="1">
      <alignment vertical="center" shrinkToFit="1"/>
    </xf>
    <xf numFmtId="0" fontId="42" fillId="0" borderId="82" xfId="0" applyFont="1" applyFill="1" applyBorder="1" applyAlignment="1">
      <alignment vertical="center" shrinkToFit="1"/>
    </xf>
    <xf numFmtId="0" fontId="42" fillId="0" borderId="28" xfId="0" applyFont="1" applyFill="1" applyBorder="1" applyAlignment="1">
      <alignment vertical="center" shrinkToFit="1"/>
    </xf>
    <xf numFmtId="0" fontId="42" fillId="0" borderId="54" xfId="0" applyFont="1" applyFill="1" applyBorder="1" applyAlignment="1">
      <alignment vertical="center" shrinkToFit="1"/>
    </xf>
    <xf numFmtId="2" fontId="28" fillId="0" borderId="58" xfId="0" applyNumberFormat="1" applyFont="1" applyFill="1" applyBorder="1" applyAlignment="1">
      <alignment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83" xfId="0" applyFont="1" applyFill="1" applyBorder="1" applyAlignment="1">
      <alignment vertical="center" shrinkToFit="1"/>
    </xf>
    <xf numFmtId="0" fontId="8" fillId="0" borderId="84" xfId="0" applyFont="1" applyFill="1" applyBorder="1" applyAlignment="1">
      <alignment vertical="center" shrinkToFit="1"/>
    </xf>
    <xf numFmtId="0" fontId="33" fillId="0" borderId="31" xfId="0" applyFont="1" applyFill="1" applyBorder="1" applyAlignment="1">
      <alignment horizontal="center" vertical="center" shrinkToFit="1"/>
    </xf>
    <xf numFmtId="3" fontId="27" fillId="0" borderId="41" xfId="64" applyNumberFormat="1" applyFont="1" applyFill="1" applyBorder="1" applyAlignment="1">
      <alignment vertical="center" shrinkToFit="1"/>
      <protection/>
    </xf>
    <xf numFmtId="3" fontId="16" fillId="0" borderId="69" xfId="69" applyNumberFormat="1" applyFont="1" applyFill="1" applyBorder="1" applyAlignment="1">
      <alignment horizontal="center" vertical="center"/>
      <protection/>
    </xf>
    <xf numFmtId="3" fontId="16" fillId="0" borderId="70" xfId="69" applyNumberFormat="1" applyFont="1" applyFill="1" applyBorder="1" applyAlignment="1">
      <alignment horizontal="center" vertical="center"/>
      <protection/>
    </xf>
    <xf numFmtId="0" fontId="41" fillId="0" borderId="85" xfId="0" applyFont="1" applyFill="1" applyBorder="1" applyAlignment="1">
      <alignment horizontal="center" vertical="center" shrinkToFit="1"/>
    </xf>
    <xf numFmtId="49" fontId="28" fillId="0" borderId="41" xfId="0" applyNumberFormat="1" applyFont="1" applyFill="1" applyBorder="1" applyAlignment="1">
      <alignment horizontal="center" shrinkToFit="1"/>
    </xf>
    <xf numFmtId="49" fontId="28" fillId="0" borderId="44" xfId="0" applyNumberFormat="1" applyFont="1" applyFill="1" applyBorder="1" applyAlignment="1">
      <alignment horizontal="center" shrinkToFit="1"/>
    </xf>
    <xf numFmtId="3" fontId="16" fillId="0" borderId="67" xfId="69" applyNumberFormat="1" applyFont="1" applyFill="1" applyBorder="1" applyAlignment="1">
      <alignment horizontal="left" vertical="center"/>
      <protection/>
    </xf>
    <xf numFmtId="3" fontId="16" fillId="0" borderId="68" xfId="69" applyNumberFormat="1" applyFont="1" applyFill="1" applyBorder="1" applyAlignment="1">
      <alignment horizontal="left" vertical="center"/>
      <protection/>
    </xf>
    <xf numFmtId="3" fontId="16" fillId="0" borderId="69" xfId="69" applyNumberFormat="1" applyFont="1" applyFill="1" applyBorder="1" applyAlignment="1">
      <alignment horizontal="left" vertical="center"/>
      <protection/>
    </xf>
    <xf numFmtId="3" fontId="16" fillId="0" borderId="70" xfId="69" applyNumberFormat="1" applyFont="1" applyFill="1" applyBorder="1" applyAlignment="1">
      <alignment horizontal="left" vertical="center"/>
      <protection/>
    </xf>
    <xf numFmtId="3" fontId="27" fillId="0" borderId="27" xfId="69" applyNumberFormat="1" applyFont="1" applyFill="1" applyBorder="1" applyAlignment="1">
      <alignment horizontal="left" vertical="center" indent="1"/>
      <protection/>
    </xf>
    <xf numFmtId="3" fontId="27" fillId="0" borderId="27" xfId="69" applyNumberFormat="1" applyFont="1" applyFill="1" applyBorder="1" applyAlignment="1">
      <alignment horizontal="right" vertical="center"/>
      <protection/>
    </xf>
    <xf numFmtId="3" fontId="27" fillId="0" borderId="27" xfId="69" applyNumberFormat="1" applyFont="1" applyFill="1" applyBorder="1" applyAlignment="1">
      <alignment vertical="center"/>
      <protection/>
    </xf>
    <xf numFmtId="3" fontId="16" fillId="0" borderId="43" xfId="69" applyNumberFormat="1" applyFont="1" applyFill="1" applyBorder="1" applyAlignment="1">
      <alignment horizontal="left" vertical="center"/>
      <protection/>
    </xf>
    <xf numFmtId="3" fontId="16" fillId="0" borderId="44" xfId="69" applyNumberFormat="1" applyFont="1" applyFill="1" applyBorder="1" applyAlignment="1">
      <alignment horizontal="left" vertical="center"/>
      <protection/>
    </xf>
    <xf numFmtId="3" fontId="18" fillId="0" borderId="41" xfId="69" applyNumberFormat="1" applyFont="1" applyFill="1" applyBorder="1" applyAlignment="1">
      <alignment vertical="center"/>
      <protection/>
    </xf>
    <xf numFmtId="49" fontId="28" fillId="0" borderId="38" xfId="0" applyNumberFormat="1" applyFont="1" applyFill="1" applyBorder="1" applyAlignment="1">
      <alignment horizontal="center" shrinkToFit="1"/>
    </xf>
    <xf numFmtId="3" fontId="20" fillId="0" borderId="41" xfId="69" applyNumberFormat="1" applyFont="1" applyFill="1" applyBorder="1" applyAlignment="1">
      <alignment horizontal="left" vertical="center"/>
      <protection/>
    </xf>
    <xf numFmtId="3" fontId="20" fillId="0" borderId="41" xfId="69" applyNumberFormat="1" applyFont="1" applyFill="1" applyBorder="1" applyAlignment="1">
      <alignment horizontal="center" vertical="center"/>
      <protection/>
    </xf>
    <xf numFmtId="49" fontId="28" fillId="0" borderId="70" xfId="0" applyNumberFormat="1" applyFont="1" applyFill="1" applyBorder="1" applyAlignment="1">
      <alignment horizontal="center" shrinkToFit="1"/>
    </xf>
    <xf numFmtId="49" fontId="28" fillId="0" borderId="59" xfId="0" applyNumberFormat="1" applyFont="1" applyFill="1" applyBorder="1" applyAlignment="1">
      <alignment horizontal="center" shrinkToFit="1"/>
    </xf>
    <xf numFmtId="3" fontId="20" fillId="0" borderId="70" xfId="69" applyNumberFormat="1" applyFont="1" applyFill="1" applyBorder="1" applyAlignment="1">
      <alignment horizontal="center" vertical="center"/>
      <protection/>
    </xf>
    <xf numFmtId="1" fontId="20" fillId="0" borderId="41" xfId="69" applyNumberFormat="1" applyFont="1" applyFill="1" applyBorder="1" applyAlignment="1">
      <alignment horizontal="center" vertical="center"/>
      <protection/>
    </xf>
    <xf numFmtId="3" fontId="35" fillId="0" borderId="58" xfId="69" applyNumberFormat="1" applyFont="1" applyFill="1" applyBorder="1" applyAlignment="1">
      <alignment horizontal="right" vertical="center"/>
      <protection/>
    </xf>
    <xf numFmtId="3" fontId="27" fillId="0" borderId="41" xfId="69" applyNumberFormat="1" applyFont="1" applyFill="1" applyBorder="1" applyAlignment="1">
      <alignment vertical="center" shrinkToFit="1"/>
      <protection/>
    </xf>
    <xf numFmtId="3" fontId="35" fillId="0" borderId="41" xfId="69" applyNumberFormat="1" applyFont="1" applyFill="1" applyBorder="1" applyAlignment="1">
      <alignment horizontal="right" vertical="center"/>
      <protection/>
    </xf>
    <xf numFmtId="2" fontId="29" fillId="0" borderId="0" xfId="69" applyNumberFormat="1" applyFont="1" applyFill="1" applyBorder="1" applyAlignment="1">
      <alignment horizontal="center" vertical="center"/>
      <protection/>
    </xf>
    <xf numFmtId="2" fontId="29" fillId="0" borderId="0" xfId="69" applyNumberFormat="1" applyFont="1" applyFill="1" applyAlignment="1">
      <alignment horizontal="center" vertical="center"/>
      <protection/>
    </xf>
    <xf numFmtId="3" fontId="20" fillId="0" borderId="70" xfId="69" applyNumberFormat="1" applyFont="1" applyFill="1" applyBorder="1" applyAlignment="1">
      <alignment horizontal="center" vertical="center"/>
      <protection/>
    </xf>
    <xf numFmtId="3" fontId="18" fillId="0" borderId="27" xfId="69" applyNumberFormat="1" applyFont="1" applyFill="1" applyBorder="1" applyAlignment="1">
      <alignment vertical="center"/>
      <protection/>
    </xf>
    <xf numFmtId="3" fontId="29" fillId="0" borderId="27" xfId="69" applyNumberFormat="1" applyFont="1" applyFill="1" applyBorder="1" applyAlignment="1">
      <alignment horizontal="left" vertical="center" indent="1"/>
      <protection/>
    </xf>
    <xf numFmtId="3" fontId="20" fillId="0" borderId="59" xfId="69" applyNumberFormat="1" applyFont="1" applyFill="1" applyBorder="1" applyAlignment="1">
      <alignment horizontal="center" vertical="center"/>
      <protection/>
    </xf>
    <xf numFmtId="3" fontId="16" fillId="0" borderId="40" xfId="69" applyNumberFormat="1" applyFont="1" applyFill="1" applyBorder="1" applyAlignment="1">
      <alignment horizontal="center" vertical="center"/>
      <protection/>
    </xf>
    <xf numFmtId="3" fontId="16" fillId="0" borderId="41" xfId="69" applyNumberFormat="1" applyFont="1" applyFill="1" applyBorder="1" applyAlignment="1">
      <alignment horizontal="center" vertical="center"/>
      <protection/>
    </xf>
    <xf numFmtId="3" fontId="21" fillId="0" borderId="40" xfId="69" applyNumberFormat="1" applyFont="1" applyFill="1" applyBorder="1" applyAlignment="1">
      <alignment horizontal="center" vertical="center"/>
      <protection/>
    </xf>
    <xf numFmtId="3" fontId="21" fillId="0" borderId="69" xfId="69" applyNumberFormat="1" applyFont="1" applyFill="1" applyBorder="1" applyAlignment="1">
      <alignment horizontal="center" vertical="center"/>
      <protection/>
    </xf>
    <xf numFmtId="3" fontId="21" fillId="0" borderId="37" xfId="69" applyNumberFormat="1" applyFont="1" applyFill="1" applyBorder="1" applyAlignment="1">
      <alignment horizontal="center" vertical="center"/>
      <protection/>
    </xf>
    <xf numFmtId="49" fontId="30" fillId="0" borderId="41" xfId="0" applyNumberFormat="1" applyFont="1" applyFill="1" applyBorder="1" applyAlignment="1">
      <alignment horizontal="center" shrinkToFit="1"/>
    </xf>
    <xf numFmtId="49" fontId="30" fillId="0" borderId="70" xfId="0" applyNumberFormat="1" applyFont="1" applyFill="1" applyBorder="1" applyAlignment="1">
      <alignment horizontal="center" shrinkToFit="1"/>
    </xf>
    <xf numFmtId="3" fontId="21" fillId="0" borderId="38" xfId="69" applyNumberFormat="1" applyFont="1" applyFill="1" applyBorder="1" applyAlignment="1">
      <alignment vertical="center"/>
      <protection/>
    </xf>
    <xf numFmtId="49" fontId="30" fillId="0" borderId="38" xfId="0" applyNumberFormat="1" applyFont="1" applyFill="1" applyBorder="1" applyAlignment="1">
      <alignment horizontal="center" shrinkToFit="1"/>
    </xf>
    <xf numFmtId="3" fontId="21" fillId="0" borderId="41" xfId="69" applyNumberFormat="1" applyFont="1" applyFill="1" applyBorder="1" applyAlignment="1">
      <alignment vertical="center"/>
      <protection/>
    </xf>
    <xf numFmtId="3" fontId="21" fillId="0" borderId="70" xfId="69" applyNumberFormat="1" applyFont="1" applyFill="1" applyBorder="1" applyAlignment="1">
      <alignment vertical="center"/>
      <protection/>
    </xf>
    <xf numFmtId="3" fontId="34" fillId="0" borderId="86" xfId="0" applyNumberFormat="1" applyFont="1" applyFill="1" applyBorder="1" applyAlignment="1">
      <alignment horizontal="right" vertical="center" shrinkToFit="1"/>
    </xf>
    <xf numFmtId="3" fontId="34" fillId="0" borderId="58" xfId="0" applyNumberFormat="1" applyFont="1" applyFill="1" applyBorder="1" applyAlignment="1">
      <alignment horizontal="right" vertical="center" shrinkToFit="1"/>
    </xf>
    <xf numFmtId="3" fontId="34" fillId="0" borderId="87" xfId="0" applyNumberFormat="1" applyFont="1" applyFill="1" applyBorder="1" applyAlignment="1">
      <alignment horizontal="right" vertical="center" shrinkToFit="1"/>
    </xf>
    <xf numFmtId="3" fontId="34" fillId="0" borderId="61" xfId="0" applyNumberFormat="1" applyFont="1" applyFill="1" applyBorder="1" applyAlignment="1">
      <alignment horizontal="right" vertical="center" shrinkToFit="1"/>
    </xf>
    <xf numFmtId="3" fontId="33" fillId="0" borderId="88" xfId="0" applyNumberFormat="1" applyFont="1" applyFill="1" applyBorder="1" applyAlignment="1">
      <alignment horizontal="right" vertical="center" shrinkToFit="1"/>
    </xf>
    <xf numFmtId="3" fontId="33" fillId="0" borderId="89" xfId="0" applyNumberFormat="1" applyFont="1" applyFill="1" applyBorder="1" applyAlignment="1">
      <alignment horizontal="right" vertical="center" shrinkToFit="1"/>
    </xf>
    <xf numFmtId="3" fontId="33" fillId="0" borderId="89" xfId="0" applyNumberFormat="1" applyFont="1" applyBorder="1" applyAlignment="1">
      <alignment horizontal="right"/>
    </xf>
    <xf numFmtId="3" fontId="42" fillId="0" borderId="88" xfId="0" applyNumberFormat="1" applyFont="1" applyFill="1" applyBorder="1" applyAlignment="1">
      <alignment horizontal="right" vertical="center" shrinkToFit="1"/>
    </xf>
    <xf numFmtId="3" fontId="33" fillId="0" borderId="88" xfId="0" applyNumberFormat="1" applyFont="1" applyBorder="1" applyAlignment="1">
      <alignment horizontal="right"/>
    </xf>
    <xf numFmtId="3" fontId="34" fillId="0" borderId="35" xfId="0" applyNumberFormat="1" applyFont="1" applyFill="1" applyBorder="1" applyAlignment="1">
      <alignment horizontal="center" vertical="center" shrinkToFit="1"/>
    </xf>
    <xf numFmtId="3" fontId="34" fillId="0" borderId="27" xfId="0" applyNumberFormat="1" applyFont="1" applyFill="1" applyBorder="1" applyAlignment="1">
      <alignment horizontal="right" vertical="center" shrinkToFit="1"/>
    </xf>
    <xf numFmtId="3" fontId="33" fillId="0" borderId="57" xfId="0" applyNumberFormat="1" applyFont="1" applyFill="1" applyBorder="1" applyAlignment="1">
      <alignment horizontal="right" vertical="center" shrinkToFit="1"/>
    </xf>
    <xf numFmtId="3" fontId="33" fillId="0" borderId="78" xfId="0" applyNumberFormat="1" applyFont="1" applyFill="1" applyBorder="1" applyAlignment="1">
      <alignment horizontal="right" vertical="center" shrinkToFit="1"/>
    </xf>
    <xf numFmtId="3" fontId="33" fillId="0" borderId="80" xfId="0" applyNumberFormat="1" applyFont="1" applyFill="1" applyBorder="1" applyAlignment="1">
      <alignment horizontal="right" vertical="center" shrinkToFit="1"/>
    </xf>
    <xf numFmtId="3" fontId="33" fillId="0" borderId="58" xfId="0" applyNumberFormat="1" applyFont="1" applyFill="1" applyBorder="1" applyAlignment="1">
      <alignment horizontal="right" vertical="center" shrinkToFit="1"/>
    </xf>
    <xf numFmtId="3" fontId="33" fillId="0" borderId="90" xfId="0" applyNumberFormat="1" applyFont="1" applyFill="1" applyBorder="1" applyAlignment="1">
      <alignment horizontal="right" vertical="center" shrinkToFit="1"/>
    </xf>
    <xf numFmtId="3" fontId="28" fillId="0" borderId="38" xfId="0" applyNumberFormat="1" applyFont="1" applyFill="1" applyBorder="1" applyAlignment="1">
      <alignment vertical="center"/>
    </xf>
    <xf numFmtId="3" fontId="15" fillId="0" borderId="38" xfId="0" applyNumberFormat="1" applyFont="1" applyFill="1" applyBorder="1" applyAlignment="1">
      <alignment horizontal="right" vertical="center"/>
    </xf>
    <xf numFmtId="3" fontId="16" fillId="0" borderId="39" xfId="0" applyNumberFormat="1" applyFont="1" applyFill="1" applyBorder="1" applyAlignment="1">
      <alignment horizontal="right" vertical="center"/>
    </xf>
    <xf numFmtId="3" fontId="15" fillId="0" borderId="41" xfId="0" applyNumberFormat="1" applyFont="1" applyFill="1" applyBorder="1" applyAlignment="1">
      <alignment horizontal="right" vertical="center"/>
    </xf>
    <xf numFmtId="3" fontId="16" fillId="0" borderId="91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horizontal="left" vertical="center" wrapText="1"/>
    </xf>
    <xf numFmtId="3" fontId="16" fillId="0" borderId="41" xfId="0" applyNumberFormat="1" applyFont="1" applyFill="1" applyBorder="1" applyAlignment="1">
      <alignment horizontal="right" vertical="center"/>
    </xf>
    <xf numFmtId="49" fontId="30" fillId="0" borderId="92" xfId="0" applyNumberFormat="1" applyFont="1" applyFill="1" applyBorder="1" applyAlignment="1">
      <alignment horizontal="center" shrinkToFit="1"/>
    </xf>
    <xf numFmtId="3" fontId="16" fillId="0" borderId="92" xfId="0" applyNumberFormat="1" applyFont="1" applyFill="1" applyBorder="1" applyAlignment="1">
      <alignment horizontal="right" vertical="center"/>
    </xf>
    <xf numFmtId="3" fontId="16" fillId="0" borderId="93" xfId="0" applyNumberFormat="1" applyFont="1" applyFill="1" applyBorder="1" applyAlignment="1">
      <alignment horizontal="right" vertical="center"/>
    </xf>
    <xf numFmtId="49" fontId="28" fillId="0" borderId="94" xfId="0" applyNumberFormat="1" applyFont="1" applyFill="1" applyBorder="1" applyAlignment="1">
      <alignment horizontal="center" shrinkToFit="1"/>
    </xf>
    <xf numFmtId="49" fontId="28" fillId="0" borderId="92" xfId="0" applyNumberFormat="1" applyFont="1" applyFill="1" applyBorder="1" applyAlignment="1">
      <alignment horizontal="center" shrinkToFit="1"/>
    </xf>
    <xf numFmtId="3" fontId="16" fillId="0" borderId="94" xfId="0" applyNumberFormat="1" applyFont="1" applyFill="1" applyBorder="1" applyAlignment="1">
      <alignment horizontal="right" vertical="center"/>
    </xf>
    <xf numFmtId="3" fontId="16" fillId="0" borderId="95" xfId="0" applyNumberFormat="1" applyFont="1" applyFill="1" applyBorder="1" applyAlignment="1">
      <alignment horizontal="right" vertical="center"/>
    </xf>
    <xf numFmtId="3" fontId="16" fillId="0" borderId="42" xfId="0" applyNumberFormat="1" applyFont="1" applyFill="1" applyBorder="1" applyAlignment="1">
      <alignment horizontal="right" vertical="center"/>
    </xf>
    <xf numFmtId="3" fontId="16" fillId="0" borderId="96" xfId="0" applyNumberFormat="1" applyFont="1" applyFill="1" applyBorder="1" applyAlignment="1">
      <alignment horizontal="right" vertical="center"/>
    </xf>
    <xf numFmtId="3" fontId="16" fillId="0" borderId="81" xfId="0" applyNumberFormat="1" applyFont="1" applyFill="1" applyBorder="1" applyAlignment="1">
      <alignment horizontal="center" vertical="center"/>
    </xf>
    <xf numFmtId="3" fontId="16" fillId="0" borderId="82" xfId="0" applyNumberFormat="1" applyFont="1" applyFill="1" applyBorder="1" applyAlignment="1">
      <alignment horizontal="center" vertical="center"/>
    </xf>
    <xf numFmtId="3" fontId="16" fillId="0" borderId="97" xfId="0" applyNumberFormat="1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horizontal="right" vertical="center" shrinkToFit="1"/>
    </xf>
    <xf numFmtId="3" fontId="28" fillId="0" borderId="41" xfId="0" applyNumberFormat="1" applyFont="1" applyFill="1" applyBorder="1" applyAlignment="1">
      <alignment horizontal="right" vertical="center" shrinkToFit="1"/>
    </xf>
    <xf numFmtId="3" fontId="30" fillId="0" borderId="98" xfId="0" applyNumberFormat="1" applyFont="1" applyFill="1" applyBorder="1" applyAlignment="1">
      <alignment vertical="center"/>
    </xf>
    <xf numFmtId="3" fontId="28" fillId="0" borderId="58" xfId="0" applyNumberFormat="1" applyFont="1" applyFill="1" applyBorder="1" applyAlignment="1">
      <alignment vertical="center"/>
    </xf>
    <xf numFmtId="3" fontId="36" fillId="0" borderId="41" xfId="0" applyNumberFormat="1" applyFont="1" applyFill="1" applyBorder="1" applyAlignment="1">
      <alignment horizontal="left" vertical="center"/>
    </xf>
    <xf numFmtId="49" fontId="30" fillId="0" borderId="68" xfId="0" applyNumberFormat="1" applyFont="1" applyFill="1" applyBorder="1" applyAlignment="1">
      <alignment horizontal="center" shrinkToFit="1"/>
    </xf>
    <xf numFmtId="3" fontId="16" fillId="0" borderId="27" xfId="0" applyNumberFormat="1" applyFont="1" applyFill="1" applyBorder="1" applyAlignment="1">
      <alignment horizontal="right" vertical="center"/>
    </xf>
    <xf numFmtId="3" fontId="16" fillId="0" borderId="76" xfId="0" applyNumberFormat="1" applyFont="1" applyFill="1" applyBorder="1" applyAlignment="1">
      <alignment horizontal="right" vertical="center"/>
    </xf>
    <xf numFmtId="49" fontId="30" fillId="0" borderId="94" xfId="0" applyNumberFormat="1" applyFont="1" applyFill="1" applyBorder="1" applyAlignment="1">
      <alignment horizontal="center" shrinkToFit="1"/>
    </xf>
    <xf numFmtId="3" fontId="12" fillId="0" borderId="94" xfId="0" applyNumberFormat="1" applyFont="1" applyFill="1" applyBorder="1" applyAlignment="1">
      <alignment horizontal="right" shrinkToFit="1"/>
    </xf>
    <xf numFmtId="3" fontId="12" fillId="0" borderId="99" xfId="0" applyNumberFormat="1" applyFont="1" applyFill="1" applyBorder="1" applyAlignment="1">
      <alignment horizontal="right" shrinkToFit="1"/>
    </xf>
    <xf numFmtId="3" fontId="12" fillId="0" borderId="41" xfId="0" applyNumberFormat="1" applyFont="1" applyFill="1" applyBorder="1" applyAlignment="1">
      <alignment horizontal="right" shrinkToFit="1"/>
    </xf>
    <xf numFmtId="3" fontId="12" fillId="0" borderId="42" xfId="0" applyNumberFormat="1" applyFont="1" applyFill="1" applyBorder="1" applyAlignment="1">
      <alignment horizontal="right" shrinkToFit="1"/>
    </xf>
    <xf numFmtId="3" fontId="15" fillId="0" borderId="27" xfId="0" applyNumberFormat="1" applyFont="1" applyBorder="1" applyAlignment="1">
      <alignment vertical="center" wrapText="1"/>
    </xf>
    <xf numFmtId="3" fontId="16" fillId="0" borderId="76" xfId="0" applyNumberFormat="1" applyFont="1" applyBorder="1" applyAlignment="1">
      <alignment vertical="center" wrapText="1"/>
    </xf>
    <xf numFmtId="3" fontId="15" fillId="0" borderId="41" xfId="0" applyNumberFormat="1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0" fontId="0" fillId="0" borderId="69" xfId="0" applyBorder="1" applyAlignment="1">
      <alignment/>
    </xf>
    <xf numFmtId="3" fontId="16" fillId="0" borderId="99" xfId="0" applyNumberFormat="1" applyFont="1" applyFill="1" applyBorder="1" applyAlignment="1">
      <alignment horizontal="right" vertical="center"/>
    </xf>
    <xf numFmtId="3" fontId="16" fillId="0" borderId="100" xfId="0" applyNumberFormat="1" applyFont="1" applyFill="1" applyBorder="1" applyAlignment="1">
      <alignment horizontal="right" vertical="center"/>
    </xf>
    <xf numFmtId="3" fontId="16" fillId="0" borderId="101" xfId="0" applyNumberFormat="1" applyFont="1" applyFill="1" applyBorder="1" applyAlignment="1">
      <alignment horizontal="center" vertical="center"/>
    </xf>
    <xf numFmtId="3" fontId="16" fillId="0" borderId="102" xfId="0" applyNumberFormat="1" applyFont="1" applyFill="1" applyBorder="1" applyAlignment="1">
      <alignment horizontal="center" vertical="center"/>
    </xf>
    <xf numFmtId="3" fontId="16" fillId="0" borderId="103" xfId="0" applyNumberFormat="1" applyFont="1" applyFill="1" applyBorder="1" applyAlignment="1">
      <alignment horizontal="center" vertical="center"/>
    </xf>
    <xf numFmtId="3" fontId="15" fillId="0" borderId="26" xfId="0" applyNumberFormat="1" applyFont="1" applyFill="1" applyBorder="1" applyAlignment="1">
      <alignment horizontal="center" vertical="center"/>
    </xf>
    <xf numFmtId="3" fontId="15" fillId="0" borderId="73" xfId="0" applyNumberFormat="1" applyFont="1" applyFill="1" applyBorder="1" applyAlignment="1">
      <alignment horizontal="center" vertical="center"/>
    </xf>
    <xf numFmtId="3" fontId="15" fillId="0" borderId="28" xfId="0" applyNumberFormat="1" applyFont="1" applyFill="1" applyBorder="1" applyAlignment="1">
      <alignment horizontal="center" vertical="center"/>
    </xf>
    <xf numFmtId="3" fontId="15" fillId="0" borderId="79" xfId="0" applyNumberFormat="1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shrinkToFit="1"/>
    </xf>
    <xf numFmtId="0" fontId="11" fillId="0" borderId="55" xfId="0" applyFont="1" applyFill="1" applyBorder="1" applyAlignment="1">
      <alignment shrinkToFit="1"/>
    </xf>
    <xf numFmtId="0" fontId="13" fillId="0" borderId="104" xfId="0" applyFont="1" applyFill="1" applyBorder="1" applyAlignment="1">
      <alignment horizontal="right" shrinkToFit="1"/>
    </xf>
    <xf numFmtId="0" fontId="13" fillId="0" borderId="55" xfId="0" applyFont="1" applyFill="1" applyBorder="1" applyAlignment="1">
      <alignment horizontal="right" shrinkToFit="1"/>
    </xf>
    <xf numFmtId="0" fontId="13" fillId="0" borderId="105" xfId="0" applyFont="1" applyFill="1" applyBorder="1" applyAlignment="1">
      <alignment horizontal="right" shrinkToFit="1"/>
    </xf>
    <xf numFmtId="3" fontId="16" fillId="0" borderId="106" xfId="0" applyNumberFormat="1" applyFont="1" applyFill="1" applyBorder="1" applyAlignment="1">
      <alignment horizontal="right" vertical="center"/>
    </xf>
    <xf numFmtId="3" fontId="36" fillId="0" borderId="41" xfId="0" applyNumberFormat="1" applyFont="1" applyFill="1" applyBorder="1" applyAlignment="1">
      <alignment horizontal="right" vertical="center"/>
    </xf>
    <xf numFmtId="49" fontId="28" fillId="0" borderId="107" xfId="0" applyNumberFormat="1" applyFont="1" applyFill="1" applyBorder="1" applyAlignment="1">
      <alignment horizontal="center" shrinkToFit="1"/>
    </xf>
    <xf numFmtId="3" fontId="16" fillId="0" borderId="107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vertical="center" wrapText="1"/>
    </xf>
    <xf numFmtId="3" fontId="28" fillId="0" borderId="41" xfId="0" applyNumberFormat="1" applyFont="1" applyFill="1" applyBorder="1" applyAlignment="1">
      <alignment horizontal="justify" vertical="center"/>
    </xf>
    <xf numFmtId="49" fontId="28" fillId="0" borderId="41" xfId="0" applyNumberFormat="1" applyFont="1" applyFill="1" applyBorder="1" applyAlignment="1">
      <alignment horizontal="left" shrinkToFit="1"/>
    </xf>
    <xf numFmtId="49" fontId="30" fillId="0" borderId="41" xfId="0" applyNumberFormat="1" applyFont="1" applyFill="1" applyBorder="1" applyAlignment="1">
      <alignment horizontal="left" shrinkToFit="1"/>
    </xf>
    <xf numFmtId="3" fontId="16" fillId="0" borderId="108" xfId="0" applyNumberFormat="1" applyFont="1" applyFill="1" applyBorder="1" applyAlignment="1">
      <alignment horizontal="center" vertical="center"/>
    </xf>
    <xf numFmtId="3" fontId="15" fillId="0" borderId="107" xfId="0" applyNumberFormat="1" applyFont="1" applyFill="1" applyBorder="1" applyAlignment="1">
      <alignment horizontal="right" vertical="center"/>
    </xf>
    <xf numFmtId="3" fontId="30" fillId="0" borderId="41" xfId="0" applyNumberFormat="1" applyFont="1" applyFill="1" applyBorder="1" applyAlignment="1">
      <alignment vertical="center" wrapText="1"/>
    </xf>
    <xf numFmtId="3" fontId="15" fillId="0" borderId="41" xfId="0" applyNumberFormat="1" applyFont="1" applyFill="1" applyBorder="1" applyAlignment="1">
      <alignment horizontal="right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6" fillId="0" borderId="62" xfId="0" applyNumberFormat="1" applyFont="1" applyFill="1" applyBorder="1" applyAlignment="1">
      <alignment horizontal="right" vertical="center"/>
    </xf>
    <xf numFmtId="3" fontId="16" fillId="0" borderId="26" xfId="0" applyNumberFormat="1" applyFont="1" applyFill="1" applyBorder="1" applyAlignment="1">
      <alignment horizontal="center" vertical="center"/>
    </xf>
    <xf numFmtId="3" fontId="16" fillId="0" borderId="109" xfId="0" applyNumberFormat="1" applyFont="1" applyFill="1" applyBorder="1" applyAlignment="1">
      <alignment horizontal="center" vertical="center"/>
    </xf>
    <xf numFmtId="3" fontId="28" fillId="0" borderId="110" xfId="0" applyNumberFormat="1" applyFont="1" applyFill="1" applyBorder="1" applyAlignment="1">
      <alignment horizontal="justify" vertical="center"/>
    </xf>
    <xf numFmtId="3" fontId="15" fillId="0" borderId="44" xfId="0" applyNumberFormat="1" applyFont="1" applyFill="1" applyBorder="1" applyAlignment="1">
      <alignment horizontal="right" vertical="center"/>
    </xf>
    <xf numFmtId="0" fontId="13" fillId="0" borderId="81" xfId="0" applyFont="1" applyFill="1" applyBorder="1" applyAlignment="1">
      <alignment horizontal="right" shrinkToFit="1"/>
    </xf>
    <xf numFmtId="0" fontId="13" fillId="0" borderId="102" xfId="0" applyFont="1" applyFill="1" applyBorder="1" applyAlignment="1">
      <alignment horizontal="right" shrinkToFit="1"/>
    </xf>
    <xf numFmtId="0" fontId="13" fillId="0" borderId="81" xfId="0" applyFont="1" applyFill="1" applyBorder="1" applyAlignment="1">
      <alignment vertical="center" shrinkToFit="1"/>
    </xf>
    <xf numFmtId="2" fontId="28" fillId="0" borderId="41" xfId="0" applyNumberFormat="1" applyFont="1" applyFill="1" applyBorder="1" applyAlignment="1">
      <alignment shrinkToFit="1"/>
    </xf>
    <xf numFmtId="2" fontId="44" fillId="0" borderId="41" xfId="0" applyNumberFormat="1" applyFont="1" applyFill="1" applyBorder="1" applyAlignment="1">
      <alignment vertical="center" shrinkToFit="1"/>
    </xf>
    <xf numFmtId="3" fontId="40" fillId="0" borderId="68" xfId="0" applyNumberFormat="1" applyFont="1" applyBorder="1" applyAlignment="1">
      <alignment/>
    </xf>
    <xf numFmtId="3" fontId="40" fillId="0" borderId="74" xfId="0" applyNumberFormat="1" applyFont="1" applyBorder="1" applyAlignment="1">
      <alignment/>
    </xf>
    <xf numFmtId="3" fontId="40" fillId="0" borderId="41" xfId="0" applyNumberFormat="1" applyFont="1" applyBorder="1" applyAlignment="1">
      <alignment/>
    </xf>
    <xf numFmtId="3" fontId="40" fillId="0" borderId="42" xfId="0" applyNumberFormat="1" applyFont="1" applyBorder="1" applyAlignment="1">
      <alignment/>
    </xf>
    <xf numFmtId="3" fontId="40" fillId="0" borderId="70" xfId="0" applyNumberFormat="1" applyFont="1" applyBorder="1" applyAlignment="1">
      <alignment/>
    </xf>
    <xf numFmtId="3" fontId="40" fillId="0" borderId="75" xfId="0" applyNumberFormat="1" applyFont="1" applyBorder="1" applyAlignment="1">
      <alignment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3" fontId="16" fillId="0" borderId="79" xfId="0" applyNumberFormat="1" applyFont="1" applyBorder="1" applyAlignment="1">
      <alignment vertical="center" wrapText="1"/>
    </xf>
    <xf numFmtId="3" fontId="16" fillId="0" borderId="77" xfId="0" applyNumberFormat="1" applyFont="1" applyBorder="1" applyAlignment="1">
      <alignment vertical="center" wrapText="1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>
      <alignment horizontal="justify" shrinkToFit="1"/>
    </xf>
    <xf numFmtId="0" fontId="30" fillId="0" borderId="0" xfId="0" applyFont="1" applyFill="1" applyAlignment="1">
      <alignment horizontal="justify" shrinkToFit="1"/>
    </xf>
    <xf numFmtId="0" fontId="28" fillId="0" borderId="0" xfId="0" applyFont="1" applyFill="1" applyAlignment="1">
      <alignment horizontal="right" shrinkToFit="1"/>
    </xf>
    <xf numFmtId="0" fontId="30" fillId="0" borderId="0" xfId="0" applyFont="1" applyFill="1" applyAlignment="1">
      <alignment horizontal="right" shrinkToFit="1"/>
    </xf>
    <xf numFmtId="0" fontId="28" fillId="0" borderId="26" xfId="0" applyFont="1" applyFill="1" applyBorder="1" applyAlignment="1">
      <alignment shrinkToFit="1"/>
    </xf>
    <xf numFmtId="0" fontId="28" fillId="0" borderId="73" xfId="0" applyFont="1" applyFill="1" applyBorder="1" applyAlignment="1">
      <alignment shrinkToFit="1"/>
    </xf>
    <xf numFmtId="0" fontId="28" fillId="0" borderId="27" xfId="0" applyFont="1" applyFill="1" applyBorder="1" applyAlignment="1">
      <alignment horizontal="justify" shrinkToFit="1"/>
    </xf>
    <xf numFmtId="0" fontId="30" fillId="0" borderId="56" xfId="0" applyFont="1" applyFill="1" applyBorder="1" applyAlignment="1">
      <alignment horizontal="justify" shrinkToFit="1"/>
    </xf>
    <xf numFmtId="0" fontId="30" fillId="0" borderId="58" xfId="0" applyFont="1" applyFill="1" applyBorder="1" applyAlignment="1">
      <alignment horizontal="center" shrinkToFit="1"/>
    </xf>
    <xf numFmtId="0" fontId="28" fillId="0" borderId="28" xfId="0" applyFont="1" applyFill="1" applyBorder="1" applyAlignment="1">
      <alignment shrinkToFit="1"/>
    </xf>
    <xf numFmtId="0" fontId="28" fillId="0" borderId="79" xfId="0" applyFont="1" applyFill="1" applyBorder="1" applyAlignment="1">
      <alignment shrinkToFit="1"/>
    </xf>
    <xf numFmtId="0" fontId="28" fillId="0" borderId="59" xfId="0" applyFont="1" applyFill="1" applyBorder="1" applyAlignment="1">
      <alignment horizontal="justify" shrinkToFit="1"/>
    </xf>
    <xf numFmtId="0" fontId="30" fillId="0" borderId="60" xfId="0" applyFont="1" applyFill="1" applyBorder="1" applyAlignment="1">
      <alignment horizontal="justify" shrinkToFit="1"/>
    </xf>
    <xf numFmtId="0" fontId="30" fillId="0" borderId="40" xfId="0" applyFont="1" applyFill="1" applyBorder="1" applyAlignment="1">
      <alignment vertical="center" shrinkToFit="1"/>
    </xf>
    <xf numFmtId="0" fontId="30" fillId="0" borderId="41" xfId="0" applyFont="1" applyFill="1" applyBorder="1" applyAlignment="1">
      <alignment vertical="center" shrinkToFit="1"/>
    </xf>
    <xf numFmtId="3" fontId="28" fillId="0" borderId="41" xfId="0" applyNumberFormat="1" applyFont="1" applyFill="1" applyBorder="1" applyAlignment="1">
      <alignment horizontal="justify" vertical="center" shrinkToFit="1"/>
    </xf>
    <xf numFmtId="3" fontId="30" fillId="0" borderId="42" xfId="0" applyNumberFormat="1" applyFont="1" applyFill="1" applyBorder="1" applyAlignment="1">
      <alignment horizontal="justify" vertical="center" shrinkToFit="1"/>
    </xf>
    <xf numFmtId="0" fontId="28" fillId="0" borderId="40" xfId="0" applyFont="1" applyFill="1" applyBorder="1" applyAlignment="1">
      <alignment horizontal="right" shrinkToFit="1"/>
    </xf>
    <xf numFmtId="0" fontId="28" fillId="0" borderId="41" xfId="0" applyFont="1" applyFill="1" applyBorder="1" applyAlignment="1">
      <alignment shrinkToFit="1"/>
    </xf>
    <xf numFmtId="3" fontId="28" fillId="0" borderId="41" xfId="0" applyNumberFormat="1" applyFont="1" applyFill="1" applyBorder="1" applyAlignment="1">
      <alignment horizontal="right" shrinkToFit="1"/>
    </xf>
    <xf numFmtId="3" fontId="30" fillId="0" borderId="42" xfId="0" applyNumberFormat="1" applyFont="1" applyFill="1" applyBorder="1" applyAlignment="1">
      <alignment horizontal="right" shrinkToFit="1"/>
    </xf>
    <xf numFmtId="0" fontId="28" fillId="0" borderId="29" xfId="0" applyFont="1" applyFill="1" applyBorder="1" applyAlignment="1">
      <alignment horizontal="right" shrinkToFit="1"/>
    </xf>
    <xf numFmtId="49" fontId="28" fillId="0" borderId="58" xfId="0" applyNumberFormat="1" applyFont="1" applyFill="1" applyBorder="1" applyAlignment="1">
      <alignment horizontal="left" shrinkToFit="1"/>
    </xf>
    <xf numFmtId="3" fontId="28" fillId="0" borderId="58" xfId="0" applyNumberFormat="1" applyFont="1" applyFill="1" applyBorder="1" applyAlignment="1">
      <alignment horizontal="right" shrinkToFit="1"/>
    </xf>
    <xf numFmtId="3" fontId="30" fillId="0" borderId="62" xfId="0" applyNumberFormat="1" applyFont="1" applyFill="1" applyBorder="1" applyAlignment="1">
      <alignment horizontal="right" shrinkToFit="1"/>
    </xf>
    <xf numFmtId="0" fontId="28" fillId="0" borderId="111" xfId="0" applyFont="1" applyFill="1" applyBorder="1" applyAlignment="1">
      <alignment horizontal="right" shrinkToFit="1"/>
    </xf>
    <xf numFmtId="49" fontId="28" fillId="0" borderId="58" xfId="0" applyNumberFormat="1" applyFont="1" applyFill="1" applyBorder="1" applyAlignment="1">
      <alignment horizontal="center" shrinkToFit="1"/>
    </xf>
    <xf numFmtId="3" fontId="30" fillId="0" borderId="45" xfId="0" applyNumberFormat="1" applyFont="1" applyFill="1" applyBorder="1" applyAlignment="1">
      <alignment horizontal="right" shrinkToFit="1"/>
    </xf>
    <xf numFmtId="0" fontId="30" fillId="0" borderId="30" xfId="0" applyFont="1" applyFill="1" applyBorder="1" applyAlignment="1">
      <alignment vertical="center" shrinkToFit="1"/>
    </xf>
    <xf numFmtId="0" fontId="30" fillId="0" borderId="61" xfId="0" applyFont="1" applyFill="1" applyBorder="1" applyAlignment="1">
      <alignment horizontal="center" vertical="center" shrinkToFit="1"/>
    </xf>
    <xf numFmtId="3" fontId="30" fillId="0" borderId="61" xfId="0" applyNumberFormat="1" applyFont="1" applyFill="1" applyBorder="1" applyAlignment="1">
      <alignment horizontal="right" vertical="center" shrinkToFit="1"/>
    </xf>
    <xf numFmtId="3" fontId="30" fillId="0" borderId="63" xfId="0" applyNumberFormat="1" applyFont="1" applyFill="1" applyBorder="1" applyAlignment="1">
      <alignment horizontal="right" vertical="center" shrinkToFit="1"/>
    </xf>
    <xf numFmtId="0" fontId="28" fillId="0" borderId="112" xfId="0" applyFont="1" applyFill="1" applyBorder="1" applyAlignment="1">
      <alignment shrinkToFit="1"/>
    </xf>
    <xf numFmtId="3" fontId="30" fillId="0" borderId="96" xfId="0" applyNumberFormat="1" applyFont="1" applyFill="1" applyBorder="1" applyAlignment="1">
      <alignment horizontal="right" shrinkToFit="1"/>
    </xf>
    <xf numFmtId="3" fontId="30" fillId="0" borderId="106" xfId="0" applyNumberFormat="1" applyFont="1" applyFill="1" applyBorder="1" applyAlignment="1">
      <alignment horizontal="right" shrinkToFit="1"/>
    </xf>
    <xf numFmtId="0" fontId="28" fillId="0" borderId="40" xfId="0" applyFont="1" applyFill="1" applyBorder="1" applyAlignment="1">
      <alignment shrinkToFit="1"/>
    </xf>
    <xf numFmtId="3" fontId="30" fillId="0" borderId="41" xfId="0" applyNumberFormat="1" applyFont="1" applyFill="1" applyBorder="1" applyAlignment="1">
      <alignment horizontal="right" shrinkToFit="1"/>
    </xf>
    <xf numFmtId="0" fontId="28" fillId="0" borderId="69" xfId="0" applyFont="1" applyFill="1" applyBorder="1" applyAlignment="1">
      <alignment shrinkToFit="1"/>
    </xf>
    <xf numFmtId="3" fontId="30" fillId="0" borderId="70" xfId="0" applyNumberFormat="1" applyFont="1" applyFill="1" applyBorder="1" applyAlignment="1">
      <alignment horizontal="right" shrinkToFit="1"/>
    </xf>
    <xf numFmtId="3" fontId="30" fillId="0" borderId="75" xfId="0" applyNumberFormat="1" applyFont="1" applyFill="1" applyBorder="1" applyAlignment="1">
      <alignment horizontal="right" shrinkToFit="1"/>
    </xf>
    <xf numFmtId="0" fontId="28" fillId="0" borderId="109" xfId="0" applyFont="1" applyFill="1" applyBorder="1" applyAlignment="1">
      <alignment shrinkToFit="1"/>
    </xf>
    <xf numFmtId="0" fontId="28" fillId="0" borderId="54" xfId="0" applyFont="1" applyFill="1" applyBorder="1" applyAlignment="1">
      <alignment shrinkToFit="1"/>
    </xf>
    <xf numFmtId="0" fontId="30" fillId="0" borderId="29" xfId="0" applyFont="1" applyFill="1" applyBorder="1" applyAlignment="1">
      <alignment vertical="center" shrinkToFit="1"/>
    </xf>
    <xf numFmtId="0" fontId="30" fillId="0" borderId="58" xfId="0" applyFont="1" applyFill="1" applyBorder="1" applyAlignment="1">
      <alignment vertical="center" shrinkToFit="1"/>
    </xf>
    <xf numFmtId="0" fontId="28" fillId="0" borderId="58" xfId="0" applyFont="1" applyFill="1" applyBorder="1" applyAlignment="1">
      <alignment horizontal="justify" vertical="center" shrinkToFit="1"/>
    </xf>
    <xf numFmtId="0" fontId="30" fillId="0" borderId="15" xfId="0" applyFont="1" applyFill="1" applyBorder="1" applyAlignment="1">
      <alignment horizontal="justify" vertical="center" shrinkToFit="1"/>
    </xf>
    <xf numFmtId="0" fontId="28" fillId="0" borderId="43" xfId="0" applyFont="1" applyFill="1" applyBorder="1" applyAlignment="1">
      <alignment horizontal="right" shrinkToFit="1"/>
    </xf>
    <xf numFmtId="3" fontId="30" fillId="0" borderId="15" xfId="0" applyNumberFormat="1" applyFont="1" applyFill="1" applyBorder="1" applyAlignment="1">
      <alignment horizontal="right" shrinkToFit="1"/>
    </xf>
    <xf numFmtId="0" fontId="28" fillId="0" borderId="37" xfId="0" applyFont="1" applyFill="1" applyBorder="1" applyAlignment="1">
      <alignment horizontal="right" shrinkToFit="1"/>
    </xf>
    <xf numFmtId="0" fontId="30" fillId="0" borderId="40" xfId="0" applyFont="1" applyFill="1" applyBorder="1" applyAlignment="1">
      <alignment horizontal="right" shrinkToFit="1"/>
    </xf>
    <xf numFmtId="0" fontId="30" fillId="0" borderId="102" xfId="0" applyFont="1" applyFill="1" applyBorder="1" applyAlignment="1">
      <alignment horizontal="right" shrinkToFit="1"/>
    </xf>
    <xf numFmtId="3" fontId="28" fillId="0" borderId="107" xfId="0" applyNumberFormat="1" applyFont="1" applyFill="1" applyBorder="1" applyAlignment="1">
      <alignment horizontal="right" shrinkToFit="1"/>
    </xf>
    <xf numFmtId="0" fontId="30" fillId="0" borderId="112" xfId="0" applyFont="1" applyFill="1" applyBorder="1" applyAlignment="1">
      <alignment vertical="center" shrinkToFit="1"/>
    </xf>
    <xf numFmtId="3" fontId="30" fillId="0" borderId="94" xfId="0" applyNumberFormat="1" applyFont="1" applyFill="1" applyBorder="1" applyAlignment="1">
      <alignment horizontal="right" vertical="center" shrinkToFit="1"/>
    </xf>
    <xf numFmtId="3" fontId="30" fillId="0" borderId="99" xfId="0" applyNumberFormat="1" applyFont="1" applyFill="1" applyBorder="1" applyAlignment="1">
      <alignment horizontal="right" vertical="center" shrinkToFit="1"/>
    </xf>
    <xf numFmtId="3" fontId="30" fillId="0" borderId="41" xfId="0" applyNumberFormat="1" applyFont="1" applyFill="1" applyBorder="1" applyAlignment="1">
      <alignment horizontal="right" vertical="center" shrinkToFit="1"/>
    </xf>
    <xf numFmtId="3" fontId="30" fillId="0" borderId="42" xfId="0" applyNumberFormat="1" applyFont="1" applyFill="1" applyBorder="1" applyAlignment="1">
      <alignment horizontal="right" vertical="center" shrinkToFit="1"/>
    </xf>
    <xf numFmtId="0" fontId="30" fillId="0" borderId="69" xfId="0" applyFont="1" applyFill="1" applyBorder="1" applyAlignment="1">
      <alignment vertical="center" shrinkToFit="1"/>
    </xf>
    <xf numFmtId="3" fontId="30" fillId="0" borderId="70" xfId="0" applyNumberFormat="1" applyFont="1" applyFill="1" applyBorder="1" applyAlignment="1">
      <alignment horizontal="right" vertical="center" shrinkToFit="1"/>
    </xf>
    <xf numFmtId="3" fontId="30" fillId="0" borderId="75" xfId="0" applyNumberFormat="1" applyFont="1" applyFill="1" applyBorder="1" applyAlignment="1">
      <alignment horizontal="right" vertical="center" shrinkToFit="1"/>
    </xf>
    <xf numFmtId="0" fontId="30" fillId="0" borderId="29" xfId="0" applyFont="1" applyFill="1" applyBorder="1" applyAlignment="1">
      <alignment horizontal="left" vertical="center" shrinkToFit="1"/>
    </xf>
    <xf numFmtId="3" fontId="28" fillId="0" borderId="27" xfId="0" applyNumberFormat="1" applyFont="1" applyFill="1" applyBorder="1" applyAlignment="1">
      <alignment horizontal="right" vertical="center" shrinkToFit="1"/>
    </xf>
    <xf numFmtId="3" fontId="30" fillId="0" borderId="56" xfId="0" applyNumberFormat="1" applyFont="1" applyFill="1" applyBorder="1" applyAlignment="1">
      <alignment horizontal="right" vertical="center" shrinkToFit="1"/>
    </xf>
    <xf numFmtId="0" fontId="28" fillId="0" borderId="40" xfId="0" applyFont="1" applyFill="1" applyBorder="1" applyAlignment="1">
      <alignment horizontal="right" vertical="center" shrinkToFit="1"/>
    </xf>
    <xf numFmtId="0" fontId="30" fillId="0" borderId="30" xfId="0" applyFont="1" applyFill="1" applyBorder="1" applyAlignment="1">
      <alignment horizontal="right" shrinkToFit="1"/>
    </xf>
    <xf numFmtId="0" fontId="30" fillId="0" borderId="61" xfId="0" applyFont="1" applyFill="1" applyBorder="1" applyAlignment="1">
      <alignment horizontal="center" shrinkToFit="1"/>
    </xf>
    <xf numFmtId="3" fontId="30" fillId="0" borderId="61" xfId="0" applyNumberFormat="1" applyFont="1" applyFill="1" applyBorder="1" applyAlignment="1">
      <alignment horizontal="right" shrinkToFit="1"/>
    </xf>
    <xf numFmtId="3" fontId="30" fillId="0" borderId="63" xfId="0" applyNumberFormat="1" applyFont="1" applyFill="1" applyBorder="1" applyAlignment="1">
      <alignment horizontal="right" shrinkToFit="1"/>
    </xf>
    <xf numFmtId="0" fontId="30" fillId="0" borderId="29" xfId="0" applyFont="1" applyFill="1" applyBorder="1" applyAlignment="1">
      <alignment horizontal="right" shrinkToFit="1"/>
    </xf>
    <xf numFmtId="3" fontId="30" fillId="0" borderId="94" xfId="0" applyNumberFormat="1" applyFont="1" applyFill="1" applyBorder="1" applyAlignment="1">
      <alignment horizontal="right" shrinkToFit="1"/>
    </xf>
    <xf numFmtId="3" fontId="30" fillId="0" borderId="99" xfId="0" applyNumberFormat="1" applyFont="1" applyFill="1" applyBorder="1" applyAlignment="1">
      <alignment horizontal="right" shrinkToFit="1"/>
    </xf>
    <xf numFmtId="0" fontId="30" fillId="0" borderId="69" xfId="0" applyFont="1" applyFill="1" applyBorder="1" applyAlignment="1">
      <alignment horizontal="right" shrinkToFit="1"/>
    </xf>
    <xf numFmtId="0" fontId="30" fillId="0" borderId="27" xfId="0" applyFont="1" applyFill="1" applyBorder="1" applyAlignment="1">
      <alignment horizontal="center" shrinkToFit="1"/>
    </xf>
    <xf numFmtId="0" fontId="30" fillId="0" borderId="86" xfId="0" applyFont="1" applyFill="1" applyBorder="1" applyAlignment="1">
      <alignment vertical="center" shrinkToFit="1"/>
    </xf>
    <xf numFmtId="0" fontId="28" fillId="0" borderId="68" xfId="0" applyFont="1" applyFill="1" applyBorder="1" applyAlignment="1">
      <alignment horizontal="justify" vertical="center" shrinkToFit="1"/>
    </xf>
    <xf numFmtId="0" fontId="30" fillId="0" borderId="74" xfId="0" applyFont="1" applyFill="1" applyBorder="1" applyAlignment="1">
      <alignment horizontal="justify" vertical="center" shrinkToFit="1"/>
    </xf>
    <xf numFmtId="0" fontId="28" fillId="0" borderId="40" xfId="0" applyFont="1" applyFill="1" applyBorder="1" applyAlignment="1">
      <alignment vertical="center" shrinkToFit="1"/>
    </xf>
    <xf numFmtId="0" fontId="28" fillId="0" borderId="113" xfId="0" applyFont="1" applyFill="1" applyBorder="1" applyAlignment="1">
      <alignment shrinkToFit="1"/>
    </xf>
    <xf numFmtId="0" fontId="28" fillId="0" borderId="41" xfId="0" applyFont="1" applyFill="1" applyBorder="1" applyAlignment="1">
      <alignment horizontal="justify" vertical="center" shrinkToFit="1"/>
    </xf>
    <xf numFmtId="0" fontId="30" fillId="0" borderId="42" xfId="0" applyFont="1" applyFill="1" applyBorder="1" applyAlignment="1">
      <alignment horizontal="justify" vertical="center" shrinkToFit="1"/>
    </xf>
    <xf numFmtId="49" fontId="28" fillId="0" borderId="114" xfId="0" applyNumberFormat="1" applyFont="1" applyFill="1" applyBorder="1" applyAlignment="1">
      <alignment horizontal="center" shrinkToFit="1"/>
    </xf>
    <xf numFmtId="0" fontId="28" fillId="0" borderId="41" xfId="0" applyFont="1" applyFill="1" applyBorder="1" applyAlignment="1">
      <alignment horizontal="right" vertical="center" shrinkToFit="1"/>
    </xf>
    <xf numFmtId="49" fontId="28" fillId="0" borderId="113" xfId="0" applyNumberFormat="1" applyFont="1" applyFill="1" applyBorder="1" applyAlignment="1">
      <alignment horizontal="center" shrinkToFit="1"/>
    </xf>
    <xf numFmtId="0" fontId="30" fillId="0" borderId="42" xfId="0" applyFont="1" applyFill="1" applyBorder="1" applyAlignment="1">
      <alignment horizontal="right" vertical="center" shrinkToFit="1"/>
    </xf>
    <xf numFmtId="3" fontId="46" fillId="0" borderId="41" xfId="0" applyNumberFormat="1" applyFont="1" applyFill="1" applyBorder="1" applyAlignment="1">
      <alignment horizontal="right" shrinkToFit="1"/>
    </xf>
    <xf numFmtId="0" fontId="28" fillId="0" borderId="43" xfId="0" applyFont="1" applyFill="1" applyBorder="1" applyAlignment="1">
      <alignment shrinkToFit="1"/>
    </xf>
    <xf numFmtId="49" fontId="28" fillId="0" borderId="0" xfId="0" applyNumberFormat="1" applyFont="1" applyFill="1" applyBorder="1" applyAlignment="1">
      <alignment horizontal="center" shrinkToFit="1"/>
    </xf>
    <xf numFmtId="3" fontId="28" fillId="0" borderId="44" xfId="0" applyNumberFormat="1" applyFont="1" applyFill="1" applyBorder="1" applyAlignment="1">
      <alignment horizontal="right" shrinkToFit="1"/>
    </xf>
    <xf numFmtId="0" fontId="28" fillId="0" borderId="44" xfId="0" applyFont="1" applyFill="1" applyBorder="1" applyAlignment="1">
      <alignment horizontal="right" shrinkToFit="1"/>
    </xf>
    <xf numFmtId="0" fontId="28" fillId="0" borderId="115" xfId="0" applyFont="1" applyFill="1" applyBorder="1" applyAlignment="1">
      <alignment shrinkToFit="1"/>
    </xf>
    <xf numFmtId="0" fontId="30" fillId="0" borderId="53" xfId="0" applyFont="1" applyFill="1" applyBorder="1" applyAlignment="1">
      <alignment horizontal="center" shrinkToFit="1"/>
    </xf>
    <xf numFmtId="0" fontId="28" fillId="0" borderId="61" xfId="0" applyFont="1" applyFill="1" applyBorder="1" applyAlignment="1">
      <alignment horizontal="right" shrinkToFit="1"/>
    </xf>
    <xf numFmtId="0" fontId="30" fillId="0" borderId="63" xfId="0" applyFont="1" applyFill="1" applyBorder="1" applyAlignment="1">
      <alignment horizontal="right" shrinkToFit="1"/>
    </xf>
    <xf numFmtId="0" fontId="30" fillId="0" borderId="37" xfId="0" applyFont="1" applyFill="1" applyBorder="1" applyAlignment="1">
      <alignment shrinkToFit="1"/>
    </xf>
    <xf numFmtId="49" fontId="30" fillId="0" borderId="114" xfId="0" applyNumberFormat="1" applyFont="1" applyFill="1" applyBorder="1" applyAlignment="1">
      <alignment horizontal="center" shrinkToFit="1"/>
    </xf>
    <xf numFmtId="3" fontId="30" fillId="0" borderId="38" xfId="0" applyNumberFormat="1" applyFont="1" applyFill="1" applyBorder="1" applyAlignment="1">
      <alignment horizontal="right" shrinkToFit="1"/>
    </xf>
    <xf numFmtId="3" fontId="30" fillId="0" borderId="39" xfId="0" applyNumberFormat="1" applyFont="1" applyFill="1" applyBorder="1" applyAlignment="1">
      <alignment horizontal="right" shrinkToFit="1"/>
    </xf>
    <xf numFmtId="0" fontId="30" fillId="0" borderId="40" xfId="0" applyFont="1" applyFill="1" applyBorder="1" applyAlignment="1">
      <alignment shrinkToFit="1"/>
    </xf>
    <xf numFmtId="49" fontId="30" fillId="0" borderId="113" xfId="0" applyNumberFormat="1" applyFont="1" applyFill="1" applyBorder="1" applyAlignment="1">
      <alignment horizontal="center" shrinkToFit="1"/>
    </xf>
    <xf numFmtId="0" fontId="30" fillId="0" borderId="69" xfId="0" applyFont="1" applyFill="1" applyBorder="1" applyAlignment="1">
      <alignment shrinkToFit="1"/>
    </xf>
    <xf numFmtId="49" fontId="30" fillId="0" borderId="116" xfId="0" applyNumberFormat="1" applyFont="1" applyFill="1" applyBorder="1" applyAlignment="1">
      <alignment horizontal="center" shrinkToFit="1"/>
    </xf>
    <xf numFmtId="0" fontId="28" fillId="0" borderId="72" xfId="0" applyFont="1" applyFill="1" applyBorder="1" applyAlignment="1">
      <alignment shrinkToFit="1"/>
    </xf>
    <xf numFmtId="0" fontId="30" fillId="0" borderId="67" xfId="0" applyFont="1" applyFill="1" applyBorder="1" applyAlignment="1">
      <alignment vertical="center" shrinkToFit="1"/>
    </xf>
    <xf numFmtId="0" fontId="30" fillId="0" borderId="68" xfId="0" applyFont="1" applyFill="1" applyBorder="1" applyAlignment="1">
      <alignment vertical="center" shrinkToFit="1"/>
    </xf>
    <xf numFmtId="3" fontId="46" fillId="0" borderId="61" xfId="0" applyNumberFormat="1" applyFont="1" applyFill="1" applyBorder="1" applyAlignment="1">
      <alignment horizontal="right" shrinkToFit="1"/>
    </xf>
    <xf numFmtId="3" fontId="30" fillId="0" borderId="23" xfId="0" applyNumberFormat="1" applyFont="1" applyFill="1" applyBorder="1" applyAlignment="1">
      <alignment horizontal="right" shrinkToFit="1"/>
    </xf>
    <xf numFmtId="0" fontId="30" fillId="0" borderId="81" xfId="0" applyFont="1" applyFill="1" applyBorder="1" applyAlignment="1">
      <alignment horizontal="right" shrinkToFit="1"/>
    </xf>
    <xf numFmtId="49" fontId="30" fillId="0" borderId="59" xfId="0" applyNumberFormat="1" applyFont="1" applyFill="1" applyBorder="1" applyAlignment="1">
      <alignment horizontal="center" shrinkToFit="1"/>
    </xf>
    <xf numFmtId="0" fontId="30" fillId="0" borderId="0" xfId="0" applyFont="1" applyFill="1" applyBorder="1" applyAlignment="1">
      <alignment horizontal="right" shrinkToFit="1"/>
    </xf>
    <xf numFmtId="49" fontId="30" fillId="0" borderId="0" xfId="0" applyNumberFormat="1" applyFont="1" applyFill="1" applyBorder="1" applyAlignment="1">
      <alignment horizontal="center" shrinkToFit="1"/>
    </xf>
    <xf numFmtId="3" fontId="30" fillId="0" borderId="0" xfId="0" applyNumberFormat="1" applyFont="1" applyFill="1" applyBorder="1" applyAlignment="1">
      <alignment horizontal="right" shrinkToFit="1"/>
    </xf>
    <xf numFmtId="0" fontId="30" fillId="0" borderId="0" xfId="0" applyFont="1" applyFill="1" applyBorder="1" applyAlignment="1">
      <alignment vertical="center" shrinkToFit="1"/>
    </xf>
    <xf numFmtId="3" fontId="30" fillId="0" borderId="0" xfId="0" applyNumberFormat="1" applyFont="1" applyFill="1" applyBorder="1" applyAlignment="1">
      <alignment horizontal="right" vertical="center" shrinkToFit="1"/>
    </xf>
    <xf numFmtId="3" fontId="25" fillId="0" borderId="38" xfId="0" applyNumberFormat="1" applyFont="1" applyBorder="1" applyAlignment="1">
      <alignment horizontal="right" vertical="center" wrapText="1"/>
    </xf>
    <xf numFmtId="3" fontId="25" fillId="0" borderId="58" xfId="0" applyNumberFormat="1" applyFont="1" applyBorder="1" applyAlignment="1">
      <alignment horizontal="right" vertical="center" wrapText="1"/>
    </xf>
    <xf numFmtId="3" fontId="25" fillId="0" borderId="70" xfId="0" applyNumberFormat="1" applyFont="1" applyBorder="1" applyAlignment="1">
      <alignment horizontal="right" vertical="center" wrapText="1"/>
    </xf>
    <xf numFmtId="3" fontId="26" fillId="0" borderId="47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right" shrinkToFit="1"/>
    </xf>
    <xf numFmtId="0" fontId="12" fillId="0" borderId="58" xfId="0" applyFont="1" applyFill="1" applyBorder="1" applyAlignment="1">
      <alignment horizontal="center" shrinkToFit="1"/>
    </xf>
    <xf numFmtId="3" fontId="11" fillId="0" borderId="27" xfId="0" applyNumberFormat="1" applyFont="1" applyFill="1" applyBorder="1" applyAlignment="1">
      <alignment horizontal="right" vertical="center" shrinkToFit="1"/>
    </xf>
    <xf numFmtId="3" fontId="12" fillId="0" borderId="56" xfId="0" applyNumberFormat="1" applyFont="1" applyFill="1" applyBorder="1" applyAlignment="1">
      <alignment horizontal="right" vertical="center" shrinkToFit="1"/>
    </xf>
    <xf numFmtId="3" fontId="11" fillId="0" borderId="41" xfId="0" applyNumberFormat="1" applyFont="1" applyFill="1" applyBorder="1" applyAlignment="1">
      <alignment horizontal="right" vertical="center" shrinkToFit="1"/>
    </xf>
    <xf numFmtId="3" fontId="11" fillId="0" borderId="41" xfId="0" applyNumberFormat="1" applyFont="1" applyFill="1" applyBorder="1" applyAlignment="1">
      <alignment horizontal="right" shrinkToFit="1"/>
    </xf>
    <xf numFmtId="3" fontId="12" fillId="0" borderId="61" xfId="0" applyNumberFormat="1" applyFont="1" applyFill="1" applyBorder="1" applyAlignment="1">
      <alignment horizontal="right" shrinkToFit="1"/>
    </xf>
    <xf numFmtId="3" fontId="12" fillId="0" borderId="63" xfId="0" applyNumberFormat="1" applyFont="1" applyFill="1" applyBorder="1" applyAlignment="1">
      <alignment horizontal="right" shrinkToFit="1"/>
    </xf>
    <xf numFmtId="3" fontId="12" fillId="0" borderId="96" xfId="0" applyNumberFormat="1" applyFont="1" applyFill="1" applyBorder="1" applyAlignment="1">
      <alignment horizontal="right" shrinkToFit="1"/>
    </xf>
    <xf numFmtId="3" fontId="12" fillId="0" borderId="106" xfId="0" applyNumberFormat="1" applyFont="1" applyFill="1" applyBorder="1" applyAlignment="1">
      <alignment horizontal="right" shrinkToFit="1"/>
    </xf>
    <xf numFmtId="3" fontId="12" fillId="0" borderId="58" xfId="0" applyNumberFormat="1" applyFont="1" applyFill="1" applyBorder="1" applyAlignment="1">
      <alignment horizontal="right" shrinkToFit="1"/>
    </xf>
    <xf numFmtId="3" fontId="12" fillId="0" borderId="107" xfId="0" applyNumberFormat="1" applyFont="1" applyFill="1" applyBorder="1" applyAlignment="1">
      <alignment horizontal="right" shrinkToFit="1"/>
    </xf>
    <xf numFmtId="3" fontId="12" fillId="0" borderId="61" xfId="0" applyNumberFormat="1" applyFont="1" applyFill="1" applyBorder="1" applyAlignment="1">
      <alignment horizontal="right" vertical="center" shrinkToFit="1"/>
    </xf>
    <xf numFmtId="3" fontId="12" fillId="0" borderId="63" xfId="0" applyNumberFormat="1" applyFont="1" applyFill="1" applyBorder="1" applyAlignment="1">
      <alignment horizontal="right" vertical="center" shrinkToFit="1"/>
    </xf>
    <xf numFmtId="3" fontId="12" fillId="0" borderId="96" xfId="0" applyNumberFormat="1" applyFont="1" applyFill="1" applyBorder="1" applyAlignment="1">
      <alignment horizontal="right" vertical="center" shrinkToFit="1"/>
    </xf>
    <xf numFmtId="3" fontId="12" fillId="0" borderId="106" xfId="0" applyNumberFormat="1" applyFont="1" applyFill="1" applyBorder="1" applyAlignment="1">
      <alignment horizontal="right" vertical="center" shrinkToFit="1"/>
    </xf>
    <xf numFmtId="3" fontId="12" fillId="0" borderId="41" xfId="0" applyNumberFormat="1" applyFont="1" applyFill="1" applyBorder="1" applyAlignment="1">
      <alignment horizontal="right" vertical="center" shrinkToFit="1"/>
    </xf>
    <xf numFmtId="3" fontId="12" fillId="0" borderId="42" xfId="0" applyNumberFormat="1" applyFont="1" applyFill="1" applyBorder="1" applyAlignment="1">
      <alignment horizontal="right" vertical="center" shrinkToFit="1"/>
    </xf>
    <xf numFmtId="3" fontId="12" fillId="0" borderId="97" xfId="0" applyNumberFormat="1" applyFont="1" applyFill="1" applyBorder="1" applyAlignment="1">
      <alignment horizontal="right" vertical="center" shrinkToFit="1"/>
    </xf>
    <xf numFmtId="3" fontId="12" fillId="0" borderId="23" xfId="0" applyNumberFormat="1" applyFont="1" applyFill="1" applyBorder="1" applyAlignment="1">
      <alignment horizontal="right" vertical="center" shrinkToFit="1"/>
    </xf>
    <xf numFmtId="3" fontId="12" fillId="0" borderId="58" xfId="0" applyNumberFormat="1" applyFont="1" applyFill="1" applyBorder="1" applyAlignment="1">
      <alignment horizontal="right" vertical="center" shrinkToFit="1"/>
    </xf>
    <xf numFmtId="3" fontId="12" fillId="0" borderId="15" xfId="0" applyNumberFormat="1" applyFont="1" applyFill="1" applyBorder="1" applyAlignment="1">
      <alignment horizontal="right" vertical="center" shrinkToFit="1"/>
    </xf>
    <xf numFmtId="3" fontId="12" fillId="0" borderId="70" xfId="0" applyNumberFormat="1" applyFont="1" applyFill="1" applyBorder="1" applyAlignment="1">
      <alignment horizontal="right" vertical="center" shrinkToFit="1"/>
    </xf>
    <xf numFmtId="3" fontId="12" fillId="0" borderId="75" xfId="0" applyNumberFormat="1" applyFont="1" applyFill="1" applyBorder="1" applyAlignment="1">
      <alignment horizontal="right" vertical="center" shrinkToFit="1"/>
    </xf>
    <xf numFmtId="0" fontId="39" fillId="0" borderId="58" xfId="0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3" fontId="11" fillId="0" borderId="58" xfId="0" applyNumberFormat="1" applyFont="1" applyFill="1" applyBorder="1" applyAlignment="1">
      <alignment horizontal="right" shrinkToFit="1"/>
    </xf>
    <xf numFmtId="3" fontId="12" fillId="0" borderId="15" xfId="0" applyNumberFormat="1" applyFont="1" applyFill="1" applyBorder="1" applyAlignment="1">
      <alignment horizontal="right" shrinkToFit="1"/>
    </xf>
    <xf numFmtId="3" fontId="12" fillId="0" borderId="91" xfId="0" applyNumberFormat="1" applyFont="1" applyFill="1" applyBorder="1" applyAlignment="1">
      <alignment horizontal="right" shrinkToFit="1"/>
    </xf>
    <xf numFmtId="3" fontId="12" fillId="0" borderId="23" xfId="0" applyNumberFormat="1" applyFont="1" applyFill="1" applyBorder="1" applyAlignment="1">
      <alignment horizontal="right" shrinkToFit="1"/>
    </xf>
    <xf numFmtId="3" fontId="12" fillId="0" borderId="95" xfId="0" applyNumberFormat="1" applyFont="1" applyFill="1" applyBorder="1" applyAlignment="1">
      <alignment horizontal="right" shrinkToFit="1"/>
    </xf>
    <xf numFmtId="3" fontId="12" fillId="0" borderId="92" xfId="0" applyNumberFormat="1" applyFont="1" applyFill="1" applyBorder="1" applyAlignment="1">
      <alignment horizontal="right" shrinkToFit="1"/>
    </xf>
    <xf numFmtId="3" fontId="12" fillId="0" borderId="93" xfId="0" applyNumberFormat="1" applyFont="1" applyFill="1" applyBorder="1" applyAlignment="1">
      <alignment horizontal="right" shrinkToFit="1"/>
    </xf>
    <xf numFmtId="3" fontId="11" fillId="0" borderId="58" xfId="0" applyNumberFormat="1" applyFont="1" applyFill="1" applyBorder="1" applyAlignment="1">
      <alignment horizontal="right" vertical="center" shrinkToFit="1"/>
    </xf>
    <xf numFmtId="3" fontId="12" fillId="0" borderId="100" xfId="0" applyNumberFormat="1" applyFont="1" applyFill="1" applyBorder="1" applyAlignment="1">
      <alignment horizontal="right" shrinkToFit="1"/>
    </xf>
    <xf numFmtId="3" fontId="12" fillId="0" borderId="97" xfId="0" applyNumberFormat="1" applyFont="1" applyFill="1" applyBorder="1" applyAlignment="1">
      <alignment horizontal="right" shrinkToFit="1"/>
    </xf>
    <xf numFmtId="3" fontId="12" fillId="0" borderId="117" xfId="0" applyNumberFormat="1" applyFont="1" applyFill="1" applyBorder="1" applyAlignment="1">
      <alignment horizontal="right" shrinkToFit="1"/>
    </xf>
    <xf numFmtId="3" fontId="28" fillId="0" borderId="78" xfId="0" applyNumberFormat="1" applyFont="1" applyFill="1" applyBorder="1" applyAlignment="1">
      <alignment vertical="center" wrapText="1"/>
    </xf>
    <xf numFmtId="49" fontId="28" fillId="0" borderId="78" xfId="0" applyNumberFormat="1" applyFont="1" applyFill="1" applyBorder="1" applyAlignment="1">
      <alignment horizontal="left" shrinkToFit="1"/>
    </xf>
    <xf numFmtId="3" fontId="3" fillId="0" borderId="0" xfId="0" applyNumberFormat="1" applyFont="1" applyFill="1" applyBorder="1" applyAlignment="1">
      <alignment vertical="center" shrinkToFit="1"/>
    </xf>
    <xf numFmtId="175" fontId="29" fillId="0" borderId="27" xfId="69" applyNumberFormat="1" applyFont="1" applyFill="1" applyBorder="1" applyAlignment="1">
      <alignment horizontal="right" vertical="center"/>
      <protection/>
    </xf>
    <xf numFmtId="175" fontId="29" fillId="0" borderId="68" xfId="69" applyNumberFormat="1" applyFont="1" applyFill="1" applyBorder="1" applyAlignment="1">
      <alignment horizontal="right" vertical="center"/>
      <protection/>
    </xf>
    <xf numFmtId="175" fontId="16" fillId="0" borderId="35" xfId="0" applyNumberFormat="1" applyFont="1" applyFill="1" applyBorder="1" applyAlignment="1">
      <alignment horizontal="right" vertical="center"/>
    </xf>
    <xf numFmtId="3" fontId="16" fillId="0" borderId="59" xfId="0" applyNumberFormat="1" applyFont="1" applyFill="1" applyBorder="1" applyAlignment="1">
      <alignment horizontal="right" vertical="center"/>
    </xf>
    <xf numFmtId="3" fontId="16" fillId="0" borderId="77" xfId="0" applyNumberFormat="1" applyFont="1" applyFill="1" applyBorder="1" applyAlignment="1">
      <alignment horizontal="right" vertical="center"/>
    </xf>
    <xf numFmtId="3" fontId="29" fillId="0" borderId="44" xfId="69" applyNumberFormat="1" applyFont="1" applyFill="1" applyBorder="1" applyAlignment="1">
      <alignment horizontal="right" vertical="center"/>
      <protection/>
    </xf>
    <xf numFmtId="49" fontId="28" fillId="0" borderId="41" xfId="0" applyNumberFormat="1" applyFont="1" applyFill="1" applyBorder="1" applyAlignment="1">
      <alignment horizontal="left" indent="1" shrinkToFit="1"/>
    </xf>
    <xf numFmtId="3" fontId="18" fillId="0" borderId="43" xfId="69" applyNumberFormat="1" applyFont="1" applyFill="1" applyBorder="1" applyAlignment="1">
      <alignment horizontal="center" vertical="center"/>
      <protection/>
    </xf>
    <xf numFmtId="1" fontId="18" fillId="0" borderId="44" xfId="69" applyNumberFormat="1" applyFont="1" applyFill="1" applyBorder="1" applyAlignment="1">
      <alignment horizontal="center" vertical="center"/>
      <protection/>
    </xf>
    <xf numFmtId="3" fontId="27" fillId="0" borderId="44" xfId="69" applyNumberFormat="1" applyFont="1" applyFill="1" applyBorder="1" applyAlignment="1">
      <alignment horizontal="right" vertical="center"/>
      <protection/>
    </xf>
    <xf numFmtId="3" fontId="29" fillId="0" borderId="44" xfId="69" applyNumberFormat="1" applyFont="1" applyFill="1" applyBorder="1" applyAlignment="1">
      <alignment vertical="center"/>
      <protection/>
    </xf>
    <xf numFmtId="2" fontId="27" fillId="0" borderId="45" xfId="69" applyNumberFormat="1" applyFont="1" applyFill="1" applyBorder="1" applyAlignment="1">
      <alignment horizontal="center" vertical="center"/>
      <protection/>
    </xf>
    <xf numFmtId="3" fontId="20" fillId="0" borderId="43" xfId="69" applyNumberFormat="1" applyFont="1" applyFill="1" applyBorder="1" applyAlignment="1">
      <alignment horizontal="center" vertical="center"/>
      <protection/>
    </xf>
    <xf numFmtId="3" fontId="20" fillId="0" borderId="44" xfId="69" applyNumberFormat="1" applyFont="1" applyFill="1" applyBorder="1" applyAlignment="1">
      <alignment horizontal="center" vertical="center"/>
      <protection/>
    </xf>
    <xf numFmtId="3" fontId="18" fillId="0" borderId="44" xfId="69" applyNumberFormat="1" applyFont="1" applyFill="1" applyBorder="1" applyAlignment="1">
      <alignment horizontal="center" vertical="center"/>
      <protection/>
    </xf>
    <xf numFmtId="3" fontId="27" fillId="0" borderId="44" xfId="69" applyNumberFormat="1" applyFont="1" applyFill="1" applyBorder="1" applyAlignment="1">
      <alignment vertical="center"/>
      <protection/>
    </xf>
    <xf numFmtId="49" fontId="28" fillId="0" borderId="41" xfId="0" applyNumberFormat="1" applyFont="1" applyFill="1" applyBorder="1" applyAlignment="1">
      <alignment horizontal="left" wrapText="1" indent="1"/>
    </xf>
    <xf numFmtId="49" fontId="29" fillId="0" borderId="41" xfId="0" applyNumberFormat="1" applyFont="1" applyFill="1" applyBorder="1" applyAlignment="1">
      <alignment horizontal="left" indent="1" shrinkToFit="1"/>
    </xf>
    <xf numFmtId="49" fontId="27" fillId="0" borderId="41" xfId="0" applyNumberFormat="1" applyFont="1" applyFill="1" applyBorder="1" applyAlignment="1">
      <alignment horizontal="center" shrinkToFit="1"/>
    </xf>
    <xf numFmtId="49" fontId="27" fillId="0" borderId="70" xfId="0" applyNumberFormat="1" applyFont="1" applyFill="1" applyBorder="1" applyAlignment="1">
      <alignment horizontal="center" shrinkToFit="1"/>
    </xf>
    <xf numFmtId="3" fontId="20" fillId="0" borderId="68" xfId="69" applyNumberFormat="1" applyFont="1" applyFill="1" applyBorder="1" applyAlignment="1">
      <alignment horizontal="center" vertical="center"/>
      <protection/>
    </xf>
    <xf numFmtId="3" fontId="29" fillId="0" borderId="68" xfId="69" applyNumberFormat="1" applyFont="1" applyFill="1" applyBorder="1" applyAlignment="1">
      <alignment vertical="center" shrinkToFit="1"/>
      <protection/>
    </xf>
    <xf numFmtId="3" fontId="33" fillId="0" borderId="107" xfId="0" applyNumberFormat="1" applyFont="1" applyFill="1" applyBorder="1" applyAlignment="1">
      <alignment horizontal="right" vertical="center" shrinkToFit="1"/>
    </xf>
    <xf numFmtId="3" fontId="34" fillId="0" borderId="57" xfId="0" applyNumberFormat="1" applyFont="1" applyFill="1" applyBorder="1" applyAlignment="1">
      <alignment horizontal="right" vertical="center" shrinkToFit="1"/>
    </xf>
    <xf numFmtId="0" fontId="41" fillId="0" borderId="26" xfId="0" applyFont="1" applyFill="1" applyBorder="1" applyAlignment="1">
      <alignment vertical="center" shrinkToFit="1"/>
    </xf>
    <xf numFmtId="0" fontId="41" fillId="0" borderId="73" xfId="0" applyFont="1" applyFill="1" applyBorder="1" applyAlignment="1">
      <alignment vertical="center" shrinkToFit="1"/>
    </xf>
    <xf numFmtId="0" fontId="42" fillId="0" borderId="29" xfId="0" applyFont="1" applyFill="1" applyBorder="1" applyAlignment="1">
      <alignment vertical="center" shrinkToFit="1"/>
    </xf>
    <xf numFmtId="0" fontId="42" fillId="0" borderId="31" xfId="0" applyFont="1" applyFill="1" applyBorder="1" applyAlignment="1">
      <alignment vertical="center" shrinkToFit="1"/>
    </xf>
    <xf numFmtId="3" fontId="33" fillId="0" borderId="27" xfId="0" applyNumberFormat="1" applyFont="1" applyFill="1" applyBorder="1" applyAlignment="1">
      <alignment horizontal="right" vertical="center" shrinkToFit="1"/>
    </xf>
    <xf numFmtId="49" fontId="30" fillId="0" borderId="96" xfId="0" applyNumberFormat="1" applyFont="1" applyFill="1" applyBorder="1" applyAlignment="1">
      <alignment horizontal="left" shrinkToFit="1"/>
    </xf>
    <xf numFmtId="0" fontId="11" fillId="0" borderId="29" xfId="0" applyFont="1" applyFill="1" applyBorder="1" applyAlignment="1">
      <alignment shrinkToFit="1"/>
    </xf>
    <xf numFmtId="3" fontId="12" fillId="0" borderId="60" xfId="0" applyNumberFormat="1" applyFont="1" applyFill="1" applyBorder="1" applyAlignment="1">
      <alignment horizontal="right" shrinkToFit="1"/>
    </xf>
    <xf numFmtId="49" fontId="28" fillId="0" borderId="31" xfId="0" applyNumberFormat="1" applyFont="1" applyFill="1" applyBorder="1" applyAlignment="1">
      <alignment horizontal="left" shrinkToFit="1"/>
    </xf>
    <xf numFmtId="3" fontId="16" fillId="0" borderId="45" xfId="0" applyNumberFormat="1" applyFont="1" applyFill="1" applyBorder="1" applyAlignment="1">
      <alignment horizontal="right" vertical="center"/>
    </xf>
    <xf numFmtId="3" fontId="16" fillId="0" borderId="117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horizontal="right" vertical="center"/>
    </xf>
    <xf numFmtId="49" fontId="28" fillId="0" borderId="41" xfId="0" applyNumberFormat="1" applyFont="1" applyFill="1" applyBorder="1" applyAlignment="1">
      <alignment horizontal="left" wrapText="1"/>
    </xf>
    <xf numFmtId="3" fontId="15" fillId="0" borderId="92" xfId="0" applyNumberFormat="1" applyFont="1" applyFill="1" applyBorder="1" applyAlignment="1">
      <alignment horizontal="right" vertical="center"/>
    </xf>
    <xf numFmtId="3" fontId="15" fillId="0" borderId="102" xfId="0" applyNumberFormat="1" applyFont="1" applyFill="1" applyBorder="1" applyAlignment="1">
      <alignment horizontal="center" vertical="center"/>
    </xf>
    <xf numFmtId="3" fontId="15" fillId="0" borderId="103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shrinkToFit="1"/>
    </xf>
    <xf numFmtId="2" fontId="30" fillId="0" borderId="58" xfId="0" applyNumberFormat="1" applyFont="1" applyFill="1" applyBorder="1" applyAlignment="1">
      <alignment shrinkToFit="1"/>
    </xf>
    <xf numFmtId="0" fontId="39" fillId="0" borderId="58" xfId="0" applyFont="1" applyFill="1" applyBorder="1" applyAlignment="1">
      <alignment horizontal="justify" shrinkToFit="1"/>
    </xf>
    <xf numFmtId="0" fontId="39" fillId="0" borderId="15" xfId="0" applyFont="1" applyFill="1" applyBorder="1" applyAlignment="1">
      <alignment horizontal="center" shrinkToFit="1"/>
    </xf>
    <xf numFmtId="0" fontId="11" fillId="0" borderId="105" xfId="0" applyFont="1" applyFill="1" applyBorder="1" applyAlignment="1">
      <alignment shrinkToFit="1"/>
    </xf>
    <xf numFmtId="3" fontId="0" fillId="0" borderId="0" xfId="0" applyNumberFormat="1" applyAlignment="1">
      <alignment/>
    </xf>
    <xf numFmtId="3" fontId="19" fillId="0" borderId="118" xfId="0" applyNumberFormat="1" applyFont="1" applyFill="1" applyBorder="1" applyAlignment="1">
      <alignment horizontal="right" vertical="center" shrinkToFit="1"/>
    </xf>
    <xf numFmtId="49" fontId="42" fillId="0" borderId="0" xfId="0" applyNumberFormat="1" applyFont="1" applyFill="1" applyAlignment="1">
      <alignment horizontal="right" vertical="center" shrinkToFit="1"/>
    </xf>
    <xf numFmtId="49" fontId="41" fillId="0" borderId="119" xfId="0" applyNumberFormat="1" applyFont="1" applyFill="1" applyBorder="1" applyAlignment="1">
      <alignment horizontal="right" vertical="center" shrinkToFit="1"/>
    </xf>
    <xf numFmtId="0" fontId="33" fillId="0" borderId="86" xfId="0" applyFont="1" applyBorder="1" applyAlignment="1">
      <alignment horizontal="right" vertical="center" shrinkToFit="1"/>
    </xf>
    <xf numFmtId="3" fontId="33" fillId="0" borderId="57" xfId="0" applyNumberFormat="1" applyFont="1" applyBorder="1" applyAlignment="1">
      <alignment horizontal="right"/>
    </xf>
    <xf numFmtId="3" fontId="33" fillId="0" borderId="78" xfId="0" applyNumberFormat="1" applyFont="1" applyBorder="1" applyAlignment="1">
      <alignment horizontal="right"/>
    </xf>
    <xf numFmtId="3" fontId="33" fillId="0" borderId="88" xfId="0" applyNumberFormat="1" applyFont="1" applyBorder="1" applyAlignment="1">
      <alignment horizontal="right" vertical="center" wrapText="1"/>
    </xf>
    <xf numFmtId="0" fontId="33" fillId="0" borderId="88" xfId="0" applyFont="1" applyBorder="1" applyAlignment="1">
      <alignment horizontal="right"/>
    </xf>
    <xf numFmtId="49" fontId="33" fillId="0" borderId="88" xfId="0" applyNumberFormat="1" applyFont="1" applyFill="1" applyBorder="1" applyAlignment="1">
      <alignment horizontal="right" vertical="center" shrinkToFit="1"/>
    </xf>
    <xf numFmtId="0" fontId="42" fillId="0" borderId="89" xfId="0" applyFont="1" applyFill="1" applyBorder="1" applyAlignment="1">
      <alignment horizontal="right" vertical="center" shrinkToFit="1"/>
    </xf>
    <xf numFmtId="49" fontId="33" fillId="0" borderId="89" xfId="0" applyNumberFormat="1" applyFont="1" applyFill="1" applyBorder="1" applyAlignment="1">
      <alignment horizontal="right" vertical="center" shrinkToFit="1"/>
    </xf>
    <xf numFmtId="49" fontId="34" fillId="0" borderId="86" xfId="0" applyNumberFormat="1" applyFont="1" applyFill="1" applyBorder="1" applyAlignment="1">
      <alignment horizontal="right" vertical="center" shrinkToFit="1"/>
    </xf>
    <xf numFmtId="49" fontId="33" fillId="0" borderId="86" xfId="0" applyNumberFormat="1" applyFont="1" applyFill="1" applyBorder="1" applyAlignment="1">
      <alignment horizontal="right" vertical="center" shrinkToFit="1"/>
    </xf>
    <xf numFmtId="49" fontId="33" fillId="0" borderId="120" xfId="0" applyNumberFormat="1" applyFont="1" applyFill="1" applyBorder="1" applyAlignment="1">
      <alignment horizontal="right" vertical="center" shrinkToFit="1"/>
    </xf>
    <xf numFmtId="49" fontId="33" fillId="0" borderId="0" xfId="0" applyNumberFormat="1" applyFont="1" applyFill="1" applyBorder="1" applyAlignment="1">
      <alignment horizontal="right" vertical="center" indent="1" shrinkToFit="1"/>
    </xf>
    <xf numFmtId="49" fontId="41" fillId="0" borderId="86" xfId="0" applyNumberFormat="1" applyFont="1" applyFill="1" applyBorder="1" applyAlignment="1">
      <alignment horizontal="right" vertical="center" shrinkToFit="1"/>
    </xf>
    <xf numFmtId="49" fontId="42" fillId="0" borderId="119" xfId="0" applyNumberFormat="1" applyFont="1" applyFill="1" applyBorder="1" applyAlignment="1">
      <alignment horizontal="right" vertical="center" shrinkToFit="1"/>
    </xf>
    <xf numFmtId="49" fontId="42" fillId="0" borderId="121" xfId="0" applyNumberFormat="1" applyFont="1" applyFill="1" applyBorder="1" applyAlignment="1">
      <alignment horizontal="right" vertical="center" shrinkToFit="1"/>
    </xf>
    <xf numFmtId="3" fontId="36" fillId="0" borderId="44" xfId="0" applyNumberFormat="1" applyFont="1" applyFill="1" applyBorder="1" applyAlignment="1">
      <alignment horizontal="left" vertical="center"/>
    </xf>
    <xf numFmtId="3" fontId="16" fillId="0" borderId="122" xfId="0" applyNumberFormat="1" applyFont="1" applyFill="1" applyBorder="1" applyAlignment="1">
      <alignment horizontal="right" vertical="center"/>
    </xf>
    <xf numFmtId="3" fontId="37" fillId="0" borderId="62" xfId="0" applyNumberFormat="1" applyFont="1" applyFill="1" applyBorder="1" applyAlignment="1">
      <alignment horizontal="left" vertical="center"/>
    </xf>
    <xf numFmtId="3" fontId="36" fillId="0" borderId="62" xfId="0" applyNumberFormat="1" applyFont="1" applyFill="1" applyBorder="1" applyAlignment="1">
      <alignment horizontal="left" vertical="center"/>
    </xf>
    <xf numFmtId="3" fontId="16" fillId="0" borderId="123" xfId="0" applyNumberFormat="1" applyFont="1" applyFill="1" applyBorder="1" applyAlignment="1">
      <alignment horizontal="right" vertical="center"/>
    </xf>
    <xf numFmtId="3" fontId="36" fillId="0" borderId="39" xfId="0" applyNumberFormat="1" applyFont="1" applyFill="1" applyBorder="1" applyAlignment="1">
      <alignment horizontal="left" vertical="center"/>
    </xf>
    <xf numFmtId="3" fontId="18" fillId="0" borderId="70" xfId="69" applyNumberFormat="1" applyFont="1" applyFill="1" applyBorder="1" applyAlignment="1">
      <alignment horizontal="center" vertical="center"/>
      <protection/>
    </xf>
    <xf numFmtId="3" fontId="29" fillId="0" borderId="68" xfId="69" applyNumberFormat="1" applyFont="1" applyFill="1" applyBorder="1" applyAlignment="1">
      <alignment horizontal="left" vertical="center"/>
      <protection/>
    </xf>
    <xf numFmtId="2" fontId="30" fillId="0" borderId="96" xfId="0" applyNumberFormat="1" applyFont="1" applyFill="1" applyBorder="1" applyAlignment="1">
      <alignment vertical="center" shrinkToFit="1"/>
    </xf>
    <xf numFmtId="3" fontId="11" fillId="0" borderId="96" xfId="0" applyNumberFormat="1" applyFont="1" applyFill="1" applyBorder="1" applyAlignment="1">
      <alignment horizontal="right" vertical="center" shrinkToFit="1"/>
    </xf>
    <xf numFmtId="3" fontId="39" fillId="0" borderId="58" xfId="0" applyNumberFormat="1" applyFont="1" applyFill="1" applyBorder="1" applyAlignment="1">
      <alignment horizontal="justify" vertical="center" shrinkToFit="1"/>
    </xf>
    <xf numFmtId="3" fontId="39" fillId="0" borderId="15" xfId="0" applyNumberFormat="1" applyFont="1" applyFill="1" applyBorder="1" applyAlignment="1">
      <alignment horizontal="right" vertical="center" shrinkToFit="1"/>
    </xf>
    <xf numFmtId="3" fontId="39" fillId="0" borderId="41" xfId="0" applyNumberFormat="1" applyFont="1" applyFill="1" applyBorder="1" applyAlignment="1">
      <alignment horizontal="right" shrinkToFit="1"/>
    </xf>
    <xf numFmtId="3" fontId="47" fillId="0" borderId="42" xfId="0" applyNumberFormat="1" applyFont="1" applyFill="1" applyBorder="1" applyAlignment="1">
      <alignment horizontal="right" shrinkToFit="1"/>
    </xf>
    <xf numFmtId="3" fontId="47" fillId="0" borderId="91" xfId="0" applyNumberFormat="1" applyFont="1" applyFill="1" applyBorder="1" applyAlignment="1">
      <alignment horizontal="right" shrinkToFit="1"/>
    </xf>
    <xf numFmtId="3" fontId="39" fillId="0" borderId="58" xfId="0" applyNumberFormat="1" applyFont="1" applyFill="1" applyBorder="1" applyAlignment="1">
      <alignment horizontal="right" shrinkToFit="1"/>
    </xf>
    <xf numFmtId="0" fontId="7" fillId="0" borderId="124" xfId="0" applyFont="1" applyFill="1" applyBorder="1" applyAlignment="1">
      <alignment horizontal="center" vertical="center"/>
    </xf>
    <xf numFmtId="3" fontId="9" fillId="0" borderId="125" xfId="0" applyNumberFormat="1" applyFont="1" applyFill="1" applyBorder="1" applyAlignment="1">
      <alignment horizontal="right" vertical="center" shrinkToFit="1"/>
    </xf>
    <xf numFmtId="3" fontId="9" fillId="0" borderId="126" xfId="0" applyNumberFormat="1" applyFont="1" applyFill="1" applyBorder="1" applyAlignment="1">
      <alignment horizontal="right" vertical="center" shrinkToFit="1"/>
    </xf>
    <xf numFmtId="0" fontId="3" fillId="0" borderId="127" xfId="0" applyFont="1" applyFill="1" applyBorder="1" applyAlignment="1">
      <alignment vertical="center" shrinkToFit="1"/>
    </xf>
    <xf numFmtId="3" fontId="10" fillId="0" borderId="128" xfId="0" applyNumberFormat="1" applyFont="1" applyFill="1" applyBorder="1" applyAlignment="1">
      <alignment horizontal="right" vertical="center" shrinkToFit="1"/>
    </xf>
    <xf numFmtId="0" fontId="8" fillId="0" borderId="82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vertical="center" shrinkToFit="1"/>
    </xf>
    <xf numFmtId="49" fontId="30" fillId="0" borderId="61" xfId="0" applyNumberFormat="1" applyFont="1" applyFill="1" applyBorder="1" applyAlignment="1">
      <alignment horizontal="left" shrinkToFit="1"/>
    </xf>
    <xf numFmtId="3" fontId="16" fillId="0" borderId="42" xfId="0" applyNumberFormat="1" applyFont="1" applyFill="1" applyBorder="1" applyAlignment="1">
      <alignment horizontal="right" vertical="center"/>
    </xf>
    <xf numFmtId="49" fontId="33" fillId="0" borderId="121" xfId="0" applyNumberFormat="1" applyFont="1" applyFill="1" applyBorder="1" applyAlignment="1">
      <alignment horizontal="right" vertical="center" shrinkToFit="1"/>
    </xf>
    <xf numFmtId="0" fontId="48" fillId="0" borderId="0" xfId="70" applyFont="1">
      <alignment/>
      <protection/>
    </xf>
    <xf numFmtId="0" fontId="48" fillId="0" borderId="0" xfId="70" applyFont="1" applyAlignment="1">
      <alignment horizontal="right"/>
      <protection/>
    </xf>
    <xf numFmtId="0" fontId="49" fillId="0" borderId="38" xfId="70" applyFont="1" applyBorder="1" applyAlignment="1">
      <alignment horizontal="center"/>
      <protection/>
    </xf>
    <xf numFmtId="0" fontId="15" fillId="0" borderId="40" xfId="70" applyFont="1" applyBorder="1">
      <alignment/>
      <protection/>
    </xf>
    <xf numFmtId="0" fontId="15" fillId="0" borderId="129" xfId="70" applyFont="1" applyBorder="1">
      <alignment/>
      <protection/>
    </xf>
    <xf numFmtId="3" fontId="15" fillId="0" borderId="41" xfId="70" applyNumberFormat="1" applyFont="1" applyBorder="1">
      <alignment/>
      <protection/>
    </xf>
    <xf numFmtId="3" fontId="15" fillId="0" borderId="91" xfId="70" applyNumberFormat="1" applyFont="1" applyBorder="1">
      <alignment/>
      <protection/>
    </xf>
    <xf numFmtId="0" fontId="15" fillId="0" borderId="41" xfId="70" applyFont="1" applyBorder="1">
      <alignment/>
      <protection/>
    </xf>
    <xf numFmtId="3" fontId="15" fillId="0" borderId="44" xfId="70" applyNumberFormat="1" applyFont="1" applyBorder="1">
      <alignment/>
      <protection/>
    </xf>
    <xf numFmtId="0" fontId="15" fillId="0" borderId="129" xfId="0" applyFont="1" applyBorder="1" applyAlignment="1">
      <alignment/>
    </xf>
    <xf numFmtId="3" fontId="15" fillId="0" borderId="42" xfId="70" applyNumberFormat="1" applyFont="1" applyBorder="1">
      <alignment/>
      <protection/>
    </xf>
    <xf numFmtId="0" fontId="15" fillId="0" borderId="31" xfId="0" applyFont="1" applyBorder="1" applyAlignment="1">
      <alignment/>
    </xf>
    <xf numFmtId="3" fontId="15" fillId="0" borderId="45" xfId="70" applyNumberFormat="1" applyFont="1" applyBorder="1">
      <alignment/>
      <protection/>
    </xf>
    <xf numFmtId="3" fontId="16" fillId="0" borderId="70" xfId="70" applyNumberFormat="1" applyFont="1" applyBorder="1" applyAlignment="1">
      <alignment vertical="center"/>
      <protection/>
    </xf>
    <xf numFmtId="3" fontId="16" fillId="0" borderId="75" xfId="70" applyNumberFormat="1" applyFont="1" applyBorder="1" applyAlignment="1">
      <alignment vertical="center"/>
      <protection/>
    </xf>
    <xf numFmtId="0" fontId="48" fillId="0" borderId="0" xfId="70" applyFont="1" applyAlignment="1">
      <alignment vertical="center"/>
      <protection/>
    </xf>
    <xf numFmtId="0" fontId="49" fillId="0" borderId="109" xfId="70" applyFont="1" applyBorder="1" applyAlignment="1">
      <alignment vertical="center"/>
      <protection/>
    </xf>
    <xf numFmtId="3" fontId="49" fillId="0" borderId="0" xfId="70" applyNumberFormat="1" applyFont="1" applyBorder="1" applyAlignment="1">
      <alignment vertical="center"/>
      <protection/>
    </xf>
    <xf numFmtId="0" fontId="15" fillId="0" borderId="43" xfId="70" applyFont="1" applyBorder="1">
      <alignment/>
      <protection/>
    </xf>
    <xf numFmtId="3" fontId="48" fillId="0" borderId="0" xfId="70" applyNumberFormat="1" applyFont="1">
      <alignment/>
      <protection/>
    </xf>
    <xf numFmtId="0" fontId="51" fillId="0" borderId="0" xfId="70" applyFont="1">
      <alignment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53" fillId="0" borderId="0" xfId="67">
      <alignment/>
      <protection/>
    </xf>
    <xf numFmtId="0" fontId="48" fillId="0" borderId="0" xfId="67" applyFont="1">
      <alignment/>
      <protection/>
    </xf>
    <xf numFmtId="0" fontId="49" fillId="0" borderId="67" xfId="67" applyFont="1" applyBorder="1" applyAlignment="1">
      <alignment horizontal="center" wrapText="1"/>
      <protection/>
    </xf>
    <xf numFmtId="0" fontId="49" fillId="0" borderId="68" xfId="67" applyFont="1" applyBorder="1" applyAlignment="1">
      <alignment horizontal="center" wrapText="1"/>
      <protection/>
    </xf>
    <xf numFmtId="0" fontId="49" fillId="0" borderId="74" xfId="67" applyFont="1" applyBorder="1" applyAlignment="1">
      <alignment horizontal="center" wrapText="1"/>
      <protection/>
    </xf>
    <xf numFmtId="0" fontId="48" fillId="0" borderId="111" xfId="67" applyFont="1" applyBorder="1">
      <alignment/>
      <protection/>
    </xf>
    <xf numFmtId="0" fontId="48" fillId="0" borderId="40" xfId="67" applyFont="1" applyBorder="1" applyAlignment="1">
      <alignment wrapText="1"/>
      <protection/>
    </xf>
    <xf numFmtId="3" fontId="48" fillId="0" borderId="41" xfId="67" applyNumberFormat="1" applyFont="1" applyBorder="1">
      <alignment/>
      <protection/>
    </xf>
    <xf numFmtId="3" fontId="48" fillId="0" borderId="130" xfId="67" applyNumberFormat="1" applyFont="1" applyBorder="1">
      <alignment/>
      <protection/>
    </xf>
    <xf numFmtId="0" fontId="48" fillId="0" borderId="40" xfId="67" applyFont="1" applyBorder="1">
      <alignment/>
      <protection/>
    </xf>
    <xf numFmtId="3" fontId="49" fillId="0" borderId="35" xfId="67" applyNumberFormat="1" applyFont="1" applyBorder="1" applyAlignment="1">
      <alignment vertical="center"/>
      <protection/>
    </xf>
    <xf numFmtId="3" fontId="49" fillId="0" borderId="36" xfId="67" applyNumberFormat="1" applyFont="1" applyBorder="1" applyAlignment="1">
      <alignment vertical="center"/>
      <protection/>
    </xf>
    <xf numFmtId="0" fontId="48" fillId="0" borderId="54" xfId="67" applyFont="1" applyBorder="1">
      <alignment/>
      <protection/>
    </xf>
    <xf numFmtId="0" fontId="48" fillId="0" borderId="85" xfId="67" applyFont="1" applyBorder="1">
      <alignment/>
      <protection/>
    </xf>
    <xf numFmtId="3" fontId="48" fillId="0" borderId="85" xfId="67" applyNumberFormat="1" applyFont="1" applyBorder="1">
      <alignment/>
      <protection/>
    </xf>
    <xf numFmtId="0" fontId="48" fillId="0" borderId="131" xfId="67" applyFont="1" applyBorder="1">
      <alignment/>
      <protection/>
    </xf>
    <xf numFmtId="3" fontId="48" fillId="0" borderId="68" xfId="67" applyNumberFormat="1" applyFont="1" applyBorder="1">
      <alignment/>
      <protection/>
    </xf>
    <xf numFmtId="3" fontId="48" fillId="0" borderId="68" xfId="67" applyNumberFormat="1" applyFont="1" applyBorder="1" applyAlignment="1">
      <alignment horizontal="right"/>
      <protection/>
    </xf>
    <xf numFmtId="3" fontId="48" fillId="0" borderId="68" xfId="67" applyNumberFormat="1" applyFont="1" applyFill="1" applyBorder="1">
      <alignment/>
      <protection/>
    </xf>
    <xf numFmtId="3" fontId="48" fillId="0" borderId="41" xfId="67" applyNumberFormat="1" applyFont="1" applyBorder="1" applyAlignment="1">
      <alignment horizontal="right"/>
      <protection/>
    </xf>
    <xf numFmtId="3" fontId="48" fillId="0" borderId="41" xfId="67" applyNumberFormat="1" applyFont="1" applyFill="1" applyBorder="1">
      <alignment/>
      <protection/>
    </xf>
    <xf numFmtId="0" fontId="48" fillId="0" borderId="40" xfId="67" applyFont="1" applyBorder="1" quotePrefix="1">
      <alignment/>
      <protection/>
    </xf>
    <xf numFmtId="3" fontId="48" fillId="0" borderId="44" xfId="67" applyNumberFormat="1" applyFont="1" applyBorder="1">
      <alignment/>
      <protection/>
    </xf>
    <xf numFmtId="3" fontId="48" fillId="0" borderId="44" xfId="67" applyNumberFormat="1" applyFont="1" applyBorder="1" applyAlignment="1">
      <alignment horizontal="right"/>
      <protection/>
    </xf>
    <xf numFmtId="3" fontId="48" fillId="0" borderId="44" xfId="67" applyNumberFormat="1" applyFont="1" applyFill="1" applyBorder="1">
      <alignment/>
      <protection/>
    </xf>
    <xf numFmtId="0" fontId="50" fillId="0" borderId="0" xfId="0" applyFont="1" applyAlignment="1">
      <alignment/>
    </xf>
    <xf numFmtId="3" fontId="48" fillId="0" borderId="0" xfId="67" applyNumberFormat="1" applyFont="1">
      <alignment/>
      <protection/>
    </xf>
    <xf numFmtId="0" fontId="45" fillId="0" borderId="0" xfId="0" applyFont="1" applyAlignment="1">
      <alignment horizontal="right"/>
    </xf>
    <xf numFmtId="3" fontId="29" fillId="0" borderId="27" xfId="0" applyNumberFormat="1" applyFont="1" applyFill="1" applyBorder="1" applyAlignment="1">
      <alignment vertical="center"/>
    </xf>
    <xf numFmtId="3" fontId="29" fillId="0" borderId="73" xfId="0" applyNumberFormat="1" applyFont="1" applyFill="1" applyBorder="1" applyAlignment="1">
      <alignment horizontal="center" vertical="center"/>
    </xf>
    <xf numFmtId="3" fontId="29" fillId="0" borderId="27" xfId="0" applyNumberFormat="1" applyFont="1" applyFill="1" applyBorder="1" applyAlignment="1">
      <alignment horizontal="center" vertical="center"/>
    </xf>
    <xf numFmtId="3" fontId="29" fillId="0" borderId="27" xfId="0" applyNumberFormat="1" applyFont="1" applyFill="1" applyBorder="1" applyAlignment="1">
      <alignment horizontal="center" vertical="center" wrapText="1"/>
    </xf>
    <xf numFmtId="3" fontId="29" fillId="0" borderId="76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3" fontId="29" fillId="0" borderId="58" xfId="0" applyNumberFormat="1" applyFont="1" applyFill="1" applyBorder="1" applyAlignment="1">
      <alignment vertical="center"/>
    </xf>
    <xf numFmtId="3" fontId="29" fillId="0" borderId="58" xfId="0" applyNumberFormat="1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center" vertical="center"/>
    </xf>
    <xf numFmtId="3" fontId="29" fillId="0" borderId="58" xfId="0" applyNumberFormat="1" applyFont="1" applyFill="1" applyBorder="1" applyAlignment="1">
      <alignment horizontal="center" vertical="center"/>
    </xf>
    <xf numFmtId="3" fontId="29" fillId="0" borderId="62" xfId="0" applyNumberFormat="1" applyFont="1" applyFill="1" applyBorder="1" applyAlignment="1">
      <alignment horizontal="center" vertical="center" wrapText="1"/>
    </xf>
    <xf numFmtId="3" fontId="29" fillId="0" borderId="59" xfId="0" applyNumberFormat="1" applyFont="1" applyFill="1" applyBorder="1" applyAlignment="1">
      <alignment vertical="center"/>
    </xf>
    <xf numFmtId="3" fontId="29" fillId="0" borderId="79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center" vertical="center"/>
    </xf>
    <xf numFmtId="3" fontId="29" fillId="0" borderId="77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20" fillId="0" borderId="40" xfId="0" applyNumberFormat="1" applyFont="1" applyFill="1" applyBorder="1" applyAlignment="1">
      <alignment horizontal="center" vertical="center"/>
    </xf>
    <xf numFmtId="3" fontId="27" fillId="0" borderId="41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7" fillId="0" borderId="41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 vertical="center"/>
    </xf>
    <xf numFmtId="0" fontId="15" fillId="0" borderId="0" xfId="57" applyFont="1" applyFill="1" applyAlignment="1">
      <alignment/>
      <protection/>
    </xf>
    <xf numFmtId="0" fontId="55" fillId="0" borderId="0" xfId="57" applyFont="1" applyFill="1" applyAlignment="1">
      <alignment horizontal="right"/>
      <protection/>
    </xf>
    <xf numFmtId="0" fontId="15" fillId="0" borderId="71" xfId="57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5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0" fontId="15" fillId="0" borderId="72" xfId="57" applyFont="1" applyFill="1" applyBorder="1" applyAlignment="1">
      <alignment vertical="center"/>
      <protection/>
    </xf>
    <xf numFmtId="0" fontId="15" fillId="0" borderId="55" xfId="57" applyFont="1" applyFill="1" applyBorder="1" applyAlignment="1">
      <alignment/>
      <protection/>
    </xf>
    <xf numFmtId="0" fontId="15" fillId="0" borderId="31" xfId="57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center"/>
      <protection/>
    </xf>
    <xf numFmtId="0" fontId="15" fillId="0" borderId="27" xfId="57" applyFont="1" applyFill="1" applyBorder="1" applyAlignment="1">
      <alignment horizontal="center"/>
      <protection/>
    </xf>
    <xf numFmtId="0" fontId="56" fillId="0" borderId="15" xfId="57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/>
      <protection/>
    </xf>
    <xf numFmtId="0" fontId="16" fillId="0" borderId="55" xfId="57" applyFont="1" applyFill="1" applyBorder="1" applyAlignment="1">
      <alignment horizontal="left" vertical="center"/>
      <protection/>
    </xf>
    <xf numFmtId="3" fontId="16" fillId="0" borderId="58" xfId="57" applyNumberFormat="1" applyFont="1" applyFill="1" applyBorder="1" applyAlignment="1">
      <alignment horizontal="right" vertical="center"/>
      <protection/>
    </xf>
    <xf numFmtId="3" fontId="16" fillId="0" borderId="86" xfId="57" applyNumberFormat="1" applyFont="1" applyFill="1" applyBorder="1" applyAlignment="1">
      <alignment horizontal="right" vertical="center"/>
      <protection/>
    </xf>
    <xf numFmtId="3" fontId="16" fillId="0" borderId="15" xfId="57" applyNumberFormat="1" applyFont="1" applyFill="1" applyBorder="1" applyAlignment="1">
      <alignment horizontal="right" vertical="center"/>
      <protection/>
    </xf>
    <xf numFmtId="3" fontId="16" fillId="0" borderId="0" xfId="57" applyNumberFormat="1" applyFont="1" applyFill="1" applyBorder="1" applyAlignment="1">
      <alignment horizontal="right" vertical="center"/>
      <protection/>
    </xf>
    <xf numFmtId="0" fontId="16" fillId="0" borderId="55" xfId="57" applyFont="1" applyFill="1" applyBorder="1" applyAlignment="1">
      <alignment vertical="center"/>
      <protection/>
    </xf>
    <xf numFmtId="3" fontId="16" fillId="0" borderId="31" xfId="57" applyNumberFormat="1" applyFont="1" applyFill="1" applyBorder="1" applyAlignment="1">
      <alignment horizontal="right" vertical="center"/>
      <protection/>
    </xf>
    <xf numFmtId="3" fontId="57" fillId="0" borderId="86" xfId="57" applyNumberFormat="1" applyFont="1" applyFill="1" applyBorder="1" applyAlignment="1">
      <alignment horizontal="right" vertical="center"/>
      <protection/>
    </xf>
    <xf numFmtId="3" fontId="15" fillId="0" borderId="0" xfId="57" applyNumberFormat="1" applyFont="1" applyFill="1" applyBorder="1" applyAlignment="1">
      <alignment vertical="center"/>
      <protection/>
    </xf>
    <xf numFmtId="0" fontId="15" fillId="0" borderId="55" xfId="57" applyFont="1" applyFill="1" applyBorder="1" applyAlignment="1">
      <alignment horizontal="left" vertical="center"/>
      <protection/>
    </xf>
    <xf numFmtId="3" fontId="15" fillId="0" borderId="31" xfId="57" applyNumberFormat="1" applyFont="1" applyFill="1" applyBorder="1" applyAlignment="1">
      <alignment vertical="center"/>
      <protection/>
    </xf>
    <xf numFmtId="3" fontId="15" fillId="0" borderId="86" xfId="57" applyNumberFormat="1" applyFont="1" applyFill="1" applyBorder="1" applyAlignment="1">
      <alignment vertical="center"/>
      <protection/>
    </xf>
    <xf numFmtId="3" fontId="15" fillId="0" borderId="58" xfId="57" applyNumberFormat="1" applyFont="1" applyFill="1" applyBorder="1" applyAlignment="1">
      <alignment vertical="center"/>
      <protection/>
    </xf>
    <xf numFmtId="0" fontId="15" fillId="0" borderId="55" xfId="57" applyFont="1" applyFill="1" applyBorder="1" applyAlignment="1">
      <alignment horizontal="left" vertical="center" wrapText="1"/>
      <protection/>
    </xf>
    <xf numFmtId="3" fontId="16" fillId="0" borderId="0" xfId="57" applyNumberFormat="1" applyFont="1" applyFill="1" applyBorder="1" applyAlignment="1">
      <alignment vertical="center"/>
      <protection/>
    </xf>
    <xf numFmtId="3" fontId="16" fillId="0" borderId="58" xfId="57" applyNumberFormat="1" applyFont="1" applyFill="1" applyBorder="1" applyAlignment="1">
      <alignment vertical="center"/>
      <protection/>
    </xf>
    <xf numFmtId="3" fontId="16" fillId="0" borderId="86" xfId="57" applyNumberFormat="1" applyFont="1" applyFill="1" applyBorder="1" applyAlignment="1">
      <alignment vertical="center"/>
      <protection/>
    </xf>
    <xf numFmtId="3" fontId="16" fillId="0" borderId="15" xfId="57" applyNumberFormat="1" applyFont="1" applyFill="1" applyBorder="1" applyAlignment="1">
      <alignment vertical="center"/>
      <protection/>
    </xf>
    <xf numFmtId="3" fontId="16" fillId="0" borderId="31" xfId="57" applyNumberFormat="1" applyFont="1" applyFill="1" applyBorder="1" applyAlignment="1">
      <alignment vertical="center"/>
      <protection/>
    </xf>
    <xf numFmtId="0" fontId="15" fillId="0" borderId="55" xfId="57" applyFont="1" applyFill="1" applyBorder="1" applyAlignment="1">
      <alignment vertical="center"/>
      <protection/>
    </xf>
    <xf numFmtId="0" fontId="15" fillId="0" borderId="55" xfId="57" applyFont="1" applyFill="1" applyBorder="1" applyAlignment="1">
      <alignment horizontal="justify" vertical="center"/>
      <protection/>
    </xf>
    <xf numFmtId="3" fontId="15" fillId="0" borderId="31" xfId="57" applyNumberFormat="1" applyFont="1" applyFill="1" applyBorder="1" applyAlignment="1">
      <alignment horizontal="right" vertical="center"/>
      <protection/>
    </xf>
    <xf numFmtId="3" fontId="15" fillId="0" borderId="58" xfId="57" applyNumberFormat="1" applyFont="1" applyFill="1" applyBorder="1" applyAlignment="1">
      <alignment horizontal="right" vertical="center"/>
      <protection/>
    </xf>
    <xf numFmtId="3" fontId="15" fillId="0" borderId="15" xfId="57" applyNumberFormat="1" applyFont="1" applyFill="1" applyBorder="1" applyAlignment="1">
      <alignment vertical="center"/>
      <protection/>
    </xf>
    <xf numFmtId="0" fontId="16" fillId="0" borderId="115" xfId="57" applyFont="1" applyFill="1" applyBorder="1" applyAlignment="1">
      <alignment vertical="center"/>
      <protection/>
    </xf>
    <xf numFmtId="3" fontId="16" fillId="0" borderId="32" xfId="57" applyNumberFormat="1" applyFont="1" applyFill="1" applyBorder="1" applyAlignment="1">
      <alignment vertical="center"/>
      <protection/>
    </xf>
    <xf numFmtId="3" fontId="16" fillId="0" borderId="53" xfId="57" applyNumberFormat="1" applyFont="1" applyFill="1" applyBorder="1" applyAlignment="1">
      <alignment vertical="center"/>
      <protection/>
    </xf>
    <xf numFmtId="3" fontId="16" fillId="0" borderId="61" xfId="57" applyNumberFormat="1" applyFont="1" applyFill="1" applyBorder="1" applyAlignment="1">
      <alignment vertical="center"/>
      <protection/>
    </xf>
    <xf numFmtId="3" fontId="16" fillId="0" borderId="23" xfId="57" applyNumberFormat="1" applyFont="1" applyFill="1" applyBorder="1" applyAlignment="1">
      <alignment vertical="center"/>
      <protection/>
    </xf>
    <xf numFmtId="0" fontId="58" fillId="0" borderId="0" xfId="57" applyFont="1" applyFill="1" applyBorder="1" applyAlignment="1">
      <alignment vertical="center"/>
      <protection/>
    </xf>
    <xf numFmtId="3" fontId="58" fillId="0" borderId="0" xfId="57" applyNumberFormat="1" applyFont="1" applyFill="1" applyBorder="1" applyAlignment="1">
      <alignment vertical="center"/>
      <protection/>
    </xf>
    <xf numFmtId="0" fontId="16" fillId="0" borderId="82" xfId="57" applyFont="1" applyFill="1" applyBorder="1" applyAlignment="1">
      <alignment vertical="center"/>
      <protection/>
    </xf>
    <xf numFmtId="3" fontId="16" fillId="0" borderId="82" xfId="57" applyNumberFormat="1" applyFont="1" applyFill="1" applyBorder="1" applyAlignment="1">
      <alignment vertical="center"/>
      <protection/>
    </xf>
    <xf numFmtId="0" fontId="16" fillId="0" borderId="54" xfId="57" applyFont="1" applyFill="1" applyBorder="1" applyAlignment="1">
      <alignment vertical="center"/>
      <protection/>
    </xf>
    <xf numFmtId="3" fontId="16" fillId="0" borderId="54" xfId="57" applyNumberFormat="1" applyFont="1" applyFill="1" applyBorder="1" applyAlignment="1">
      <alignment vertical="center"/>
      <protection/>
    </xf>
    <xf numFmtId="0" fontId="15" fillId="0" borderId="27" xfId="57" applyFont="1" applyFill="1" applyBorder="1" applyAlignment="1">
      <alignment horizontal="center" vertical="center"/>
      <protection/>
    </xf>
    <xf numFmtId="0" fontId="56" fillId="0" borderId="27" xfId="57" applyFont="1" applyFill="1" applyBorder="1" applyAlignment="1">
      <alignment horizontal="center" vertical="center"/>
      <protection/>
    </xf>
    <xf numFmtId="0" fontId="56" fillId="0" borderId="76" xfId="57" applyFont="1" applyFill="1" applyBorder="1" applyAlignment="1">
      <alignment horizontal="center" vertical="center"/>
      <protection/>
    </xf>
    <xf numFmtId="3" fontId="16" fillId="0" borderId="62" xfId="57" applyNumberFormat="1" applyFont="1" applyFill="1" applyBorder="1" applyAlignment="1">
      <alignment vertical="center"/>
      <protection/>
    </xf>
    <xf numFmtId="0" fontId="16" fillId="0" borderId="55" xfId="57" applyFont="1" applyFill="1" applyBorder="1" applyAlignment="1">
      <alignment horizontal="justify" vertical="center"/>
      <protection/>
    </xf>
    <xf numFmtId="3" fontId="16" fillId="0" borderId="62" xfId="57" applyNumberFormat="1" applyFont="1" applyFill="1" applyBorder="1" applyAlignment="1">
      <alignment horizontal="right" vertical="center"/>
      <protection/>
    </xf>
    <xf numFmtId="0" fontId="15" fillId="0" borderId="55" xfId="57" applyFont="1" applyFill="1" applyBorder="1" applyAlignment="1">
      <alignment horizontal="justify"/>
      <protection/>
    </xf>
    <xf numFmtId="3" fontId="15" fillId="0" borderId="58" xfId="57" applyNumberFormat="1" applyFont="1" applyFill="1" applyBorder="1" applyAlignment="1">
      <alignment horizontal="right"/>
      <protection/>
    </xf>
    <xf numFmtId="3" fontId="15" fillId="0" borderId="62" xfId="57" applyNumberFormat="1" applyFont="1" applyFill="1" applyBorder="1" applyAlignment="1">
      <alignment horizontal="right" vertical="center"/>
      <protection/>
    </xf>
    <xf numFmtId="0" fontId="16" fillId="0" borderId="115" xfId="57" applyFont="1" applyFill="1" applyBorder="1" applyAlignment="1">
      <alignment horizontal="justify" vertical="center"/>
      <protection/>
    </xf>
    <xf numFmtId="3" fontId="16" fillId="0" borderId="63" xfId="57" applyNumberFormat="1" applyFont="1" applyFill="1" applyBorder="1" applyAlignment="1">
      <alignment vertical="center"/>
      <protection/>
    </xf>
    <xf numFmtId="0" fontId="15" fillId="0" borderId="0" xfId="57" applyFont="1" applyFill="1" applyAlignment="1">
      <alignment horizontal="justify"/>
      <protection/>
    </xf>
    <xf numFmtId="0" fontId="15" fillId="0" borderId="0" xfId="58" applyFont="1" applyFill="1" applyAlignment="1">
      <alignment/>
      <protection/>
    </xf>
    <xf numFmtId="0" fontId="15" fillId="0" borderId="0" xfId="58" applyFont="1" applyFill="1" applyAlignment="1">
      <alignment horizontal="right"/>
      <protection/>
    </xf>
    <xf numFmtId="0" fontId="55" fillId="0" borderId="0" xfId="58" applyFont="1" applyFill="1" applyAlignment="1">
      <alignment horizontal="right"/>
      <protection/>
    </xf>
    <xf numFmtId="0" fontId="30" fillId="0" borderId="46" xfId="58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15" fillId="0" borderId="0" xfId="58" applyFont="1" applyFill="1" applyAlignment="1">
      <alignment vertical="center"/>
      <protection/>
    </xf>
    <xf numFmtId="0" fontId="28" fillId="0" borderId="37" xfId="58" applyFont="1" applyFill="1" applyBorder="1" applyAlignment="1">
      <alignment horizontal="center" vertical="center"/>
      <protection/>
    </xf>
    <xf numFmtId="0" fontId="28" fillId="0" borderId="132" xfId="58" applyFont="1" applyFill="1" applyBorder="1" applyAlignment="1">
      <alignment horizontal="left" vertical="center"/>
      <protection/>
    </xf>
    <xf numFmtId="3" fontId="28" fillId="0" borderId="38" xfId="58" applyNumberFormat="1" applyFont="1" applyFill="1" applyBorder="1" applyAlignment="1">
      <alignment horizontal="right" vertical="center"/>
      <protection/>
    </xf>
    <xf numFmtId="3" fontId="28" fillId="0" borderId="39" xfId="58" applyNumberFormat="1" applyFont="1" applyFill="1" applyBorder="1" applyAlignment="1">
      <alignment horizontal="right" vertical="center"/>
      <protection/>
    </xf>
    <xf numFmtId="3" fontId="16" fillId="0" borderId="0" xfId="58" applyNumberFormat="1" applyFont="1" applyFill="1" applyBorder="1" applyAlignment="1">
      <alignment horizontal="right" vertical="center"/>
      <protection/>
    </xf>
    <xf numFmtId="0" fontId="28" fillId="0" borderId="41" xfId="58" applyFont="1" applyFill="1" applyBorder="1" applyAlignment="1">
      <alignment horizontal="left" vertical="center" wrapText="1"/>
      <protection/>
    </xf>
    <xf numFmtId="3" fontId="28" fillId="0" borderId="41" xfId="58" applyNumberFormat="1" applyFont="1" applyFill="1" applyBorder="1" applyAlignment="1">
      <alignment horizontal="right" vertical="center"/>
      <protection/>
    </xf>
    <xf numFmtId="3" fontId="28" fillId="0" borderId="42" xfId="58" applyNumberFormat="1" applyFont="1" applyFill="1" applyBorder="1" applyAlignment="1">
      <alignment horizontal="right" vertical="center"/>
      <protection/>
    </xf>
    <xf numFmtId="3" fontId="15" fillId="0" borderId="0" xfId="58" applyNumberFormat="1" applyFont="1" applyFill="1" applyBorder="1" applyAlignment="1">
      <alignment vertical="center"/>
      <protection/>
    </xf>
    <xf numFmtId="0" fontId="28" fillId="0" borderId="41" xfId="58" applyFont="1" applyFill="1" applyBorder="1" applyAlignment="1">
      <alignment horizontal="left" vertical="center"/>
      <protection/>
    </xf>
    <xf numFmtId="0" fontId="28" fillId="0" borderId="44" xfId="58" applyFont="1" applyFill="1" applyBorder="1" applyAlignment="1">
      <alignment horizontal="left" vertical="center"/>
      <protection/>
    </xf>
    <xf numFmtId="3" fontId="28" fillId="0" borderId="44" xfId="58" applyNumberFormat="1" applyFont="1" applyFill="1" applyBorder="1" applyAlignment="1">
      <alignment horizontal="right" vertical="center"/>
      <protection/>
    </xf>
    <xf numFmtId="3" fontId="28" fillId="0" borderId="45" xfId="58" applyNumberFormat="1" applyFont="1" applyFill="1" applyBorder="1" applyAlignment="1">
      <alignment horizontal="right" vertical="center"/>
      <protection/>
    </xf>
    <xf numFmtId="3" fontId="16" fillId="0" borderId="0" xfId="58" applyNumberFormat="1" applyFont="1" applyFill="1" applyBorder="1" applyAlignment="1">
      <alignment vertical="center"/>
      <protection/>
    </xf>
    <xf numFmtId="0" fontId="28" fillId="0" borderId="55" xfId="58" applyFont="1" applyFill="1" applyBorder="1" applyAlignment="1">
      <alignment horizontal="center" vertical="center"/>
      <protection/>
    </xf>
    <xf numFmtId="0" fontId="28" fillId="0" borderId="34" xfId="58" applyFont="1" applyFill="1" applyBorder="1" applyAlignment="1">
      <alignment horizontal="center" vertical="center"/>
      <protection/>
    </xf>
    <xf numFmtId="0" fontId="30" fillId="0" borderId="35" xfId="58" applyFont="1" applyFill="1" applyBorder="1" applyAlignment="1">
      <alignment horizontal="center" vertical="center" wrapText="1"/>
      <protection/>
    </xf>
    <xf numFmtId="3" fontId="30" fillId="0" borderId="35" xfId="58" applyNumberFormat="1" applyFont="1" applyFill="1" applyBorder="1" applyAlignment="1">
      <alignment horizontal="right" vertical="center"/>
      <protection/>
    </xf>
    <xf numFmtId="3" fontId="30" fillId="0" borderId="36" xfId="58" applyNumberFormat="1" applyFont="1" applyFill="1" applyBorder="1" applyAlignment="1">
      <alignment horizontal="right" vertical="center"/>
      <protection/>
    </xf>
    <xf numFmtId="0" fontId="30" fillId="0" borderId="38" xfId="58" applyFont="1" applyFill="1" applyBorder="1" applyAlignment="1">
      <alignment horizontal="left" vertical="center" wrapText="1"/>
      <protection/>
    </xf>
    <xf numFmtId="0" fontId="30" fillId="0" borderId="41" xfId="58" applyFont="1" applyFill="1" applyBorder="1" applyAlignment="1">
      <alignment horizontal="left" vertical="center" wrapText="1"/>
      <protection/>
    </xf>
    <xf numFmtId="0" fontId="30" fillId="0" borderId="35" xfId="58" applyFont="1" applyFill="1" applyBorder="1" applyAlignment="1">
      <alignment horizontal="left" vertical="center"/>
      <protection/>
    </xf>
    <xf numFmtId="0" fontId="28" fillId="0" borderId="38" xfId="58" applyFont="1" applyFill="1" applyBorder="1" applyAlignment="1">
      <alignment horizontal="left" vertical="center"/>
      <protection/>
    </xf>
    <xf numFmtId="0" fontId="28" fillId="0" borderId="58" xfId="58" applyFont="1" applyFill="1" applyBorder="1" applyAlignment="1">
      <alignment horizontal="left" vertical="center"/>
      <protection/>
    </xf>
    <xf numFmtId="3" fontId="28" fillId="0" borderId="58" xfId="58" applyNumberFormat="1" applyFont="1" applyFill="1" applyBorder="1" applyAlignment="1">
      <alignment horizontal="right" vertical="center"/>
      <protection/>
    </xf>
    <xf numFmtId="3" fontId="28" fillId="0" borderId="62" xfId="58" applyNumberFormat="1" applyFont="1" applyFill="1" applyBorder="1" applyAlignment="1">
      <alignment horizontal="right" vertical="center"/>
      <protection/>
    </xf>
    <xf numFmtId="0" fontId="28" fillId="0" borderId="115" xfId="58" applyFont="1" applyFill="1" applyBorder="1" applyAlignment="1">
      <alignment horizontal="center" vertical="center"/>
      <protection/>
    </xf>
    <xf numFmtId="0" fontId="30" fillId="0" borderId="61" xfId="58" applyFont="1" applyFill="1" applyBorder="1" applyAlignment="1">
      <alignment horizontal="left" vertical="center"/>
      <protection/>
    </xf>
    <xf numFmtId="3" fontId="30" fillId="0" borderId="61" xfId="58" applyNumberFormat="1" applyFont="1" applyFill="1" applyBorder="1" applyAlignment="1">
      <alignment horizontal="right" vertical="center"/>
      <protection/>
    </xf>
    <xf numFmtId="3" fontId="30" fillId="0" borderId="63" xfId="58" applyNumberFormat="1" applyFont="1" applyFill="1" applyBorder="1" applyAlignment="1">
      <alignment horizontal="right" vertical="center"/>
      <protection/>
    </xf>
    <xf numFmtId="0" fontId="30" fillId="0" borderId="38" xfId="58" applyFont="1" applyFill="1" applyBorder="1" applyAlignment="1">
      <alignment horizontal="left" vertical="center"/>
      <protection/>
    </xf>
    <xf numFmtId="0" fontId="30" fillId="0" borderId="41" xfId="58" applyFont="1" applyFill="1" applyBorder="1" applyAlignment="1">
      <alignment horizontal="left" vertical="center"/>
      <protection/>
    </xf>
    <xf numFmtId="0" fontId="28" fillId="0" borderId="44" xfId="58" applyFont="1" applyFill="1" applyBorder="1" applyAlignment="1">
      <alignment horizontal="left" vertical="center" wrapText="1"/>
      <protection/>
    </xf>
    <xf numFmtId="3" fontId="28" fillId="0" borderId="75" xfId="58" applyNumberFormat="1" applyFont="1" applyFill="1" applyBorder="1" applyAlignment="1">
      <alignment horizontal="right" vertical="center"/>
      <protection/>
    </xf>
    <xf numFmtId="0" fontId="28" fillId="0" borderId="133" xfId="58" applyFont="1" applyFill="1" applyBorder="1" applyAlignment="1">
      <alignment horizontal="center" vertical="center"/>
      <protection/>
    </xf>
    <xf numFmtId="3" fontId="30" fillId="0" borderId="65" xfId="58" applyNumberFormat="1" applyFont="1" applyFill="1" applyBorder="1" applyAlignment="1">
      <alignment horizontal="right" vertical="center"/>
      <protection/>
    </xf>
    <xf numFmtId="0" fontId="15" fillId="0" borderId="0" xfId="59" applyFont="1" applyFill="1" applyAlignment="1">
      <alignment/>
      <protection/>
    </xf>
    <xf numFmtId="0" fontId="55" fillId="0" borderId="0" xfId="59" applyFont="1" applyFill="1" applyAlignment="1">
      <alignment horizontal="right"/>
      <protection/>
    </xf>
    <xf numFmtId="0" fontId="28" fillId="0" borderId="134" xfId="59" applyFont="1" applyFill="1" applyBorder="1" applyAlignment="1">
      <alignment vertical="center"/>
      <protection/>
    </xf>
    <xf numFmtId="0" fontId="28" fillId="0" borderId="135" xfId="59" applyFont="1" applyFill="1" applyBorder="1" applyAlignment="1">
      <alignment vertical="center"/>
      <protection/>
    </xf>
    <xf numFmtId="3" fontId="28" fillId="0" borderId="135" xfId="59" applyNumberFormat="1" applyFont="1" applyFill="1" applyBorder="1" applyAlignment="1">
      <alignment horizontal="right" vertical="center"/>
      <protection/>
    </xf>
    <xf numFmtId="3" fontId="30" fillId="0" borderId="136" xfId="59" applyNumberFormat="1" applyFont="1" applyFill="1" applyBorder="1" applyAlignment="1">
      <alignment horizontal="right" vertical="center"/>
      <protection/>
    </xf>
    <xf numFmtId="0" fontId="28" fillId="0" borderId="55" xfId="59" applyFont="1" applyFill="1" applyBorder="1" applyAlignment="1">
      <alignment vertical="center"/>
      <protection/>
    </xf>
    <xf numFmtId="0" fontId="28" fillId="0" borderId="31" xfId="59" applyFont="1" applyFill="1" applyBorder="1" applyAlignment="1">
      <alignment vertical="center"/>
      <protection/>
    </xf>
    <xf numFmtId="3" fontId="28" fillId="0" borderId="31" xfId="59" applyNumberFormat="1" applyFont="1" applyFill="1" applyBorder="1" applyAlignment="1">
      <alignment horizontal="right" vertical="center"/>
      <protection/>
    </xf>
    <xf numFmtId="3" fontId="30" fillId="0" borderId="62" xfId="59" applyNumberFormat="1" applyFont="1" applyFill="1" applyBorder="1" applyAlignment="1">
      <alignment horizontal="right" vertical="center"/>
      <protection/>
    </xf>
    <xf numFmtId="0" fontId="28" fillId="0" borderId="31" xfId="59" applyFont="1" applyFill="1" applyBorder="1" applyAlignment="1">
      <alignment vertical="center" wrapText="1"/>
      <protection/>
    </xf>
    <xf numFmtId="0" fontId="28" fillId="0" borderId="52" xfId="59" applyFont="1" applyFill="1" applyBorder="1" applyAlignment="1">
      <alignment/>
      <protection/>
    </xf>
    <xf numFmtId="0" fontId="28" fillId="0" borderId="137" xfId="59" applyFont="1" applyFill="1" applyBorder="1" applyAlignment="1">
      <alignment/>
      <protection/>
    </xf>
    <xf numFmtId="3" fontId="28" fillId="0" borderId="137" xfId="59" applyNumberFormat="1" applyFont="1" applyFill="1" applyBorder="1" applyAlignment="1">
      <alignment horizontal="right" vertical="center"/>
      <protection/>
    </xf>
    <xf numFmtId="3" fontId="30" fillId="0" borderId="138" xfId="59" applyNumberFormat="1" applyFont="1" applyFill="1" applyBorder="1" applyAlignment="1">
      <alignment horizontal="right" vertical="center"/>
      <protection/>
    </xf>
    <xf numFmtId="0" fontId="28" fillId="0" borderId="55" xfId="59" applyFont="1" applyFill="1" applyBorder="1" applyAlignment="1">
      <alignment/>
      <protection/>
    </xf>
    <xf numFmtId="0" fontId="28" fillId="0" borderId="31" xfId="59" applyFont="1" applyFill="1" applyBorder="1" applyAlignment="1">
      <alignment/>
      <protection/>
    </xf>
    <xf numFmtId="0" fontId="28" fillId="0" borderId="51" xfId="59" applyFont="1" applyFill="1" applyBorder="1" applyAlignment="1">
      <alignment/>
      <protection/>
    </xf>
    <xf numFmtId="0" fontId="28" fillId="0" borderId="139" xfId="59" applyFont="1" applyFill="1" applyBorder="1" applyAlignment="1">
      <alignment/>
      <protection/>
    </xf>
    <xf numFmtId="3" fontId="28" fillId="0" borderId="139" xfId="59" applyNumberFormat="1" applyFont="1" applyFill="1" applyBorder="1" applyAlignment="1">
      <alignment horizontal="right" vertical="center"/>
      <protection/>
    </xf>
    <xf numFmtId="3" fontId="30" fillId="0" borderId="140" xfId="59" applyNumberFormat="1" applyFont="1" applyFill="1" applyBorder="1" applyAlignment="1">
      <alignment horizontal="right" vertical="center"/>
      <protection/>
    </xf>
    <xf numFmtId="3" fontId="30" fillId="0" borderId="77" xfId="59" applyNumberFormat="1" applyFont="1" applyFill="1" applyBorder="1" applyAlignment="1">
      <alignment horizontal="right" vertical="center"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15" fillId="0" borderId="0" xfId="59" applyFont="1" applyFill="1" applyAlignment="1">
      <alignment vertical="center"/>
      <protection/>
    </xf>
    <xf numFmtId="0" fontId="30" fillId="0" borderId="71" xfId="59" applyFont="1" applyFill="1" applyBorder="1" applyAlignment="1">
      <alignment/>
      <protection/>
    </xf>
    <xf numFmtId="0" fontId="30" fillId="0" borderId="73" xfId="59" applyFont="1" applyFill="1" applyBorder="1" applyAlignment="1">
      <alignment/>
      <protection/>
    </xf>
    <xf numFmtId="3" fontId="30" fillId="0" borderId="73" xfId="59" applyNumberFormat="1" applyFont="1" applyFill="1" applyBorder="1" applyAlignment="1">
      <alignment horizontal="right" vertical="center"/>
      <protection/>
    </xf>
    <xf numFmtId="3" fontId="30" fillId="0" borderId="76" xfId="59" applyNumberFormat="1" applyFont="1" applyFill="1" applyBorder="1" applyAlignment="1">
      <alignment horizontal="right" vertical="center"/>
      <protection/>
    </xf>
    <xf numFmtId="3" fontId="16" fillId="0" borderId="0" xfId="59" applyNumberFormat="1" applyFont="1" applyFill="1" applyBorder="1" applyAlignment="1">
      <alignment horizontal="right" vertical="center"/>
      <protection/>
    </xf>
    <xf numFmtId="0" fontId="30" fillId="0" borderId="55" xfId="59" applyFont="1" applyFill="1" applyBorder="1" applyAlignment="1">
      <alignment/>
      <protection/>
    </xf>
    <xf numFmtId="0" fontId="30" fillId="0" borderId="31" xfId="59" applyFont="1" applyFill="1" applyBorder="1" applyAlignment="1">
      <alignment/>
      <protection/>
    </xf>
    <xf numFmtId="3" fontId="30" fillId="0" borderId="31" xfId="59" applyNumberFormat="1" applyFont="1" applyFill="1" applyBorder="1" applyAlignment="1">
      <alignment horizontal="right" vertical="center"/>
      <protection/>
    </xf>
    <xf numFmtId="3" fontId="15" fillId="0" borderId="0" xfId="59" applyNumberFormat="1" applyFont="1" applyFill="1" applyBorder="1" applyAlignment="1">
      <alignment vertical="center"/>
      <protection/>
    </xf>
    <xf numFmtId="0" fontId="30" fillId="0" borderId="72" xfId="59" applyFont="1" applyFill="1" applyBorder="1" applyAlignment="1">
      <alignment vertical="center"/>
      <protection/>
    </xf>
    <xf numFmtId="0" fontId="30" fillId="0" borderId="79" xfId="59" applyFont="1" applyFill="1" applyBorder="1" applyAlignment="1">
      <alignment vertical="center"/>
      <protection/>
    </xf>
    <xf numFmtId="3" fontId="30" fillId="0" borderId="79" xfId="59" applyNumberFormat="1" applyFont="1" applyFill="1" applyBorder="1" applyAlignment="1">
      <alignment horizontal="right" vertical="center"/>
      <protection/>
    </xf>
    <xf numFmtId="3" fontId="16" fillId="0" borderId="0" xfId="59" applyNumberFormat="1" applyFont="1" applyFill="1" applyBorder="1" applyAlignment="1">
      <alignment vertical="center"/>
      <protection/>
    </xf>
    <xf numFmtId="0" fontId="30" fillId="0" borderId="73" xfId="59" applyFont="1" applyBorder="1" applyAlignment="1">
      <alignment horizontal="right" vertical="center"/>
      <protection/>
    </xf>
    <xf numFmtId="0" fontId="30" fillId="0" borderId="73" xfId="70" applyFont="1" applyBorder="1" applyAlignment="1">
      <alignment horizontal="right" vertical="center"/>
      <protection/>
    </xf>
    <xf numFmtId="0" fontId="30" fillId="0" borderId="27" xfId="59" applyFont="1" applyBorder="1" applyAlignment="1">
      <alignment horizontal="right" vertical="center"/>
      <protection/>
    </xf>
    <xf numFmtId="0" fontId="30" fillId="0" borderId="76" xfId="70" applyFont="1" applyBorder="1" applyAlignment="1">
      <alignment horizontal="right" vertical="center"/>
      <protection/>
    </xf>
    <xf numFmtId="0" fontId="16" fillId="0" borderId="0" xfId="59" applyFont="1" applyFill="1" applyAlignment="1">
      <alignment vertical="center"/>
      <protection/>
    </xf>
    <xf numFmtId="3" fontId="30" fillId="0" borderId="31" xfId="59" applyNumberFormat="1" applyFont="1" applyBorder="1" applyAlignment="1">
      <alignment horizontal="right" vertical="center"/>
      <protection/>
    </xf>
    <xf numFmtId="0" fontId="30" fillId="0" borderId="72" xfId="59" applyFont="1" applyFill="1" applyBorder="1" applyAlignment="1">
      <alignment/>
      <protection/>
    </xf>
    <xf numFmtId="0" fontId="30" fillId="0" borderId="79" xfId="59" applyFont="1" applyFill="1" applyBorder="1" applyAlignment="1">
      <alignment/>
      <protection/>
    </xf>
    <xf numFmtId="0" fontId="30" fillId="0" borderId="79" xfId="59" applyFont="1" applyBorder="1" applyAlignment="1">
      <alignment horizontal="right" vertical="center"/>
      <protection/>
    </xf>
    <xf numFmtId="0" fontId="30" fillId="0" borderId="79" xfId="70" applyFont="1" applyBorder="1" applyAlignment="1">
      <alignment horizontal="right" vertical="center"/>
      <protection/>
    </xf>
    <xf numFmtId="0" fontId="30" fillId="0" borderId="59" xfId="59" applyFont="1" applyBorder="1" applyAlignment="1">
      <alignment horizontal="right" vertical="center"/>
      <protection/>
    </xf>
    <xf numFmtId="0" fontId="30" fillId="0" borderId="77" xfId="70" applyFont="1" applyBorder="1" applyAlignment="1">
      <alignment horizontal="right" vertical="center"/>
      <protection/>
    </xf>
    <xf numFmtId="0" fontId="28" fillId="0" borderId="40" xfId="59" applyFont="1" applyFill="1" applyBorder="1" applyAlignment="1">
      <alignment/>
      <protection/>
    </xf>
    <xf numFmtId="0" fontId="15" fillId="0" borderId="109" xfId="59" applyFont="1" applyFill="1" applyBorder="1" applyAlignment="1">
      <alignment/>
      <protection/>
    </xf>
    <xf numFmtId="0" fontId="11" fillId="0" borderId="0" xfId="60" applyFont="1">
      <alignment/>
      <protection/>
    </xf>
    <xf numFmtId="0" fontId="59" fillId="0" borderId="0" xfId="60" applyFont="1" applyAlignment="1">
      <alignment horizontal="right"/>
      <protection/>
    </xf>
    <xf numFmtId="0" fontId="59" fillId="0" borderId="73" xfId="60" applyFont="1" applyBorder="1" applyAlignment="1">
      <alignment horizontal="center"/>
      <protection/>
    </xf>
    <xf numFmtId="0" fontId="59" fillId="0" borderId="56" xfId="60" applyFont="1" applyBorder="1" applyAlignment="1">
      <alignment horizontal="center"/>
      <protection/>
    </xf>
    <xf numFmtId="0" fontId="59" fillId="0" borderId="31" xfId="60" applyFont="1" applyBorder="1" applyAlignment="1">
      <alignment horizontal="center"/>
      <protection/>
    </xf>
    <xf numFmtId="0" fontId="59" fillId="0" borderId="15" xfId="60" applyFont="1" applyBorder="1" applyAlignment="1">
      <alignment horizontal="center"/>
      <protection/>
    </xf>
    <xf numFmtId="0" fontId="59" fillId="0" borderId="79" xfId="60" applyFont="1" applyBorder="1" applyAlignment="1">
      <alignment horizontal="center"/>
      <protection/>
    </xf>
    <xf numFmtId="0" fontId="59" fillId="0" borderId="60" xfId="60" applyFont="1" applyBorder="1" applyAlignment="1">
      <alignment horizontal="center"/>
      <protection/>
    </xf>
    <xf numFmtId="0" fontId="11" fillId="0" borderId="134" xfId="60" applyFont="1" applyBorder="1" applyAlignment="1">
      <alignment horizontal="center" vertical="center"/>
      <protection/>
    </xf>
    <xf numFmtId="3" fontId="11" fillId="0" borderId="135" xfId="60" applyNumberFormat="1" applyFont="1" applyFill="1" applyBorder="1">
      <alignment/>
      <protection/>
    </xf>
    <xf numFmtId="3" fontId="11" fillId="0" borderId="141" xfId="60" applyNumberFormat="1" applyFont="1" applyFill="1" applyBorder="1">
      <alignment/>
      <protection/>
    </xf>
    <xf numFmtId="0" fontId="11" fillId="0" borderId="52" xfId="60" applyFont="1" applyBorder="1" applyAlignment="1">
      <alignment horizontal="center" vertical="center"/>
      <protection/>
    </xf>
    <xf numFmtId="3" fontId="11" fillId="0" borderId="137" xfId="60" applyNumberFormat="1" applyFont="1" applyFill="1" applyBorder="1">
      <alignment/>
      <protection/>
    </xf>
    <xf numFmtId="3" fontId="11" fillId="0" borderId="142" xfId="60" applyNumberFormat="1" applyFont="1" applyFill="1" applyBorder="1">
      <alignment/>
      <protection/>
    </xf>
    <xf numFmtId="3" fontId="12" fillId="0" borderId="143" xfId="60" applyNumberFormat="1" applyFont="1" applyFill="1" applyBorder="1">
      <alignment/>
      <protection/>
    </xf>
    <xf numFmtId="3" fontId="12" fillId="0" borderId="47" xfId="60" applyNumberFormat="1" applyFont="1" applyFill="1" applyBorder="1">
      <alignment/>
      <protection/>
    </xf>
    <xf numFmtId="0" fontId="11" fillId="0" borderId="144" xfId="60" applyFont="1" applyFill="1" applyBorder="1" applyAlignment="1">
      <alignment horizontal="center" vertical="center"/>
      <protection/>
    </xf>
    <xf numFmtId="0" fontId="11" fillId="0" borderId="0" xfId="60" applyFont="1" applyBorder="1">
      <alignment/>
      <protection/>
    </xf>
    <xf numFmtId="0" fontId="15" fillId="0" borderId="0" xfId="67" applyFont="1" applyFill="1" applyAlignment="1">
      <alignment/>
      <protection/>
    </xf>
    <xf numFmtId="0" fontId="55" fillId="0" borderId="0" xfId="67" applyFont="1" applyFill="1" applyAlignment="1">
      <alignment horizontal="right"/>
      <protection/>
    </xf>
    <xf numFmtId="0" fontId="15" fillId="0" borderId="0" xfId="67" applyFont="1" applyFill="1" applyBorder="1" applyAlignment="1">
      <alignment vertical="center"/>
      <protection/>
    </xf>
    <xf numFmtId="0" fontId="15" fillId="0" borderId="0" xfId="67" applyFont="1" applyFill="1" applyBorder="1" applyAlignment="1">
      <alignment horizontal="center" vertical="center"/>
      <protection/>
    </xf>
    <xf numFmtId="0" fontId="15" fillId="0" borderId="0" xfId="67" applyFont="1" applyFill="1" applyAlignment="1">
      <alignment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0" fontId="16" fillId="0" borderId="55" xfId="67" applyFont="1" applyFill="1" applyBorder="1" applyAlignment="1">
      <alignment horizontal="left" vertical="center"/>
      <protection/>
    </xf>
    <xf numFmtId="3" fontId="49" fillId="0" borderId="58" xfId="67" applyNumberFormat="1" applyFont="1" applyFill="1" applyBorder="1" applyAlignment="1">
      <alignment horizontal="right" vertical="center"/>
      <protection/>
    </xf>
    <xf numFmtId="3" fontId="49" fillId="0" borderId="62" xfId="67" applyNumberFormat="1" applyFont="1" applyFill="1" applyBorder="1" applyAlignment="1">
      <alignment horizontal="right" vertical="center"/>
      <protection/>
    </xf>
    <xf numFmtId="3" fontId="16" fillId="0" borderId="0" xfId="67" applyNumberFormat="1" applyFont="1" applyFill="1" applyBorder="1" applyAlignment="1">
      <alignment horizontal="right" vertical="center"/>
      <protection/>
    </xf>
    <xf numFmtId="0" fontId="16" fillId="0" borderId="55" xfId="67" applyFont="1" applyFill="1" applyBorder="1" applyAlignment="1">
      <alignment vertical="center"/>
      <protection/>
    </xf>
    <xf numFmtId="3" fontId="15" fillId="0" borderId="0" xfId="67" applyNumberFormat="1" applyFont="1" applyFill="1" applyBorder="1" applyAlignment="1">
      <alignment vertical="center"/>
      <protection/>
    </xf>
    <xf numFmtId="0" fontId="15" fillId="0" borderId="55" xfId="67" applyFont="1" applyFill="1" applyBorder="1" applyAlignment="1">
      <alignment horizontal="left" vertical="center"/>
      <protection/>
    </xf>
    <xf numFmtId="3" fontId="16" fillId="0" borderId="31" xfId="67" applyNumberFormat="1" applyFont="1" applyFill="1" applyBorder="1" applyAlignment="1">
      <alignment vertical="center"/>
      <protection/>
    </xf>
    <xf numFmtId="3" fontId="16" fillId="0" borderId="62" xfId="67" applyNumberFormat="1" applyFont="1" applyFill="1" applyBorder="1" applyAlignment="1">
      <alignment vertical="center"/>
      <protection/>
    </xf>
    <xf numFmtId="0" fontId="18" fillId="0" borderId="55" xfId="67" applyFont="1" applyFill="1" applyBorder="1" applyAlignment="1">
      <alignment horizontal="left" vertical="center"/>
      <protection/>
    </xf>
    <xf numFmtId="3" fontId="15" fillId="0" borderId="31" xfId="67" applyNumberFormat="1" applyFont="1" applyFill="1" applyBorder="1" applyAlignment="1">
      <alignment vertical="center"/>
      <protection/>
    </xf>
    <xf numFmtId="3" fontId="15" fillId="0" borderId="62" xfId="67" applyNumberFormat="1" applyFont="1" applyFill="1" applyBorder="1" applyAlignment="1">
      <alignment vertical="center"/>
      <protection/>
    </xf>
    <xf numFmtId="3" fontId="15" fillId="0" borderId="0" xfId="67" applyNumberFormat="1" applyFont="1" applyFill="1" applyBorder="1" applyAlignment="1">
      <alignment horizontal="center" vertical="center"/>
      <protection/>
    </xf>
    <xf numFmtId="0" fontId="15" fillId="0" borderId="55" xfId="67" applyFont="1" applyFill="1" applyBorder="1" applyAlignment="1">
      <alignment horizontal="left" vertical="center" wrapText="1"/>
      <protection/>
    </xf>
    <xf numFmtId="3" fontId="16" fillId="0" borderId="0" xfId="67" applyNumberFormat="1" applyFont="1" applyFill="1" applyBorder="1" applyAlignment="1">
      <alignment vertical="center"/>
      <protection/>
    </xf>
    <xf numFmtId="0" fontId="18" fillId="0" borderId="55" xfId="67" applyFont="1" applyFill="1" applyBorder="1" applyAlignment="1">
      <alignment horizontal="left" vertical="center" wrapText="1"/>
      <protection/>
    </xf>
    <xf numFmtId="3" fontId="49" fillId="0" borderId="58" xfId="67" applyNumberFormat="1" applyFont="1" applyFill="1" applyBorder="1" applyAlignment="1">
      <alignment vertical="center"/>
      <protection/>
    </xf>
    <xf numFmtId="3" fontId="49" fillId="0" borderId="62" xfId="67" applyNumberFormat="1" applyFont="1" applyFill="1" applyBorder="1" applyAlignment="1">
      <alignment vertical="center"/>
      <protection/>
    </xf>
    <xf numFmtId="3" fontId="16" fillId="0" borderId="31" xfId="67" applyNumberFormat="1" applyFont="1" applyFill="1" applyBorder="1" applyAlignment="1">
      <alignment vertical="center"/>
      <protection/>
    </xf>
    <xf numFmtId="3" fontId="16" fillId="0" borderId="62" xfId="67" applyNumberFormat="1" applyFont="1" applyFill="1" applyBorder="1" applyAlignment="1">
      <alignment vertical="center"/>
      <protection/>
    </xf>
    <xf numFmtId="0" fontId="15" fillId="0" borderId="55" xfId="67" applyFont="1" applyFill="1" applyBorder="1" applyAlignment="1">
      <alignment vertical="center"/>
      <protection/>
    </xf>
    <xf numFmtId="0" fontId="15" fillId="0" borderId="55" xfId="67" applyFont="1" applyFill="1" applyBorder="1" applyAlignment="1">
      <alignment horizontal="justify" vertical="center"/>
      <protection/>
    </xf>
    <xf numFmtId="3" fontId="16" fillId="0" borderId="31" xfId="67" applyNumberFormat="1" applyFont="1" applyFill="1" applyBorder="1" applyAlignment="1">
      <alignment horizontal="right" vertical="center"/>
      <protection/>
    </xf>
    <xf numFmtId="3" fontId="16" fillId="0" borderId="62" xfId="67" applyNumberFormat="1" applyFont="1" applyFill="1" applyBorder="1" applyAlignment="1">
      <alignment horizontal="right" vertical="center"/>
      <protection/>
    </xf>
    <xf numFmtId="0" fontId="16" fillId="0" borderId="115" xfId="67" applyFont="1" applyFill="1" applyBorder="1" applyAlignment="1">
      <alignment vertical="center"/>
      <protection/>
    </xf>
    <xf numFmtId="3" fontId="16" fillId="0" borderId="61" xfId="67" applyNumberFormat="1" applyFont="1" applyFill="1" applyBorder="1" applyAlignment="1">
      <alignment vertical="center"/>
      <protection/>
    </xf>
    <xf numFmtId="3" fontId="16" fillId="0" borderId="63" xfId="67" applyNumberFormat="1" applyFont="1" applyFill="1" applyBorder="1" applyAlignment="1">
      <alignment vertical="center"/>
      <protection/>
    </xf>
    <xf numFmtId="0" fontId="58" fillId="0" borderId="0" xfId="67" applyFont="1" applyFill="1" applyBorder="1" applyAlignment="1">
      <alignment vertical="center"/>
      <protection/>
    </xf>
    <xf numFmtId="3" fontId="58" fillId="0" borderId="0" xfId="67" applyNumberFormat="1" applyFont="1" applyFill="1" applyBorder="1" applyAlignment="1">
      <alignment vertical="center"/>
      <protection/>
    </xf>
    <xf numFmtId="0" fontId="16" fillId="0" borderId="0" xfId="67" applyFont="1" applyFill="1" applyBorder="1" applyAlignment="1">
      <alignment vertical="center"/>
      <protection/>
    </xf>
    <xf numFmtId="0" fontId="15" fillId="0" borderId="31" xfId="67" applyFont="1" applyFill="1" applyBorder="1" applyAlignment="1">
      <alignment horizontal="center" vertical="center"/>
      <protection/>
    </xf>
    <xf numFmtId="0" fontId="56" fillId="0" borderId="62" xfId="67" applyFont="1" applyFill="1" applyBorder="1" applyAlignment="1">
      <alignment horizontal="center" vertical="center"/>
      <protection/>
    </xf>
    <xf numFmtId="3" fontId="16" fillId="0" borderId="58" xfId="67" applyNumberFormat="1" applyFont="1" applyFill="1" applyBorder="1" applyAlignment="1">
      <alignment vertical="center"/>
      <protection/>
    </xf>
    <xf numFmtId="3" fontId="58" fillId="0" borderId="31" xfId="67" applyNumberFormat="1" applyFont="1" applyFill="1" applyBorder="1" applyAlignment="1">
      <alignment vertical="center"/>
      <protection/>
    </xf>
    <xf numFmtId="3" fontId="58" fillId="0" borderId="62" xfId="67" applyNumberFormat="1" applyFont="1" applyFill="1" applyBorder="1" applyAlignment="1">
      <alignment vertical="center"/>
      <protection/>
    </xf>
    <xf numFmtId="3" fontId="15" fillId="0" borderId="58" xfId="67" applyNumberFormat="1" applyFont="1" applyFill="1" applyBorder="1" applyAlignment="1">
      <alignment vertical="center"/>
      <protection/>
    </xf>
    <xf numFmtId="3" fontId="15" fillId="0" borderId="31" xfId="67" applyNumberFormat="1" applyFont="1" applyFill="1" applyBorder="1" applyAlignment="1">
      <alignment horizontal="right" vertical="center"/>
      <protection/>
    </xf>
    <xf numFmtId="3" fontId="15" fillId="0" borderId="31" xfId="67" applyNumberFormat="1" applyFont="1" applyFill="1" applyBorder="1" applyAlignment="1">
      <alignment horizontal="right"/>
      <protection/>
    </xf>
    <xf numFmtId="3" fontId="15" fillId="0" borderId="62" xfId="67" applyNumberFormat="1" applyFont="1" applyFill="1" applyBorder="1" applyAlignment="1">
      <alignment horizontal="right" vertical="center"/>
      <protection/>
    </xf>
    <xf numFmtId="0" fontId="16" fillId="0" borderId="55" xfId="67" applyFont="1" applyFill="1" applyBorder="1" applyAlignment="1">
      <alignment horizontal="justify" vertical="center"/>
      <protection/>
    </xf>
    <xf numFmtId="3" fontId="16" fillId="0" borderId="58" xfId="67" applyNumberFormat="1" applyFont="1" applyFill="1" applyBorder="1" applyAlignment="1">
      <alignment horizontal="right" vertical="center"/>
      <protection/>
    </xf>
    <xf numFmtId="3" fontId="16" fillId="0" borderId="62" xfId="67" applyNumberFormat="1" applyFont="1" applyFill="1" applyBorder="1" applyAlignment="1">
      <alignment horizontal="right" vertical="center"/>
      <protection/>
    </xf>
    <xf numFmtId="3" fontId="16" fillId="0" borderId="32" xfId="67" applyNumberFormat="1" applyFont="1" applyFill="1" applyBorder="1" applyAlignment="1">
      <alignment vertical="center"/>
      <protection/>
    </xf>
    <xf numFmtId="3" fontId="16" fillId="0" borderId="23" xfId="67" applyNumberFormat="1" applyFont="1" applyFill="1" applyBorder="1" applyAlignment="1">
      <alignment vertical="center"/>
      <protection/>
    </xf>
    <xf numFmtId="0" fontId="15" fillId="0" borderId="0" xfId="67" applyFont="1" applyFill="1" applyAlignment="1">
      <alignment horizontal="justify"/>
      <protection/>
    </xf>
    <xf numFmtId="0" fontId="15" fillId="0" borderId="72" xfId="67" applyFont="1" applyFill="1" applyBorder="1" applyAlignment="1">
      <alignment horizontal="justify" vertical="center"/>
      <protection/>
    </xf>
    <xf numFmtId="3" fontId="15" fillId="0" borderId="79" xfId="67" applyNumberFormat="1" applyFont="1" applyFill="1" applyBorder="1" applyAlignment="1">
      <alignment vertical="center"/>
      <protection/>
    </xf>
    <xf numFmtId="3" fontId="56" fillId="0" borderId="77" xfId="67" applyNumberFormat="1" applyFont="1" applyFill="1" applyBorder="1" applyAlignment="1">
      <alignment vertical="center"/>
      <protection/>
    </xf>
    <xf numFmtId="0" fontId="15" fillId="0" borderId="0" xfId="67" applyFont="1" applyFill="1" applyBorder="1" applyAlignment="1">
      <alignment horizontal="justify" vertical="center"/>
      <protection/>
    </xf>
    <xf numFmtId="3" fontId="56" fillId="0" borderId="0" xfId="67" applyNumberFormat="1" applyFont="1" applyFill="1" applyBorder="1" applyAlignment="1">
      <alignment vertical="center"/>
      <protection/>
    </xf>
    <xf numFmtId="3" fontId="11" fillId="0" borderId="44" xfId="0" applyNumberFormat="1" applyFont="1" applyFill="1" applyBorder="1" applyAlignment="1">
      <alignment horizontal="right" vertical="center" shrinkToFit="1"/>
    </xf>
    <xf numFmtId="3" fontId="28" fillId="0" borderId="44" xfId="0" applyNumberFormat="1" applyFont="1" applyFill="1" applyBorder="1" applyAlignment="1">
      <alignment horizontal="right" vertical="center" shrinkToFit="1"/>
    </xf>
    <xf numFmtId="0" fontId="61" fillId="0" borderId="41" xfId="56" applyFont="1" applyBorder="1" applyAlignment="1">
      <alignment/>
      <protection/>
    </xf>
    <xf numFmtId="3" fontId="48" fillId="0" borderId="118" xfId="0" applyNumberFormat="1" applyFont="1" applyFill="1" applyBorder="1" applyAlignment="1">
      <alignment horizontal="right" vertical="center" shrinkToFit="1"/>
    </xf>
    <xf numFmtId="3" fontId="19" fillId="0" borderId="62" xfId="0" applyNumberFormat="1" applyFont="1" applyFill="1" applyBorder="1" applyAlignment="1">
      <alignment horizontal="right" vertical="center" shrinkToFit="1"/>
    </xf>
    <xf numFmtId="3" fontId="34" fillId="0" borderId="62" xfId="0" applyNumberFormat="1" applyFont="1" applyFill="1" applyBorder="1" applyAlignment="1">
      <alignment horizontal="right" vertical="center" shrinkToFit="1"/>
    </xf>
    <xf numFmtId="3" fontId="34" fillId="0" borderId="63" xfId="0" applyNumberFormat="1" applyFont="1" applyFill="1" applyBorder="1" applyAlignment="1">
      <alignment horizontal="right" vertical="center" shrinkToFit="1"/>
    </xf>
    <xf numFmtId="0" fontId="61" fillId="0" borderId="0" xfId="56" applyFont="1">
      <alignment/>
      <protection/>
    </xf>
    <xf numFmtId="0" fontId="61" fillId="0" borderId="0" xfId="56" applyFont="1" applyAlignment="1">
      <alignment horizontal="center" vertical="center" wrapText="1"/>
      <protection/>
    </xf>
    <xf numFmtId="0" fontId="61" fillId="0" borderId="0" xfId="56" applyFont="1" applyAlignment="1">
      <alignment horizontal="left"/>
      <protection/>
    </xf>
    <xf numFmtId="3" fontId="61" fillId="0" borderId="0" xfId="56" applyNumberFormat="1" applyFont="1">
      <alignment/>
      <protection/>
    </xf>
    <xf numFmtId="3" fontId="62" fillId="0" borderId="0" xfId="56" applyNumberFormat="1" applyFont="1">
      <alignment/>
      <protection/>
    </xf>
    <xf numFmtId="3" fontId="62" fillId="0" borderId="0" xfId="56" applyNumberFormat="1" applyFont="1" applyAlignment="1">
      <alignment horizontal="right"/>
      <protection/>
    </xf>
    <xf numFmtId="0" fontId="32" fillId="0" borderId="0" xfId="56">
      <alignment/>
      <protection/>
    </xf>
    <xf numFmtId="0" fontId="61" fillId="0" borderId="41" xfId="56" applyFont="1" applyBorder="1" applyAlignment="1">
      <alignment horizontal="center" vertical="center" wrapText="1"/>
      <protection/>
    </xf>
    <xf numFmtId="0" fontId="50" fillId="0" borderId="0" xfId="56" applyFont="1" applyAlignment="1">
      <alignment horizontal="center" vertical="center" wrapText="1"/>
      <protection/>
    </xf>
    <xf numFmtId="3" fontId="61" fillId="0" borderId="41" xfId="56" applyNumberFormat="1" applyFont="1" applyBorder="1" applyAlignment="1">
      <alignment horizontal="center" vertical="center" wrapText="1"/>
      <protection/>
    </xf>
    <xf numFmtId="0" fontId="61" fillId="0" borderId="41" xfId="56" applyFont="1" applyBorder="1">
      <alignment/>
      <protection/>
    </xf>
    <xf numFmtId="3" fontId="61" fillId="0" borderId="38" xfId="68" applyNumberFormat="1" applyFont="1" applyBorder="1">
      <alignment/>
      <protection/>
    </xf>
    <xf numFmtId="3" fontId="61" fillId="0" borderId="38" xfId="68" applyNumberFormat="1" applyFont="1" applyBorder="1" applyAlignment="1">
      <alignment horizontal="right"/>
      <protection/>
    </xf>
    <xf numFmtId="3" fontId="61" fillId="0" borderId="41" xfId="56" applyNumberFormat="1" applyFont="1" applyBorder="1">
      <alignment/>
      <protection/>
    </xf>
    <xf numFmtId="3" fontId="62" fillId="0" borderId="41" xfId="56" applyNumberFormat="1" applyFont="1" applyBorder="1">
      <alignment/>
      <protection/>
    </xf>
    <xf numFmtId="3" fontId="61" fillId="0" borderId="41" xfId="68" applyNumberFormat="1" applyFont="1" applyBorder="1">
      <alignment/>
      <protection/>
    </xf>
    <xf numFmtId="3" fontId="61" fillId="0" borderId="41" xfId="68" applyNumberFormat="1" applyFont="1" applyBorder="1" applyAlignment="1">
      <alignment horizontal="right"/>
      <protection/>
    </xf>
    <xf numFmtId="3" fontId="61" fillId="0" borderId="44" xfId="68" applyNumberFormat="1" applyFont="1" applyBorder="1" applyAlignment="1">
      <alignment horizontal="right"/>
      <protection/>
    </xf>
    <xf numFmtId="3" fontId="62" fillId="0" borderId="41" xfId="56" applyNumberFormat="1" applyFont="1" applyBorder="1" applyAlignment="1">
      <alignment horizontal="right"/>
      <protection/>
    </xf>
    <xf numFmtId="0" fontId="63" fillId="0" borderId="0" xfId="56" applyFont="1">
      <alignment/>
      <protection/>
    </xf>
    <xf numFmtId="3" fontId="61" fillId="0" borderId="0" xfId="56" applyNumberFormat="1" applyFont="1" applyAlignment="1">
      <alignment horizontal="right"/>
      <protection/>
    </xf>
    <xf numFmtId="3" fontId="61" fillId="0" borderId="0" xfId="56" applyNumberFormat="1" applyFont="1" applyAlignment="1">
      <alignment horizontal="left"/>
      <protection/>
    </xf>
    <xf numFmtId="0" fontId="62" fillId="0" borderId="41" xfId="56" applyFont="1" applyBorder="1" applyAlignment="1">
      <alignment horizontal="center"/>
      <protection/>
    </xf>
    <xf numFmtId="0" fontId="63" fillId="0" borderId="0" xfId="56" applyFont="1">
      <alignment/>
      <protection/>
    </xf>
    <xf numFmtId="3" fontId="64" fillId="0" borderId="0" xfId="56" applyNumberFormat="1" applyFont="1" applyAlignment="1">
      <alignment horizontal="right"/>
      <protection/>
    </xf>
    <xf numFmtId="3" fontId="61" fillId="0" borderId="68" xfId="56" applyNumberFormat="1" applyFont="1" applyBorder="1" applyAlignment="1">
      <alignment horizontal="center" wrapText="1"/>
      <protection/>
    </xf>
    <xf numFmtId="3" fontId="61" fillId="0" borderId="74" xfId="56" applyNumberFormat="1" applyFont="1" applyBorder="1" applyAlignment="1">
      <alignment horizontal="center"/>
      <protection/>
    </xf>
    <xf numFmtId="3" fontId="65" fillId="0" borderId="41" xfId="56" applyNumberFormat="1" applyFont="1" applyBorder="1" applyAlignment="1">
      <alignment horizontal="right"/>
      <protection/>
    </xf>
    <xf numFmtId="3" fontId="65" fillId="0" borderId="91" xfId="56" applyNumberFormat="1" applyFont="1" applyBorder="1" applyAlignment="1">
      <alignment horizontal="right"/>
      <protection/>
    </xf>
    <xf numFmtId="0" fontId="66" fillId="0" borderId="41" xfId="0" applyFont="1" applyFill="1" applyBorder="1" applyAlignment="1">
      <alignment horizontal="center" vertical="center" shrinkToFit="1"/>
    </xf>
    <xf numFmtId="49" fontId="66" fillId="0" borderId="41" xfId="0" applyNumberFormat="1" applyFont="1" applyFill="1" applyBorder="1" applyAlignment="1">
      <alignment horizontal="center" vertical="center" shrinkToFit="1"/>
    </xf>
    <xf numFmtId="3" fontId="62" fillId="0" borderId="113" xfId="0" applyNumberFormat="1" applyFont="1" applyFill="1" applyBorder="1" applyAlignment="1">
      <alignment horizontal="right" vertical="center" shrinkToFit="1"/>
    </xf>
    <xf numFmtId="3" fontId="62" fillId="0" borderId="41" xfId="0" applyNumberFormat="1" applyFont="1" applyFill="1" applyBorder="1" applyAlignment="1">
      <alignment horizontal="right" vertical="center" shrinkToFit="1"/>
    </xf>
    <xf numFmtId="3" fontId="62" fillId="0" borderId="91" xfId="0" applyNumberFormat="1" applyFont="1" applyFill="1" applyBorder="1" applyAlignment="1">
      <alignment horizontal="right" vertical="center" shrinkToFit="1"/>
    </xf>
    <xf numFmtId="0" fontId="61" fillId="0" borderId="0" xfId="0" applyFont="1" applyFill="1" applyBorder="1" applyAlignment="1">
      <alignment horizontal="center" vertical="center" shrinkToFit="1"/>
    </xf>
    <xf numFmtId="3" fontId="61" fillId="0" borderId="41" xfId="0" applyNumberFormat="1" applyFont="1" applyFill="1" applyBorder="1" applyAlignment="1">
      <alignment horizontal="right" vertical="center" shrinkToFit="1"/>
    </xf>
    <xf numFmtId="3" fontId="61" fillId="0" borderId="42" xfId="0" applyNumberFormat="1" applyFont="1" applyFill="1" applyBorder="1" applyAlignment="1">
      <alignment horizontal="right" vertical="center" shrinkToFit="1"/>
    </xf>
    <xf numFmtId="0" fontId="61" fillId="0" borderId="41" xfId="0" applyFont="1" applyFill="1" applyBorder="1" applyAlignment="1">
      <alignment horizontal="center" vertical="center" shrinkToFit="1"/>
    </xf>
    <xf numFmtId="0" fontId="67" fillId="0" borderId="41" xfId="0" applyFont="1" applyFill="1" applyBorder="1" applyAlignment="1">
      <alignment vertical="center" shrinkToFit="1"/>
    </xf>
    <xf numFmtId="49" fontId="61" fillId="0" borderId="41" xfId="0" applyNumberFormat="1" applyFont="1" applyFill="1" applyBorder="1" applyAlignment="1">
      <alignment vertical="center" shrinkToFit="1"/>
    </xf>
    <xf numFmtId="3" fontId="64" fillId="0" borderId="41" xfId="0" applyNumberFormat="1" applyFont="1" applyFill="1" applyBorder="1" applyAlignment="1">
      <alignment horizontal="right" vertical="center" shrinkToFit="1"/>
    </xf>
    <xf numFmtId="3" fontId="64" fillId="0" borderId="42" xfId="0" applyNumberFormat="1" applyFont="1" applyFill="1" applyBorder="1" applyAlignment="1">
      <alignment horizontal="right" vertical="center" shrinkToFit="1"/>
    </xf>
    <xf numFmtId="0" fontId="62" fillId="0" borderId="41" xfId="0" applyFont="1" applyFill="1" applyBorder="1" applyAlignment="1">
      <alignment horizontal="center" vertical="center" shrinkToFit="1"/>
    </xf>
    <xf numFmtId="49" fontId="62" fillId="0" borderId="41" xfId="0" applyNumberFormat="1" applyFont="1" applyFill="1" applyBorder="1" applyAlignment="1">
      <alignment horizontal="center" vertical="center" shrinkToFit="1"/>
    </xf>
    <xf numFmtId="3" fontId="62" fillId="0" borderId="42" xfId="0" applyNumberFormat="1" applyFont="1" applyFill="1" applyBorder="1" applyAlignment="1">
      <alignment horizontal="right" vertical="center" shrinkToFit="1"/>
    </xf>
    <xf numFmtId="3" fontId="61" fillId="0" borderId="44" xfId="0" applyNumberFormat="1" applyFont="1" applyFill="1" applyBorder="1" applyAlignment="1">
      <alignment horizontal="right" vertical="center" shrinkToFit="1"/>
    </xf>
    <xf numFmtId="0" fontId="61" fillId="0" borderId="38" xfId="0" applyFont="1" applyFill="1" applyBorder="1" applyAlignment="1">
      <alignment horizontal="left" vertical="center" shrinkToFit="1"/>
    </xf>
    <xf numFmtId="3" fontId="64" fillId="0" borderId="38" xfId="0" applyNumberFormat="1" applyFont="1" applyFill="1" applyBorder="1" applyAlignment="1">
      <alignment horizontal="right" vertical="center" shrinkToFit="1"/>
    </xf>
    <xf numFmtId="3" fontId="64" fillId="0" borderId="39" xfId="0" applyNumberFormat="1" applyFont="1" applyFill="1" applyBorder="1" applyAlignment="1">
      <alignment horizontal="right" vertical="center" shrinkToFit="1"/>
    </xf>
    <xf numFmtId="49" fontId="66" fillId="0" borderId="41" xfId="0" applyNumberFormat="1" applyFont="1" applyFill="1" applyBorder="1" applyAlignment="1">
      <alignment vertical="center" shrinkToFit="1"/>
    </xf>
    <xf numFmtId="0" fontId="61" fillId="0" borderId="38" xfId="0" applyFont="1" applyFill="1" applyBorder="1" applyAlignment="1">
      <alignment horizontal="center" vertical="center" shrinkToFit="1"/>
    </xf>
    <xf numFmtId="0" fontId="67" fillId="0" borderId="38" xfId="0" applyFont="1" applyFill="1" applyBorder="1" applyAlignment="1">
      <alignment vertical="center" shrinkToFit="1"/>
    </xf>
    <xf numFmtId="0" fontId="66" fillId="0" borderId="38" xfId="0" applyFont="1" applyFill="1" applyBorder="1" applyAlignment="1">
      <alignment vertical="center" shrinkToFit="1"/>
    </xf>
    <xf numFmtId="3" fontId="61" fillId="0" borderId="41" xfId="0" applyNumberFormat="1" applyFont="1" applyFill="1" applyBorder="1" applyAlignment="1">
      <alignment vertical="center"/>
    </xf>
    <xf numFmtId="0" fontId="61" fillId="0" borderId="58" xfId="0" applyFont="1" applyFill="1" applyBorder="1" applyAlignment="1">
      <alignment horizontal="center" vertical="center" shrinkToFit="1"/>
    </xf>
    <xf numFmtId="49" fontId="61" fillId="0" borderId="58" xfId="0" applyNumberFormat="1" applyFont="1" applyFill="1" applyBorder="1" applyAlignment="1">
      <alignment horizontal="justify" vertical="center" shrinkToFit="1"/>
    </xf>
    <xf numFmtId="3" fontId="61" fillId="0" borderId="45" xfId="0" applyNumberFormat="1" applyFont="1" applyFill="1" applyBorder="1" applyAlignment="1">
      <alignment horizontal="right" vertical="center" shrinkToFit="1"/>
    </xf>
    <xf numFmtId="3" fontId="62" fillId="0" borderId="92" xfId="0" applyNumberFormat="1" applyFont="1" applyFill="1" applyBorder="1" applyAlignment="1">
      <alignment horizontal="right" vertical="center" shrinkToFit="1"/>
    </xf>
    <xf numFmtId="3" fontId="62" fillId="0" borderId="93" xfId="0" applyNumberFormat="1" applyFont="1" applyFill="1" applyBorder="1" applyAlignment="1">
      <alignment horizontal="right" vertical="center" shrinkToFit="1"/>
    </xf>
    <xf numFmtId="0" fontId="62" fillId="0" borderId="41" xfId="0" applyFont="1" applyBorder="1" applyAlignment="1">
      <alignment horizontal="center"/>
    </xf>
    <xf numFmtId="3" fontId="65" fillId="0" borderId="41" xfId="0" applyNumberFormat="1" applyFont="1" applyBorder="1" applyAlignment="1">
      <alignment horizontal="right"/>
    </xf>
    <xf numFmtId="3" fontId="65" fillId="0" borderId="42" xfId="0" applyNumberFormat="1" applyFont="1" applyBorder="1" applyAlignment="1">
      <alignment horizontal="right"/>
    </xf>
    <xf numFmtId="0" fontId="62" fillId="0" borderId="41" xfId="56" applyFont="1" applyBorder="1">
      <alignment/>
      <protection/>
    </xf>
    <xf numFmtId="3" fontId="65" fillId="0" borderId="42" xfId="56" applyNumberFormat="1" applyFont="1" applyBorder="1" applyAlignment="1">
      <alignment horizontal="right"/>
      <protection/>
    </xf>
    <xf numFmtId="3" fontId="61" fillId="0" borderId="41" xfId="56" applyNumberFormat="1" applyFont="1" applyBorder="1" applyAlignment="1">
      <alignment horizontal="right"/>
      <protection/>
    </xf>
    <xf numFmtId="3" fontId="61" fillId="0" borderId="42" xfId="56" applyNumberFormat="1" applyFont="1" applyBorder="1" applyAlignment="1">
      <alignment horizontal="right"/>
      <protection/>
    </xf>
    <xf numFmtId="0" fontId="61" fillId="0" borderId="40" xfId="56" applyFont="1" applyBorder="1" applyAlignment="1">
      <alignment horizontal="center"/>
      <protection/>
    </xf>
    <xf numFmtId="0" fontId="61" fillId="0" borderId="41" xfId="56" applyFont="1" applyBorder="1" applyAlignment="1">
      <alignment horizontal="center"/>
      <protection/>
    </xf>
    <xf numFmtId="3" fontId="62" fillId="0" borderId="42" xfId="56" applyNumberFormat="1" applyFont="1" applyBorder="1" applyAlignment="1">
      <alignment horizontal="right"/>
      <protection/>
    </xf>
    <xf numFmtId="0" fontId="32" fillId="0" borderId="0" xfId="56" applyAlignment="1">
      <alignment horizontal="center"/>
      <protection/>
    </xf>
    <xf numFmtId="0" fontId="62" fillId="0" borderId="40" xfId="56" applyFont="1" applyBorder="1" applyAlignment="1">
      <alignment horizontal="center"/>
      <protection/>
    </xf>
    <xf numFmtId="0" fontId="63" fillId="0" borderId="0" xfId="56" applyFont="1" applyAlignment="1">
      <alignment horizontal="center"/>
      <protection/>
    </xf>
    <xf numFmtId="0" fontId="61" fillId="0" borderId="43" xfId="56" applyFont="1" applyBorder="1" applyAlignment="1">
      <alignment horizontal="center"/>
      <protection/>
    </xf>
    <xf numFmtId="0" fontId="61" fillId="0" borderId="44" xfId="56" applyFont="1" applyBorder="1" applyAlignment="1">
      <alignment horizontal="center"/>
      <protection/>
    </xf>
    <xf numFmtId="3" fontId="62" fillId="0" borderId="44" xfId="56" applyNumberFormat="1" applyFont="1" applyBorder="1" applyAlignment="1">
      <alignment horizontal="right"/>
      <protection/>
    </xf>
    <xf numFmtId="3" fontId="62" fillId="0" borderId="45" xfId="56" applyNumberFormat="1" applyFont="1" applyBorder="1" applyAlignment="1">
      <alignment horizontal="right"/>
      <protection/>
    </xf>
    <xf numFmtId="0" fontId="62" fillId="0" borderId="44" xfId="56" applyFont="1" applyBorder="1" applyAlignment="1">
      <alignment horizontal="center"/>
      <protection/>
    </xf>
    <xf numFmtId="3" fontId="62" fillId="0" borderId="100" xfId="56" applyNumberFormat="1" applyFont="1" applyBorder="1" applyAlignment="1">
      <alignment horizontal="right"/>
      <protection/>
    </xf>
    <xf numFmtId="0" fontId="62" fillId="0" borderId="115" xfId="56" applyFont="1" applyBorder="1" applyAlignment="1">
      <alignment horizontal="center"/>
      <protection/>
    </xf>
    <xf numFmtId="0" fontId="62" fillId="0" borderId="61" xfId="56" applyFont="1" applyBorder="1" applyAlignment="1">
      <alignment horizontal="center"/>
      <protection/>
    </xf>
    <xf numFmtId="3" fontId="62" fillId="0" borderId="61" xfId="56" applyNumberFormat="1" applyFont="1" applyBorder="1" applyAlignment="1">
      <alignment horizontal="right"/>
      <protection/>
    </xf>
    <xf numFmtId="3" fontId="62" fillId="0" borderId="63" xfId="56" applyNumberFormat="1" applyFont="1" applyBorder="1" applyAlignment="1">
      <alignment horizontal="right"/>
      <protection/>
    </xf>
    <xf numFmtId="0" fontId="63" fillId="0" borderId="0" xfId="56" applyFont="1" applyAlignment="1">
      <alignment horizontal="center"/>
      <protection/>
    </xf>
    <xf numFmtId="0" fontId="62" fillId="0" borderId="38" xfId="56" applyFont="1" applyBorder="1" applyAlignment="1">
      <alignment horizontal="center"/>
      <protection/>
    </xf>
    <xf numFmtId="3" fontId="64" fillId="0" borderId="38" xfId="56" applyNumberFormat="1" applyFont="1" applyBorder="1" applyAlignment="1">
      <alignment horizontal="right"/>
      <protection/>
    </xf>
    <xf numFmtId="3" fontId="64" fillId="0" borderId="39" xfId="56" applyNumberFormat="1" applyFont="1" applyBorder="1" applyAlignment="1">
      <alignment horizontal="right"/>
      <protection/>
    </xf>
    <xf numFmtId="49" fontId="61" fillId="0" borderId="41" xfId="0" applyNumberFormat="1" applyFont="1" applyFill="1" applyBorder="1" applyAlignment="1">
      <alignment horizontal="left" shrinkToFit="1"/>
    </xf>
    <xf numFmtId="3" fontId="61" fillId="0" borderId="41" xfId="0" applyNumberFormat="1" applyFont="1" applyFill="1" applyBorder="1" applyAlignment="1">
      <alignment horizontal="left" vertical="center" wrapText="1"/>
    </xf>
    <xf numFmtId="49" fontId="61" fillId="0" borderId="41" xfId="0" applyNumberFormat="1" applyFont="1" applyFill="1" applyBorder="1" applyAlignment="1">
      <alignment shrinkToFit="1"/>
    </xf>
    <xf numFmtId="0" fontId="61" fillId="0" borderId="38" xfId="56" applyFont="1" applyBorder="1">
      <alignment/>
      <protection/>
    </xf>
    <xf numFmtId="0" fontId="61" fillId="0" borderId="113" xfId="56" applyFont="1" applyBorder="1">
      <alignment/>
      <protection/>
    </xf>
    <xf numFmtId="0" fontId="61" fillId="0" borderId="57" xfId="56" applyFont="1" applyBorder="1">
      <alignment/>
      <protection/>
    </xf>
    <xf numFmtId="0" fontId="61" fillId="0" borderId="0" xfId="56" applyFont="1" applyBorder="1">
      <alignment/>
      <protection/>
    </xf>
    <xf numFmtId="0" fontId="61" fillId="0" borderId="44" xfId="56" applyFont="1" applyBorder="1">
      <alignment/>
      <protection/>
    </xf>
    <xf numFmtId="49" fontId="61" fillId="0" borderId="41" xfId="0" applyNumberFormat="1" applyFont="1" applyFill="1" applyBorder="1" applyAlignment="1">
      <alignment/>
    </xf>
    <xf numFmtId="0" fontId="32" fillId="0" borderId="0" xfId="56" applyFont="1">
      <alignment/>
      <protection/>
    </xf>
    <xf numFmtId="0" fontId="61" fillId="0" borderId="61" xfId="56" applyFont="1" applyBorder="1">
      <alignment/>
      <protection/>
    </xf>
    <xf numFmtId="0" fontId="61" fillId="0" borderId="96" xfId="56" applyFont="1" applyBorder="1">
      <alignment/>
      <protection/>
    </xf>
    <xf numFmtId="0" fontId="62" fillId="0" borderId="96" xfId="56" applyFont="1" applyBorder="1" applyAlignment="1">
      <alignment horizontal="center"/>
      <protection/>
    </xf>
    <xf numFmtId="3" fontId="62" fillId="0" borderId="96" xfId="56" applyNumberFormat="1" applyFont="1" applyBorder="1" applyAlignment="1">
      <alignment horizontal="right"/>
      <protection/>
    </xf>
    <xf numFmtId="3" fontId="62" fillId="0" borderId="106" xfId="56" applyNumberFormat="1" applyFont="1" applyBorder="1" applyAlignment="1">
      <alignment horizontal="right"/>
      <protection/>
    </xf>
    <xf numFmtId="3" fontId="34" fillId="0" borderId="61" xfId="56" applyNumberFormat="1" applyFont="1" applyBorder="1" applyAlignment="1">
      <alignment horizontal="right"/>
      <protection/>
    </xf>
    <xf numFmtId="3" fontId="34" fillId="0" borderId="63" xfId="56" applyNumberFormat="1" applyFont="1" applyBorder="1" applyAlignment="1">
      <alignment horizontal="right"/>
      <protection/>
    </xf>
    <xf numFmtId="0" fontId="61" fillId="0" borderId="94" xfId="56" applyFont="1" applyBorder="1">
      <alignment/>
      <protection/>
    </xf>
    <xf numFmtId="0" fontId="33" fillId="0" borderId="94" xfId="56" applyFont="1" applyBorder="1" applyAlignment="1">
      <alignment wrapText="1"/>
      <protection/>
    </xf>
    <xf numFmtId="3" fontId="64" fillId="0" borderId="94" xfId="56" applyNumberFormat="1" applyFont="1" applyBorder="1" applyAlignment="1">
      <alignment horizontal="right"/>
      <protection/>
    </xf>
    <xf numFmtId="3" fontId="64" fillId="0" borderId="99" xfId="56" applyNumberFormat="1" applyFont="1" applyBorder="1" applyAlignment="1">
      <alignment horizontal="right"/>
      <protection/>
    </xf>
    <xf numFmtId="0" fontId="33" fillId="0" borderId="41" xfId="56" applyFont="1" applyBorder="1" applyAlignment="1">
      <alignment wrapText="1"/>
      <protection/>
    </xf>
    <xf numFmtId="3" fontId="64" fillId="0" borderId="41" xfId="56" applyNumberFormat="1" applyFont="1" applyBorder="1" applyAlignment="1">
      <alignment horizontal="right"/>
      <protection/>
    </xf>
    <xf numFmtId="3" fontId="64" fillId="0" borderId="42" xfId="56" applyNumberFormat="1" applyFont="1" applyBorder="1" applyAlignment="1">
      <alignment horizontal="right"/>
      <protection/>
    </xf>
    <xf numFmtId="0" fontId="61" fillId="0" borderId="92" xfId="56" applyFont="1" applyBorder="1">
      <alignment/>
      <protection/>
    </xf>
    <xf numFmtId="0" fontId="34" fillId="0" borderId="92" xfId="56" applyFont="1" applyBorder="1">
      <alignment/>
      <protection/>
    </xf>
    <xf numFmtId="3" fontId="64" fillId="0" borderId="92" xfId="56" applyNumberFormat="1" applyFont="1" applyBorder="1" applyAlignment="1">
      <alignment horizontal="right"/>
      <protection/>
    </xf>
    <xf numFmtId="3" fontId="64" fillId="0" borderId="100" xfId="56" applyNumberFormat="1" applyFont="1" applyBorder="1" applyAlignment="1">
      <alignment horizontal="right"/>
      <protection/>
    </xf>
    <xf numFmtId="0" fontId="34" fillId="0" borderId="94" xfId="56" applyFont="1" applyBorder="1">
      <alignment/>
      <protection/>
    </xf>
    <xf numFmtId="0" fontId="33" fillId="0" borderId="38" xfId="56" applyFont="1" applyBorder="1">
      <alignment/>
      <protection/>
    </xf>
    <xf numFmtId="0" fontId="33" fillId="0" borderId="41" xfId="56" applyFont="1" applyBorder="1">
      <alignment/>
      <protection/>
    </xf>
    <xf numFmtId="3" fontId="61" fillId="0" borderId="92" xfId="56" applyNumberFormat="1" applyFont="1" applyBorder="1" applyAlignment="1">
      <alignment horizontal="right"/>
      <protection/>
    </xf>
    <xf numFmtId="3" fontId="61" fillId="0" borderId="100" xfId="56" applyNumberFormat="1" applyFont="1" applyBorder="1" applyAlignment="1">
      <alignment horizontal="right"/>
      <protection/>
    </xf>
    <xf numFmtId="3" fontId="61" fillId="0" borderId="94" xfId="56" applyNumberFormat="1" applyFont="1" applyBorder="1" applyAlignment="1">
      <alignment horizontal="right"/>
      <protection/>
    </xf>
    <xf numFmtId="3" fontId="61" fillId="0" borderId="99" xfId="56" applyNumberFormat="1" applyFont="1" applyBorder="1" applyAlignment="1">
      <alignment horizontal="right"/>
      <protection/>
    </xf>
    <xf numFmtId="0" fontId="33" fillId="0" borderId="92" xfId="56" applyFont="1" applyBorder="1">
      <alignment/>
      <protection/>
    </xf>
    <xf numFmtId="0" fontId="33" fillId="0" borderId="41" xfId="0" applyFont="1" applyBorder="1" applyAlignment="1">
      <alignment/>
    </xf>
    <xf numFmtId="49" fontId="33" fillId="0" borderId="41" xfId="0" applyNumberFormat="1" applyFont="1" applyFill="1" applyBorder="1" applyAlignment="1">
      <alignment vertical="center" shrinkToFit="1"/>
    </xf>
    <xf numFmtId="0" fontId="42" fillId="0" borderId="41" xfId="0" applyFont="1" applyFill="1" applyBorder="1" applyAlignment="1">
      <alignment horizontal="justify" vertical="center" shrinkToFit="1"/>
    </xf>
    <xf numFmtId="49" fontId="33" fillId="0" borderId="41" xfId="0" applyNumberFormat="1" applyFont="1" applyFill="1" applyBorder="1" applyAlignment="1">
      <alignment horizontal="justify" vertical="center" shrinkToFit="1"/>
    </xf>
    <xf numFmtId="0" fontId="4" fillId="0" borderId="0" xfId="0" applyFont="1" applyFill="1" applyAlignment="1">
      <alignment vertical="center"/>
    </xf>
    <xf numFmtId="0" fontId="28" fillId="0" borderId="129" xfId="0" applyFont="1" applyBorder="1" applyAlignment="1">
      <alignment wrapText="1"/>
    </xf>
    <xf numFmtId="0" fontId="68" fillId="0" borderId="0" xfId="61" applyFont="1">
      <alignment/>
      <protection/>
    </xf>
    <xf numFmtId="0" fontId="68" fillId="0" borderId="0" xfId="61" applyFont="1" applyAlignment="1">
      <alignment vertical="center"/>
      <protection/>
    </xf>
    <xf numFmtId="0" fontId="0" fillId="0" borderId="0" xfId="61">
      <alignment/>
      <protection/>
    </xf>
    <xf numFmtId="0" fontId="68" fillId="0" borderId="0" xfId="61" applyFont="1" applyAlignment="1">
      <alignment horizontal="right"/>
      <protection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68" xfId="0" applyFont="1" applyBorder="1" applyAlignment="1">
      <alignment horizontal="left" wrapText="1"/>
    </xf>
    <xf numFmtId="0" fontId="28" fillId="0" borderId="41" xfId="0" applyFont="1" applyBorder="1" applyAlignment="1">
      <alignment horizontal="left" wrapText="1"/>
    </xf>
    <xf numFmtId="0" fontId="28" fillId="0" borderId="44" xfId="0" applyFont="1" applyBorder="1" applyAlignment="1">
      <alignment horizontal="left" wrapText="1"/>
    </xf>
    <xf numFmtId="3" fontId="28" fillId="0" borderId="44" xfId="0" applyNumberFormat="1" applyFont="1" applyBorder="1" applyAlignment="1">
      <alignment/>
    </xf>
    <xf numFmtId="0" fontId="28" fillId="0" borderId="70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28" fillId="0" borderId="58" xfId="0" applyFont="1" applyBorder="1" applyAlignment="1">
      <alignment horizontal="left" wrapText="1"/>
    </xf>
    <xf numFmtId="0" fontId="28" fillId="0" borderId="41" xfId="68" applyFont="1" applyBorder="1" applyAlignment="1">
      <alignment horizontal="left" wrapText="1" shrinkToFit="1"/>
      <protection/>
    </xf>
    <xf numFmtId="3" fontId="0" fillId="0" borderId="0" xfId="61" applyNumberFormat="1">
      <alignment/>
      <protection/>
    </xf>
    <xf numFmtId="0" fontId="28" fillId="0" borderId="59" xfId="0" applyFont="1" applyBorder="1" applyAlignment="1">
      <alignment horizontal="left" wrapText="1"/>
    </xf>
    <xf numFmtId="0" fontId="28" fillId="0" borderId="68" xfId="68" applyFont="1" applyBorder="1" applyAlignment="1">
      <alignment horizontal="left" wrapText="1" shrinkToFit="1"/>
      <protection/>
    </xf>
    <xf numFmtId="3" fontId="15" fillId="0" borderId="0" xfId="70" applyNumberFormat="1" applyFont="1">
      <alignment/>
      <protection/>
    </xf>
    <xf numFmtId="0" fontId="28" fillId="0" borderId="41" xfId="0" applyFont="1" applyBorder="1" applyAlignment="1">
      <alignment wrapText="1"/>
    </xf>
    <xf numFmtId="0" fontId="28" fillId="0" borderId="129" xfId="0" applyFont="1" applyBorder="1" applyAlignment="1">
      <alignment horizontal="left"/>
    </xf>
    <xf numFmtId="0" fontId="28" fillId="0" borderId="145" xfId="0" applyFont="1" applyBorder="1" applyAlignment="1">
      <alignment horizontal="left" wrapText="1"/>
    </xf>
    <xf numFmtId="0" fontId="28" fillId="0" borderId="145" xfId="0" applyFont="1" applyBorder="1" applyAlignment="1">
      <alignment/>
    </xf>
    <xf numFmtId="0" fontId="48" fillId="0" borderId="0" xfId="70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15" fillId="0" borderId="0" xfId="0" applyFont="1" applyAlignment="1" quotePrefix="1">
      <alignment horizontal="right" vertical="top"/>
    </xf>
    <xf numFmtId="0" fontId="48" fillId="0" borderId="0" xfId="0" applyFont="1" applyAlignment="1">
      <alignment horizontal="right"/>
    </xf>
    <xf numFmtId="0" fontId="15" fillId="0" borderId="40" xfId="0" applyFont="1" applyBorder="1" applyAlignment="1">
      <alignment horizontal="right"/>
    </xf>
    <xf numFmtId="0" fontId="15" fillId="0" borderId="43" xfId="0" applyFont="1" applyBorder="1" applyAlignment="1">
      <alignment horizontal="right"/>
    </xf>
    <xf numFmtId="3" fontId="32" fillId="0" borderId="0" xfId="56" applyNumberFormat="1">
      <alignment/>
      <protection/>
    </xf>
    <xf numFmtId="3" fontId="9" fillId="0" borderId="146" xfId="0" applyNumberFormat="1" applyFont="1" applyFill="1" applyBorder="1" applyAlignment="1">
      <alignment horizontal="right" vertical="center" shrinkToFit="1"/>
    </xf>
    <xf numFmtId="3" fontId="9" fillId="0" borderId="147" xfId="0" applyNumberFormat="1" applyFont="1" applyFill="1" applyBorder="1" applyAlignment="1">
      <alignment horizontal="right" vertical="center" shrinkToFit="1"/>
    </xf>
    <xf numFmtId="3" fontId="9" fillId="0" borderId="148" xfId="0" applyNumberFormat="1" applyFont="1" applyFill="1" applyBorder="1" applyAlignment="1">
      <alignment horizontal="right" vertical="center" shrinkToFit="1"/>
    </xf>
    <xf numFmtId="3" fontId="9" fillId="0" borderId="149" xfId="0" applyNumberFormat="1" applyFont="1" applyFill="1" applyBorder="1" applyAlignment="1">
      <alignment horizontal="right" vertical="center" shrinkToFit="1"/>
    </xf>
    <xf numFmtId="3" fontId="10" fillId="0" borderId="150" xfId="0" applyNumberFormat="1" applyFont="1" applyFill="1" applyBorder="1" applyAlignment="1">
      <alignment horizontal="right" vertical="center"/>
    </xf>
    <xf numFmtId="3" fontId="9" fillId="0" borderId="151" xfId="0" applyNumberFormat="1" applyFont="1" applyFill="1" applyBorder="1" applyAlignment="1">
      <alignment horizontal="right" vertical="center" shrinkToFit="1"/>
    </xf>
    <xf numFmtId="3" fontId="9" fillId="0" borderId="152" xfId="0" applyNumberFormat="1" applyFont="1" applyFill="1" applyBorder="1" applyAlignment="1">
      <alignment horizontal="right" vertical="center" shrinkToFit="1"/>
    </xf>
    <xf numFmtId="3" fontId="9" fillId="0" borderId="153" xfId="0" applyNumberFormat="1" applyFont="1" applyFill="1" applyBorder="1" applyAlignment="1">
      <alignment horizontal="right" vertical="center" shrinkToFit="1"/>
    </xf>
    <xf numFmtId="3" fontId="9" fillId="0" borderId="31" xfId="0" applyNumberFormat="1" applyFont="1" applyFill="1" applyBorder="1" applyAlignment="1">
      <alignment horizontal="right" vertical="center" shrinkToFit="1"/>
    </xf>
    <xf numFmtId="3" fontId="10" fillId="0" borderId="32" xfId="0" applyNumberFormat="1" applyFont="1" applyFill="1" applyBorder="1" applyAlignment="1">
      <alignment horizontal="right" vertical="center"/>
    </xf>
    <xf numFmtId="0" fontId="7" fillId="0" borderId="154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vertical="center" shrinkToFit="1"/>
    </xf>
    <xf numFmtId="3" fontId="10" fillId="0" borderId="150" xfId="0" applyNumberFormat="1" applyFont="1" applyFill="1" applyBorder="1" applyAlignment="1">
      <alignment horizontal="right" vertical="center" shrinkToFit="1"/>
    </xf>
    <xf numFmtId="0" fontId="0" fillId="0" borderId="0" xfId="65">
      <alignment/>
      <protection/>
    </xf>
    <xf numFmtId="0" fontId="54" fillId="0" borderId="41" xfId="65" applyFont="1" applyBorder="1" applyAlignment="1">
      <alignment horizontal="center" vertical="center" wrapText="1"/>
      <protection/>
    </xf>
    <xf numFmtId="0" fontId="54" fillId="0" borderId="42" xfId="65" applyFont="1" applyBorder="1" applyAlignment="1">
      <alignment horizontal="center" vertical="center" wrapText="1"/>
      <protection/>
    </xf>
    <xf numFmtId="0" fontId="70" fillId="0" borderId="40" xfId="65" applyFont="1" applyBorder="1" applyAlignment="1">
      <alignment horizontal="center"/>
      <protection/>
    </xf>
    <xf numFmtId="0" fontId="70" fillId="0" borderId="41" xfId="65" applyFont="1" applyBorder="1" applyAlignment="1">
      <alignment horizontal="left" wrapText="1"/>
      <protection/>
    </xf>
    <xf numFmtId="0" fontId="70" fillId="0" borderId="49" xfId="65" applyFont="1" applyBorder="1" applyAlignment="1">
      <alignment horizontal="center"/>
      <protection/>
    </xf>
    <xf numFmtId="0" fontId="54" fillId="0" borderId="78" xfId="65" applyFont="1" applyBorder="1" applyAlignment="1">
      <alignment horizontal="left" wrapText="1"/>
      <protection/>
    </xf>
    <xf numFmtId="0" fontId="70" fillId="0" borderId="41" xfId="65" applyFont="1" applyBorder="1" applyAlignment="1">
      <alignment wrapText="1"/>
      <protection/>
    </xf>
    <xf numFmtId="0" fontId="54" fillId="0" borderId="48" xfId="65" applyFont="1" applyBorder="1" applyAlignment="1">
      <alignment horizontal="center"/>
      <protection/>
    </xf>
    <xf numFmtId="0" fontId="74" fillId="0" borderId="110" xfId="65" applyFont="1" applyBorder="1">
      <alignment/>
      <protection/>
    </xf>
    <xf numFmtId="0" fontId="54" fillId="0" borderId="51" xfId="65" applyFont="1" applyBorder="1" applyAlignment="1">
      <alignment horizontal="center"/>
      <protection/>
    </xf>
    <xf numFmtId="0" fontId="75" fillId="0" borderId="57" xfId="65" applyFont="1" applyBorder="1">
      <alignment/>
      <protection/>
    </xf>
    <xf numFmtId="0" fontId="54" fillId="0" borderId="49" xfId="65" applyFont="1" applyBorder="1" applyAlignment="1">
      <alignment horizontal="center"/>
      <protection/>
    </xf>
    <xf numFmtId="0" fontId="75" fillId="0" borderId="78" xfId="65" applyFont="1" applyBorder="1">
      <alignment/>
      <protection/>
    </xf>
    <xf numFmtId="0" fontId="54" fillId="0" borderId="144" xfId="65" applyFont="1" applyBorder="1" applyAlignment="1">
      <alignment horizontal="center"/>
      <protection/>
    </xf>
    <xf numFmtId="0" fontId="72" fillId="0" borderId="155" xfId="65" applyFont="1" applyBorder="1">
      <alignment/>
      <protection/>
    </xf>
    <xf numFmtId="0" fontId="54" fillId="0" borderId="78" xfId="65" applyFont="1" applyBorder="1">
      <alignment/>
      <protection/>
    </xf>
    <xf numFmtId="3" fontId="54" fillId="0" borderId="78" xfId="65" applyNumberFormat="1" applyFont="1" applyBorder="1" applyAlignment="1">
      <alignment horizontal="right"/>
      <protection/>
    </xf>
    <xf numFmtId="3" fontId="54" fillId="0" borderId="118" xfId="65" applyNumberFormat="1" applyFont="1" applyBorder="1" applyAlignment="1">
      <alignment horizontal="right"/>
      <protection/>
    </xf>
    <xf numFmtId="0" fontId="54" fillId="0" borderId="55" xfId="65" applyFont="1" applyBorder="1" applyAlignment="1">
      <alignment horizontal="center"/>
      <protection/>
    </xf>
    <xf numFmtId="0" fontId="54" fillId="0" borderId="58" xfId="65" applyFont="1" applyBorder="1">
      <alignment/>
      <protection/>
    </xf>
    <xf numFmtId="0" fontId="70" fillId="0" borderId="48" xfId="65" applyFont="1" applyBorder="1" applyAlignment="1">
      <alignment horizontal="center"/>
      <protection/>
    </xf>
    <xf numFmtId="0" fontId="70" fillId="0" borderId="110" xfId="65" applyFont="1" applyFill="1" applyBorder="1" applyAlignment="1">
      <alignment wrapText="1"/>
      <protection/>
    </xf>
    <xf numFmtId="0" fontId="54" fillId="0" borderId="110" xfId="65" applyFont="1" applyBorder="1" applyAlignment="1">
      <alignment horizontal="center"/>
      <protection/>
    </xf>
    <xf numFmtId="0" fontId="54" fillId="0" borderId="123" xfId="65" applyFont="1" applyBorder="1" applyAlignment="1">
      <alignment horizontal="center"/>
      <protection/>
    </xf>
    <xf numFmtId="0" fontId="54" fillId="0" borderId="78" xfId="65" applyFont="1" applyFill="1" applyBorder="1">
      <alignment/>
      <protection/>
    </xf>
    <xf numFmtId="0" fontId="54" fillId="0" borderId="78" xfId="65" applyFont="1" applyBorder="1" applyAlignment="1">
      <alignment horizontal="right"/>
      <protection/>
    </xf>
    <xf numFmtId="3" fontId="54" fillId="0" borderId="118" xfId="65" applyNumberFormat="1" applyFont="1" applyBorder="1" applyAlignment="1">
      <alignment horizontal="right" vertical="center"/>
      <protection/>
    </xf>
    <xf numFmtId="0" fontId="75" fillId="0" borderId="78" xfId="65" applyFont="1" applyFill="1" applyBorder="1">
      <alignment/>
      <protection/>
    </xf>
    <xf numFmtId="3" fontId="0" fillId="0" borderId="0" xfId="65" applyNumberFormat="1" applyFont="1">
      <alignment/>
      <protection/>
    </xf>
    <xf numFmtId="0" fontId="54" fillId="0" borderId="52" xfId="65" applyFont="1" applyBorder="1" applyAlignment="1">
      <alignment horizontal="center"/>
      <protection/>
    </xf>
    <xf numFmtId="0" fontId="54" fillId="0" borderId="80" xfId="65" applyFont="1" applyFill="1" applyBorder="1">
      <alignment/>
      <protection/>
    </xf>
    <xf numFmtId="0" fontId="54" fillId="0" borderId="156" xfId="65" applyFont="1" applyBorder="1" applyAlignment="1">
      <alignment horizontal="center"/>
      <protection/>
    </xf>
    <xf numFmtId="0" fontId="54" fillId="0" borderId="41" xfId="65" applyFont="1" applyBorder="1" applyAlignment="1">
      <alignment horizontal="center"/>
      <protection/>
    </xf>
    <xf numFmtId="0" fontId="54" fillId="0" borderId="42" xfId="65" applyFont="1" applyBorder="1" applyAlignment="1">
      <alignment horizontal="center"/>
      <protection/>
    </xf>
    <xf numFmtId="0" fontId="54" fillId="0" borderId="43" xfId="65" applyFont="1" applyBorder="1" applyAlignment="1">
      <alignment horizontal="center"/>
      <protection/>
    </xf>
    <xf numFmtId="0" fontId="54" fillId="0" borderId="44" xfId="65" applyFont="1" applyBorder="1" applyAlignment="1">
      <alignment wrapText="1"/>
      <protection/>
    </xf>
    <xf numFmtId="0" fontId="77" fillId="0" borderId="44" xfId="65" applyFont="1" applyBorder="1" applyAlignment="1" quotePrefix="1">
      <alignment horizontal="right"/>
      <protection/>
    </xf>
    <xf numFmtId="3" fontId="77" fillId="0" borderId="45" xfId="65" applyNumberFormat="1" applyFont="1" applyBorder="1" applyAlignment="1" quotePrefix="1">
      <alignment horizontal="right"/>
      <protection/>
    </xf>
    <xf numFmtId="0" fontId="75" fillId="0" borderId="49" xfId="65" applyFont="1" applyBorder="1" applyAlignment="1">
      <alignment horizontal="center"/>
      <protection/>
    </xf>
    <xf numFmtId="0" fontId="75" fillId="0" borderId="78" xfId="65" applyFont="1" applyBorder="1" applyAlignment="1">
      <alignment wrapText="1"/>
      <protection/>
    </xf>
    <xf numFmtId="0" fontId="75" fillId="0" borderId="52" xfId="65" applyFont="1" applyBorder="1" applyAlignment="1">
      <alignment horizontal="center"/>
      <protection/>
    </xf>
    <xf numFmtId="0" fontId="75" fillId="0" borderId="80" xfId="65" applyFont="1" applyBorder="1" applyAlignment="1">
      <alignment wrapText="1"/>
      <protection/>
    </xf>
    <xf numFmtId="0" fontId="54" fillId="0" borderId="80" xfId="65" applyFont="1" applyBorder="1" applyAlignment="1">
      <alignment wrapText="1"/>
      <protection/>
    </xf>
    <xf numFmtId="3" fontId="54" fillId="0" borderId="80" xfId="65" applyNumberFormat="1" applyFont="1" applyBorder="1" applyAlignment="1" quotePrefix="1">
      <alignment horizontal="right"/>
      <protection/>
    </xf>
    <xf numFmtId="3" fontId="54" fillId="0" borderId="138" xfId="65" applyNumberFormat="1" applyFont="1" applyBorder="1" applyAlignment="1" quotePrefix="1">
      <alignment horizontal="right"/>
      <protection/>
    </xf>
    <xf numFmtId="0" fontId="70" fillId="0" borderId="156" xfId="65" applyFont="1" applyBorder="1" applyAlignment="1">
      <alignment horizontal="center"/>
      <protection/>
    </xf>
    <xf numFmtId="0" fontId="72" fillId="0" borderId="155" xfId="65" applyFont="1" applyBorder="1" applyAlignment="1">
      <alignment wrapText="1"/>
      <protection/>
    </xf>
    <xf numFmtId="0" fontId="51" fillId="0" borderId="0" xfId="65" applyFont="1">
      <alignment/>
      <protection/>
    </xf>
    <xf numFmtId="0" fontId="48" fillId="0" borderId="0" xfId="65" applyFont="1">
      <alignment/>
      <protection/>
    </xf>
    <xf numFmtId="0" fontId="78" fillId="0" borderId="0" xfId="65" applyFont="1" applyAlignment="1">
      <alignment horizontal="right"/>
      <protection/>
    </xf>
    <xf numFmtId="0" fontId="45" fillId="0" borderId="0" xfId="65" applyFont="1" applyAlignment="1">
      <alignment wrapText="1"/>
      <protection/>
    </xf>
    <xf numFmtId="0" fontId="45" fillId="0" borderId="0" xfId="65" applyFont="1" applyAlignment="1">
      <alignment horizontal="left" wrapText="1"/>
      <protection/>
    </xf>
    <xf numFmtId="0" fontId="80" fillId="0" borderId="0" xfId="65" applyFont="1" applyAlignment="1">
      <alignment horizontal="center"/>
      <protection/>
    </xf>
    <xf numFmtId="0" fontId="80" fillId="0" borderId="0" xfId="65" applyFont="1">
      <alignment/>
      <protection/>
    </xf>
    <xf numFmtId="3" fontId="77" fillId="0" borderId="110" xfId="65" applyNumberFormat="1" applyFont="1" applyBorder="1" applyAlignment="1">
      <alignment horizontal="right"/>
      <protection/>
    </xf>
    <xf numFmtId="3" fontId="77" fillId="0" borderId="123" xfId="65" applyNumberFormat="1" applyFont="1" applyBorder="1" applyAlignment="1">
      <alignment horizontal="right"/>
      <protection/>
    </xf>
    <xf numFmtId="3" fontId="77" fillId="0" borderId="80" xfId="65" applyNumberFormat="1" applyFont="1" applyBorder="1" applyAlignment="1" quotePrefix="1">
      <alignment horizontal="right"/>
      <protection/>
    </xf>
    <xf numFmtId="3" fontId="77" fillId="0" borderId="138" xfId="65" applyNumberFormat="1" applyFont="1" applyBorder="1" applyAlignment="1" quotePrefix="1">
      <alignment horizontal="right"/>
      <protection/>
    </xf>
    <xf numFmtId="3" fontId="61" fillId="0" borderId="78" xfId="65" applyNumberFormat="1" applyFont="1" applyBorder="1" applyAlignment="1" quotePrefix="1">
      <alignment horizontal="right"/>
      <protection/>
    </xf>
    <xf numFmtId="3" fontId="61" fillId="0" borderId="118" xfId="65" applyNumberFormat="1" applyFont="1" applyBorder="1" applyAlignment="1" quotePrefix="1">
      <alignment horizontal="right"/>
      <protection/>
    </xf>
    <xf numFmtId="3" fontId="61" fillId="0" borderId="80" xfId="65" applyNumberFormat="1" applyFont="1" applyBorder="1" applyAlignment="1" quotePrefix="1">
      <alignment horizontal="right"/>
      <protection/>
    </xf>
    <xf numFmtId="3" fontId="61" fillId="0" borderId="138" xfId="65" applyNumberFormat="1" applyFont="1" applyBorder="1" applyAlignment="1">
      <alignment horizontal="right"/>
      <protection/>
    </xf>
    <xf numFmtId="3" fontId="64" fillId="0" borderId="0" xfId="56" applyNumberFormat="1" applyFont="1" applyAlignment="1">
      <alignment/>
      <protection/>
    </xf>
    <xf numFmtId="3" fontId="61" fillId="0" borderId="0" xfId="56" applyNumberFormat="1" applyFont="1" applyAlignment="1">
      <alignment/>
      <protection/>
    </xf>
    <xf numFmtId="3" fontId="65" fillId="0" borderId="41" xfId="56" applyNumberFormat="1" applyFont="1" applyBorder="1" applyAlignment="1">
      <alignment/>
      <protection/>
    </xf>
    <xf numFmtId="3" fontId="62" fillId="0" borderId="113" xfId="0" applyNumberFormat="1" applyFont="1" applyFill="1" applyBorder="1" applyAlignment="1">
      <alignment vertical="center" shrinkToFit="1"/>
    </xf>
    <xf numFmtId="3" fontId="61" fillId="0" borderId="113" xfId="0" applyNumberFormat="1" applyFont="1" applyFill="1" applyBorder="1" applyAlignment="1">
      <alignment vertical="center" shrinkToFit="1"/>
    </xf>
    <xf numFmtId="3" fontId="64" fillId="0" borderId="113" xfId="0" applyNumberFormat="1" applyFont="1" applyFill="1" applyBorder="1" applyAlignment="1">
      <alignment vertical="center" shrinkToFit="1"/>
    </xf>
    <xf numFmtId="3" fontId="61" fillId="0" borderId="41" xfId="0" applyNumberFormat="1" applyFont="1" applyFill="1" applyBorder="1" applyAlignment="1">
      <alignment vertical="center" shrinkToFit="1"/>
    </xf>
    <xf numFmtId="3" fontId="62" fillId="0" borderId="41" xfId="0" applyNumberFormat="1" applyFont="1" applyFill="1" applyBorder="1" applyAlignment="1">
      <alignment vertical="center" shrinkToFit="1"/>
    </xf>
    <xf numFmtId="3" fontId="65" fillId="0" borderId="38" xfId="0" applyNumberFormat="1" applyFont="1" applyFill="1" applyBorder="1" applyAlignment="1">
      <alignment vertical="center" shrinkToFit="1"/>
    </xf>
    <xf numFmtId="3" fontId="65" fillId="0" borderId="41" xfId="0" applyNumberFormat="1" applyFont="1" applyFill="1" applyBorder="1" applyAlignment="1">
      <alignment vertical="center" shrinkToFit="1"/>
    </xf>
    <xf numFmtId="3" fontId="64" fillId="0" borderId="41" xfId="0" applyNumberFormat="1" applyFont="1" applyFill="1" applyBorder="1" applyAlignment="1">
      <alignment vertical="center" shrinkToFit="1"/>
    </xf>
    <xf numFmtId="3" fontId="61" fillId="0" borderId="44" xfId="0" applyNumberFormat="1" applyFont="1" applyFill="1" applyBorder="1" applyAlignment="1">
      <alignment vertical="center" shrinkToFit="1"/>
    </xf>
    <xf numFmtId="3" fontId="62" fillId="0" borderId="157" xfId="0" applyNumberFormat="1" applyFont="1" applyFill="1" applyBorder="1" applyAlignment="1">
      <alignment vertical="center" shrinkToFit="1"/>
    </xf>
    <xf numFmtId="3" fontId="65" fillId="0" borderId="41" xfId="0" applyNumberFormat="1" applyFont="1" applyBorder="1" applyAlignment="1">
      <alignment/>
    </xf>
    <xf numFmtId="3" fontId="61" fillId="0" borderId="41" xfId="56" applyNumberFormat="1" applyFont="1" applyBorder="1" applyAlignment="1">
      <alignment/>
      <protection/>
    </xf>
    <xf numFmtId="3" fontId="62" fillId="0" borderId="41" xfId="56" applyNumberFormat="1" applyFont="1" applyBorder="1" applyAlignment="1">
      <alignment/>
      <protection/>
    </xf>
    <xf numFmtId="3" fontId="62" fillId="0" borderId="44" xfId="56" applyNumberFormat="1" applyFont="1" applyBorder="1" applyAlignment="1">
      <alignment/>
      <protection/>
    </xf>
    <xf numFmtId="3" fontId="62" fillId="0" borderId="61" xfId="56" applyNumberFormat="1" applyFont="1" applyBorder="1" applyAlignment="1">
      <alignment/>
      <protection/>
    </xf>
    <xf numFmtId="3" fontId="64" fillId="0" borderId="38" xfId="56" applyNumberFormat="1" applyFont="1" applyBorder="1" applyAlignment="1">
      <alignment/>
      <protection/>
    </xf>
    <xf numFmtId="0" fontId="61" fillId="0" borderId="41" xfId="0" applyFont="1" applyBorder="1" applyAlignment="1">
      <alignment vertical="center"/>
    </xf>
    <xf numFmtId="3" fontId="64" fillId="0" borderId="41" xfId="56" applyNumberFormat="1" applyFont="1" applyBorder="1" applyAlignment="1">
      <alignment/>
      <protection/>
    </xf>
    <xf numFmtId="0" fontId="61" fillId="0" borderId="41" xfId="0" applyFont="1" applyBorder="1" applyAlignment="1">
      <alignment/>
    </xf>
    <xf numFmtId="3" fontId="62" fillId="0" borderId="96" xfId="56" applyNumberFormat="1" applyFont="1" applyBorder="1" applyAlignment="1">
      <alignment/>
      <protection/>
    </xf>
    <xf numFmtId="3" fontId="34" fillId="0" borderId="61" xfId="56" applyNumberFormat="1" applyFont="1" applyBorder="1" applyAlignment="1">
      <alignment/>
      <protection/>
    </xf>
    <xf numFmtId="3" fontId="33" fillId="0" borderId="94" xfId="56" applyNumberFormat="1" applyFont="1" applyBorder="1" applyAlignment="1">
      <alignment/>
      <protection/>
    </xf>
    <xf numFmtId="3" fontId="33" fillId="0" borderId="41" xfId="56" applyNumberFormat="1" applyFont="1" applyBorder="1" applyAlignment="1">
      <alignment/>
      <protection/>
    </xf>
    <xf numFmtId="3" fontId="34" fillId="0" borderId="92" xfId="56" applyNumberFormat="1" applyFont="1" applyBorder="1" applyAlignment="1">
      <alignment/>
      <protection/>
    </xf>
    <xf numFmtId="3" fontId="34" fillId="0" borderId="94" xfId="56" applyNumberFormat="1" applyFont="1" applyBorder="1" applyAlignment="1">
      <alignment/>
      <protection/>
    </xf>
    <xf numFmtId="3" fontId="33" fillId="0" borderId="38" xfId="56" applyNumberFormat="1" applyFont="1" applyBorder="1" applyAlignment="1">
      <alignment/>
      <protection/>
    </xf>
    <xf numFmtId="3" fontId="33" fillId="0" borderId="92" xfId="56" applyNumberFormat="1" applyFont="1" applyBorder="1" applyAlignment="1">
      <alignment/>
      <protection/>
    </xf>
    <xf numFmtId="3" fontId="61" fillId="0" borderId="0" xfId="69" applyNumberFormat="1" applyFont="1" applyFill="1" applyAlignment="1">
      <alignment vertical="center"/>
      <protection/>
    </xf>
    <xf numFmtId="3" fontId="27" fillId="0" borderId="68" xfId="69" applyNumberFormat="1" applyFont="1" applyFill="1" applyBorder="1" applyAlignment="1">
      <alignment horizontal="right" vertical="center"/>
      <protection/>
    </xf>
    <xf numFmtId="3" fontId="27" fillId="0" borderId="68" xfId="69" applyNumberFormat="1" applyFont="1" applyFill="1" applyBorder="1" applyAlignment="1">
      <alignment vertical="center"/>
      <protection/>
    </xf>
    <xf numFmtId="3" fontId="27" fillId="0" borderId="38" xfId="69" applyNumberFormat="1" applyFont="1" applyFill="1" applyBorder="1" applyAlignment="1">
      <alignment horizontal="left" vertical="center" indent="1"/>
      <protection/>
    </xf>
    <xf numFmtId="3" fontId="27" fillId="0" borderId="38" xfId="69" applyNumberFormat="1" applyFont="1" applyFill="1" applyBorder="1" applyAlignment="1">
      <alignment vertical="center"/>
      <protection/>
    </xf>
    <xf numFmtId="3" fontId="27" fillId="0" borderId="38" xfId="69" applyNumberFormat="1" applyFont="1" applyFill="1" applyBorder="1" applyAlignment="1">
      <alignment horizontal="right" vertical="center"/>
      <protection/>
    </xf>
    <xf numFmtId="3" fontId="27" fillId="0" borderId="58" xfId="69" applyNumberFormat="1" applyFont="1" applyFill="1" applyBorder="1" applyAlignment="1">
      <alignment horizontal="left" vertical="center" indent="1"/>
      <protection/>
    </xf>
    <xf numFmtId="3" fontId="18" fillId="0" borderId="69" xfId="69" applyNumberFormat="1" applyFont="1" applyFill="1" applyBorder="1" applyAlignment="1">
      <alignment horizontal="left" vertical="center"/>
      <protection/>
    </xf>
    <xf numFmtId="3" fontId="27" fillId="0" borderId="44" xfId="69" applyNumberFormat="1" applyFont="1" applyFill="1" applyBorder="1" applyAlignment="1">
      <alignment horizontal="left" vertical="center" indent="1"/>
      <protection/>
    </xf>
    <xf numFmtId="3" fontId="27" fillId="0" borderId="70" xfId="69" applyNumberFormat="1" applyFont="1" applyFill="1" applyBorder="1" applyAlignment="1">
      <alignment horizontal="left" vertical="center" indent="1"/>
      <protection/>
    </xf>
    <xf numFmtId="3" fontId="27" fillId="0" borderId="44" xfId="69" applyNumberFormat="1" applyFont="1" applyFill="1" applyBorder="1" applyAlignment="1">
      <alignment horizontal="left" vertical="center" wrapText="1" indent="1"/>
      <protection/>
    </xf>
    <xf numFmtId="3" fontId="29" fillId="0" borderId="58" xfId="69" applyNumberFormat="1" applyFont="1" applyFill="1" applyBorder="1" applyAlignment="1">
      <alignment horizontal="left" vertical="center" wrapText="1"/>
      <protection/>
    </xf>
    <xf numFmtId="3" fontId="27" fillId="0" borderId="44" xfId="69" applyNumberFormat="1" applyFont="1" applyFill="1" applyBorder="1" applyAlignment="1">
      <alignment vertical="center" wrapText="1"/>
      <protection/>
    </xf>
    <xf numFmtId="3" fontId="27" fillId="0" borderId="70" xfId="69" applyNumberFormat="1" applyFont="1" applyFill="1" applyBorder="1" applyAlignment="1">
      <alignment horizontal="left" vertical="center" wrapText="1" indent="1"/>
      <protection/>
    </xf>
    <xf numFmtId="3" fontId="35" fillId="0" borderId="70" xfId="69" applyNumberFormat="1" applyFont="1" applyFill="1" applyBorder="1" applyAlignment="1">
      <alignment horizontal="right" vertical="center"/>
      <protection/>
    </xf>
    <xf numFmtId="3" fontId="20" fillId="0" borderId="34" xfId="69" applyNumberFormat="1" applyFont="1" applyFill="1" applyBorder="1" applyAlignment="1">
      <alignment horizontal="center" vertical="center"/>
      <protection/>
    </xf>
    <xf numFmtId="3" fontId="20" fillId="0" borderId="35" xfId="69" applyNumberFormat="1" applyFont="1" applyFill="1" applyBorder="1" applyAlignment="1">
      <alignment horizontal="center" vertical="center"/>
      <protection/>
    </xf>
    <xf numFmtId="3" fontId="29" fillId="0" borderId="35" xfId="69" applyNumberFormat="1" applyFont="1" applyFill="1" applyBorder="1" applyAlignment="1">
      <alignment vertical="center"/>
      <protection/>
    </xf>
    <xf numFmtId="164" fontId="18" fillId="0" borderId="38" xfId="69" applyNumberFormat="1" applyFont="1" applyFill="1" applyBorder="1" applyAlignment="1">
      <alignment horizontal="center" vertical="center"/>
      <protection/>
    </xf>
    <xf numFmtId="3" fontId="18" fillId="0" borderId="41" xfId="0" applyNumberFormat="1" applyFont="1" applyFill="1" applyBorder="1" applyAlignment="1">
      <alignment vertical="center"/>
    </xf>
    <xf numFmtId="3" fontId="29" fillId="0" borderId="41" xfId="0" applyNumberFormat="1" applyFont="1" applyFill="1" applyBorder="1" applyAlignment="1">
      <alignment horizontal="left" vertical="center" wrapText="1" indent="1"/>
    </xf>
    <xf numFmtId="3" fontId="20" fillId="0" borderId="55" xfId="0" applyNumberFormat="1" applyFont="1" applyFill="1" applyBorder="1" applyAlignment="1">
      <alignment horizontal="center" vertical="center"/>
    </xf>
    <xf numFmtId="3" fontId="18" fillId="0" borderId="58" xfId="0" applyNumberFormat="1" applyFont="1" applyFill="1" applyBorder="1" applyAlignment="1">
      <alignment vertical="center"/>
    </xf>
    <xf numFmtId="3" fontId="29" fillId="0" borderId="58" xfId="0" applyNumberFormat="1" applyFont="1" applyFill="1" applyBorder="1" applyAlignment="1">
      <alignment horizontal="left" vertical="center" indent="1"/>
    </xf>
    <xf numFmtId="3" fontId="20" fillId="0" borderId="69" xfId="0" applyNumberFormat="1" applyFont="1" applyFill="1" applyBorder="1" applyAlignment="1">
      <alignment horizontal="center" vertical="center"/>
    </xf>
    <xf numFmtId="3" fontId="18" fillId="0" borderId="70" xfId="0" applyNumberFormat="1" applyFont="1" applyFill="1" applyBorder="1" applyAlignment="1">
      <alignment vertical="center"/>
    </xf>
    <xf numFmtId="3" fontId="29" fillId="0" borderId="70" xfId="0" applyNumberFormat="1" applyFont="1" applyFill="1" applyBorder="1" applyAlignment="1">
      <alignment horizontal="left" vertical="center" indent="1"/>
    </xf>
    <xf numFmtId="3" fontId="29" fillId="0" borderId="119" xfId="0" applyNumberFormat="1" applyFont="1" applyFill="1" applyBorder="1" applyAlignment="1">
      <alignment horizontal="center" vertical="center"/>
    </xf>
    <xf numFmtId="3" fontId="29" fillId="0" borderId="56" xfId="0" applyNumberFormat="1" applyFont="1" applyFill="1" applyBorder="1" applyAlignment="1">
      <alignment horizontal="center" vertical="center"/>
    </xf>
    <xf numFmtId="3" fontId="29" fillId="0" borderId="86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116" xfId="0" applyNumberFormat="1" applyFont="1" applyFill="1" applyBorder="1" applyAlignment="1">
      <alignment horizontal="center" vertical="center"/>
    </xf>
    <xf numFmtId="3" fontId="29" fillId="0" borderId="60" xfId="0" applyNumberFormat="1" applyFont="1" applyFill="1" applyBorder="1" applyAlignment="1">
      <alignment horizontal="center" vertical="center"/>
    </xf>
    <xf numFmtId="3" fontId="29" fillId="0" borderId="41" xfId="0" applyNumberFormat="1" applyFont="1" applyFill="1" applyBorder="1" applyAlignment="1">
      <alignment horizontal="right" vertical="center"/>
    </xf>
    <xf numFmtId="3" fontId="29" fillId="0" borderId="42" xfId="0" applyNumberFormat="1" applyFont="1" applyFill="1" applyBorder="1" applyAlignment="1">
      <alignment horizontal="right" vertical="center"/>
    </xf>
    <xf numFmtId="3" fontId="29" fillId="0" borderId="44" xfId="0" applyNumberFormat="1" applyFont="1" applyFill="1" applyBorder="1" applyAlignment="1">
      <alignment horizontal="right" vertical="center"/>
    </xf>
    <xf numFmtId="3" fontId="29" fillId="0" borderId="45" xfId="0" applyNumberFormat="1" applyFont="1" applyFill="1" applyBorder="1" applyAlignment="1">
      <alignment horizontal="right" vertical="center"/>
    </xf>
    <xf numFmtId="3" fontId="16" fillId="0" borderId="111" xfId="0" applyNumberFormat="1" applyFont="1" applyFill="1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3" fontId="29" fillId="0" borderId="44" xfId="0" applyNumberFormat="1" applyFont="1" applyFill="1" applyBorder="1" applyAlignment="1">
      <alignment horizontal="center" vertical="center"/>
    </xf>
    <xf numFmtId="3" fontId="29" fillId="0" borderId="45" xfId="0" applyNumberFormat="1" applyFont="1" applyFill="1" applyBorder="1" applyAlignment="1">
      <alignment horizontal="center" vertical="center"/>
    </xf>
    <xf numFmtId="3" fontId="29" fillId="0" borderId="70" xfId="0" applyNumberFormat="1" applyFont="1" applyFill="1" applyBorder="1" applyAlignment="1">
      <alignment horizontal="right" vertical="center"/>
    </xf>
    <xf numFmtId="3" fontId="29" fillId="0" borderId="75" xfId="0" applyNumberFormat="1" applyFont="1" applyFill="1" applyBorder="1" applyAlignment="1">
      <alignment horizontal="right" vertical="center"/>
    </xf>
    <xf numFmtId="3" fontId="29" fillId="0" borderId="42" xfId="69" applyNumberFormat="1" applyFont="1" applyFill="1" applyBorder="1" applyAlignment="1">
      <alignment vertical="center"/>
      <protection/>
    </xf>
    <xf numFmtId="2" fontId="28" fillId="0" borderId="78" xfId="0" applyNumberFormat="1" applyFont="1" applyFill="1" applyBorder="1" applyAlignment="1">
      <alignment wrapText="1"/>
    </xf>
    <xf numFmtId="2" fontId="28" fillId="0" borderId="41" xfId="0" applyNumberFormat="1" applyFont="1" applyFill="1" applyBorder="1" applyAlignment="1">
      <alignment horizontal="left" vertical="center" wrapText="1"/>
    </xf>
    <xf numFmtId="3" fontId="29" fillId="0" borderId="27" xfId="69" applyNumberFormat="1" applyFont="1" applyFill="1" applyBorder="1" applyAlignment="1">
      <alignment vertical="center" shrinkToFit="1"/>
      <protection/>
    </xf>
    <xf numFmtId="3" fontId="29" fillId="0" borderId="45" xfId="69" applyNumberFormat="1" applyFont="1" applyFill="1" applyBorder="1" applyAlignment="1">
      <alignment vertical="center"/>
      <protection/>
    </xf>
    <xf numFmtId="3" fontId="29" fillId="0" borderId="36" xfId="69" applyNumberFormat="1" applyFont="1" applyFill="1" applyBorder="1" applyAlignment="1">
      <alignment vertical="center"/>
      <protection/>
    </xf>
    <xf numFmtId="3" fontId="29" fillId="0" borderId="76" xfId="69" applyNumberFormat="1" applyFont="1" applyFill="1" applyBorder="1" applyAlignment="1">
      <alignment vertical="center"/>
      <protection/>
    </xf>
    <xf numFmtId="3" fontId="29" fillId="0" borderId="75" xfId="69" applyNumberFormat="1" applyFont="1" applyFill="1" applyBorder="1" applyAlignment="1">
      <alignment vertical="center"/>
      <protection/>
    </xf>
    <xf numFmtId="3" fontId="18" fillId="0" borderId="68" xfId="69" applyNumberFormat="1" applyFont="1" applyFill="1" applyBorder="1" applyAlignment="1">
      <alignment horizontal="center" vertical="center"/>
      <protection/>
    </xf>
    <xf numFmtId="3" fontId="29" fillId="0" borderId="76" xfId="69" applyNumberFormat="1" applyFont="1" applyFill="1" applyBorder="1" applyAlignment="1">
      <alignment horizontal="center" vertical="center"/>
      <protection/>
    </xf>
    <xf numFmtId="3" fontId="29" fillId="0" borderId="62" xfId="69" applyNumberFormat="1" applyFont="1" applyFill="1" applyBorder="1" applyAlignment="1">
      <alignment horizontal="center" vertical="center"/>
      <protection/>
    </xf>
    <xf numFmtId="3" fontId="29" fillId="0" borderId="77" xfId="69" applyNumberFormat="1" applyFont="1" applyFill="1" applyBorder="1" applyAlignment="1">
      <alignment horizontal="center" vertical="center"/>
      <protection/>
    </xf>
    <xf numFmtId="3" fontId="29" fillId="0" borderId="74" xfId="69" applyNumberFormat="1" applyFont="1" applyFill="1" applyBorder="1" applyAlignment="1">
      <alignment vertical="center"/>
      <protection/>
    </xf>
    <xf numFmtId="3" fontId="29" fillId="0" borderId="39" xfId="69" applyNumberFormat="1" applyFont="1" applyFill="1" applyBorder="1" applyAlignment="1">
      <alignment vertical="center"/>
      <protection/>
    </xf>
    <xf numFmtId="3" fontId="29" fillId="0" borderId="62" xfId="69" applyNumberFormat="1" applyFont="1" applyFill="1" applyBorder="1" applyAlignment="1">
      <alignment vertical="center"/>
      <protection/>
    </xf>
    <xf numFmtId="3" fontId="29" fillId="0" borderId="36" xfId="69" applyNumberFormat="1" applyFont="1" applyFill="1" applyBorder="1" applyAlignment="1">
      <alignment horizontal="right" vertical="center"/>
      <protection/>
    </xf>
    <xf numFmtId="3" fontId="29" fillId="0" borderId="76" xfId="69" applyNumberFormat="1" applyFont="1" applyFill="1" applyBorder="1" applyAlignment="1">
      <alignment horizontal="right" vertical="center"/>
      <protection/>
    </xf>
    <xf numFmtId="3" fontId="29" fillId="0" borderId="42" xfId="69" applyNumberFormat="1" applyFont="1" applyFill="1" applyBorder="1" applyAlignment="1">
      <alignment horizontal="right" vertical="center"/>
      <protection/>
    </xf>
    <xf numFmtId="3" fontId="29" fillId="0" borderId="75" xfId="69" applyNumberFormat="1" applyFont="1" applyFill="1" applyBorder="1" applyAlignment="1">
      <alignment horizontal="right" vertical="center"/>
      <protection/>
    </xf>
    <xf numFmtId="3" fontId="16" fillId="0" borderId="55" xfId="69" applyNumberFormat="1" applyFont="1" applyFill="1" applyBorder="1" applyAlignment="1">
      <alignment horizontal="center" vertical="center"/>
      <protection/>
    </xf>
    <xf numFmtId="3" fontId="16" fillId="0" borderId="58" xfId="69" applyNumberFormat="1" applyFont="1" applyFill="1" applyBorder="1" applyAlignment="1">
      <alignment horizontal="center" vertical="center"/>
      <protection/>
    </xf>
    <xf numFmtId="175" fontId="36" fillId="0" borderId="158" xfId="0" applyNumberFormat="1" applyFont="1" applyFill="1" applyBorder="1" applyAlignment="1">
      <alignment horizontal="left" vertical="center"/>
    </xf>
    <xf numFmtId="175" fontId="36" fillId="0" borderId="95" xfId="0" applyNumberFormat="1" applyFont="1" applyFill="1" applyBorder="1" applyAlignment="1">
      <alignment horizontal="left" vertical="center"/>
    </xf>
    <xf numFmtId="3" fontId="16" fillId="0" borderId="113" xfId="0" applyNumberFormat="1" applyFont="1" applyFill="1" applyBorder="1" applyAlignment="1">
      <alignment horizontal="right" vertical="center"/>
    </xf>
    <xf numFmtId="175" fontId="36" fillId="0" borderId="94" xfId="0" applyNumberFormat="1" applyFont="1" applyFill="1" applyBorder="1" applyAlignment="1">
      <alignment horizontal="left" vertical="center"/>
    </xf>
    <xf numFmtId="3" fontId="16" fillId="0" borderId="159" xfId="0" applyNumberFormat="1" applyFont="1" applyFill="1" applyBorder="1" applyAlignment="1">
      <alignment horizontal="right" vertical="center"/>
    </xf>
    <xf numFmtId="3" fontId="16" fillId="0" borderId="75" xfId="0" applyNumberFormat="1" applyFont="1" applyFill="1" applyBorder="1" applyAlignment="1">
      <alignment horizontal="right" vertical="center"/>
    </xf>
    <xf numFmtId="0" fontId="11" fillId="0" borderId="0" xfId="60" applyFont="1" applyAlignment="1">
      <alignment horizontal="left"/>
      <protection/>
    </xf>
    <xf numFmtId="0" fontId="11" fillId="0" borderId="73" xfId="60" applyFont="1" applyBorder="1" applyAlignment="1">
      <alignment horizontal="left"/>
      <protection/>
    </xf>
    <xf numFmtId="0" fontId="26" fillId="0" borderId="31" xfId="60" applyFont="1" applyBorder="1" applyAlignment="1">
      <alignment horizontal="left" vertical="center"/>
      <protection/>
    </xf>
    <xf numFmtId="0" fontId="11" fillId="0" borderId="79" xfId="60" applyFont="1" applyBorder="1" applyAlignment="1">
      <alignment horizontal="left"/>
      <protection/>
    </xf>
    <xf numFmtId="0" fontId="11" fillId="0" borderId="135" xfId="60" applyFont="1" applyFill="1" applyBorder="1" applyAlignment="1">
      <alignment horizontal="left" wrapText="1"/>
      <protection/>
    </xf>
    <xf numFmtId="0" fontId="11" fillId="0" borderId="137" xfId="60" applyFont="1" applyFill="1" applyBorder="1" applyAlignment="1">
      <alignment horizontal="left" wrapText="1"/>
      <protection/>
    </xf>
    <xf numFmtId="0" fontId="12" fillId="0" borderId="143" xfId="60" applyFont="1" applyFill="1" applyBorder="1" applyAlignment="1">
      <alignment horizontal="left" wrapText="1"/>
      <protection/>
    </xf>
    <xf numFmtId="0" fontId="12" fillId="0" borderId="35" xfId="60" applyFont="1" applyFill="1" applyBorder="1" applyAlignment="1">
      <alignment horizontal="left" wrapText="1"/>
      <protection/>
    </xf>
    <xf numFmtId="3" fontId="11" fillId="0" borderId="143" xfId="60" applyNumberFormat="1" applyFont="1" applyFill="1" applyBorder="1">
      <alignment/>
      <protection/>
    </xf>
    <xf numFmtId="3" fontId="11" fillId="0" borderId="47" xfId="60" applyNumberFormat="1" applyFont="1" applyFill="1" applyBorder="1">
      <alignment/>
      <protection/>
    </xf>
    <xf numFmtId="3" fontId="12" fillId="0" borderId="73" xfId="60" applyNumberFormat="1" applyFont="1" applyFill="1" applyBorder="1">
      <alignment/>
      <protection/>
    </xf>
    <xf numFmtId="3" fontId="12" fillId="0" borderId="56" xfId="60" applyNumberFormat="1" applyFont="1" applyFill="1" applyBorder="1">
      <alignment/>
      <protection/>
    </xf>
    <xf numFmtId="0" fontId="11" fillId="0" borderId="160" xfId="60" applyFont="1" applyFill="1" applyBorder="1" applyAlignment="1">
      <alignment horizontal="center" vertical="center"/>
      <protection/>
    </xf>
    <xf numFmtId="0" fontId="11" fillId="0" borderId="33" xfId="60" applyFont="1" applyFill="1" applyBorder="1" applyAlignment="1">
      <alignment horizontal="left" wrapText="1"/>
      <protection/>
    </xf>
    <xf numFmtId="0" fontId="11" fillId="0" borderId="161" xfId="60" applyFont="1" applyFill="1" applyBorder="1" applyAlignment="1">
      <alignment horizontal="left" wrapText="1"/>
      <protection/>
    </xf>
    <xf numFmtId="0" fontId="11" fillId="0" borderId="0" xfId="60" applyFont="1" applyBorder="1" applyAlignment="1">
      <alignment horizontal="left"/>
      <protection/>
    </xf>
    <xf numFmtId="0" fontId="12" fillId="0" borderId="34" xfId="60" applyFont="1" applyFill="1" applyBorder="1" applyAlignment="1">
      <alignment horizontal="center" vertical="center"/>
      <protection/>
    </xf>
    <xf numFmtId="0" fontId="12" fillId="0" borderId="162" xfId="60" applyFont="1" applyFill="1" applyBorder="1" applyAlignment="1">
      <alignment horizontal="center" vertical="center"/>
      <protection/>
    </xf>
    <xf numFmtId="0" fontId="0" fillId="0" borderId="129" xfId="0" applyBorder="1" applyAlignment="1">
      <alignment vertical="center" wrapText="1"/>
    </xf>
    <xf numFmtId="3" fontId="15" fillId="0" borderId="31" xfId="0" applyNumberFormat="1" applyFont="1" applyFill="1" applyBorder="1" applyAlignment="1">
      <alignment horizontal="center" vertical="center"/>
    </xf>
    <xf numFmtId="3" fontId="28" fillId="0" borderId="88" xfId="0" applyNumberFormat="1" applyFont="1" applyFill="1" applyBorder="1" applyAlignment="1">
      <alignment vertical="center"/>
    </xf>
    <xf numFmtId="3" fontId="28" fillId="0" borderId="88" xfId="0" applyNumberFormat="1" applyFont="1" applyFill="1" applyBorder="1" applyAlignment="1">
      <alignment vertical="center" wrapText="1"/>
    </xf>
    <xf numFmtId="3" fontId="15" fillId="0" borderId="107" xfId="0" applyNumberFormat="1" applyFont="1" applyFill="1" applyBorder="1" applyAlignment="1">
      <alignment horizontal="right" vertical="center"/>
    </xf>
    <xf numFmtId="49" fontId="30" fillId="0" borderId="41" xfId="0" applyNumberFormat="1" applyFont="1" applyFill="1" applyBorder="1" applyAlignment="1">
      <alignment horizontal="left" wrapText="1"/>
    </xf>
    <xf numFmtId="3" fontId="15" fillId="0" borderId="53" xfId="0" applyNumberFormat="1" applyFont="1" applyFill="1" applyBorder="1" applyAlignment="1">
      <alignment horizontal="center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16" fillId="0" borderId="58" xfId="0" applyNumberFormat="1" applyFont="1" applyFill="1" applyBorder="1" applyAlignment="1">
      <alignment horizontal="right" vertical="center"/>
    </xf>
    <xf numFmtId="3" fontId="16" fillId="0" borderId="41" xfId="0" applyNumberFormat="1" applyFont="1" applyFill="1" applyBorder="1" applyAlignment="1">
      <alignment horizontal="right" vertical="center"/>
    </xf>
    <xf numFmtId="3" fontId="15" fillId="0" borderId="63" xfId="0" applyNumberFormat="1" applyFont="1" applyFill="1" applyBorder="1" applyAlignment="1">
      <alignment horizontal="right" vertical="center"/>
    </xf>
    <xf numFmtId="3" fontId="16" fillId="0" borderId="62" xfId="0" applyNumberFormat="1" applyFont="1" applyFill="1" applyBorder="1" applyAlignment="1">
      <alignment horizontal="right" vertical="center"/>
    </xf>
    <xf numFmtId="3" fontId="15" fillId="0" borderId="96" xfId="0" applyNumberFormat="1" applyFont="1" applyFill="1" applyBorder="1" applyAlignment="1">
      <alignment horizontal="right" vertical="center"/>
    </xf>
    <xf numFmtId="3" fontId="16" fillId="0" borderId="63" xfId="0" applyNumberFormat="1" applyFont="1" applyFill="1" applyBorder="1" applyAlignment="1">
      <alignment horizontal="right" vertical="center"/>
    </xf>
    <xf numFmtId="3" fontId="16" fillId="0" borderId="106" xfId="0" applyNumberFormat="1" applyFont="1" applyFill="1" applyBorder="1" applyAlignment="1">
      <alignment horizontal="right" vertical="center"/>
    </xf>
    <xf numFmtId="175" fontId="16" fillId="0" borderId="36" xfId="0" applyNumberFormat="1" applyFont="1" applyFill="1" applyBorder="1" applyAlignment="1">
      <alignment horizontal="right" vertical="center"/>
    </xf>
    <xf numFmtId="3" fontId="16" fillId="0" borderId="74" xfId="0" applyNumberFormat="1" applyFont="1" applyFill="1" applyBorder="1" applyAlignment="1">
      <alignment horizontal="right" vertical="center"/>
    </xf>
    <xf numFmtId="2" fontId="30" fillId="0" borderId="61" xfId="0" applyNumberFormat="1" applyFont="1" applyFill="1" applyBorder="1" applyAlignment="1">
      <alignment wrapText="1"/>
    </xf>
    <xf numFmtId="0" fontId="13" fillId="0" borderId="29" xfId="0" applyFont="1" applyFill="1" applyBorder="1" applyAlignment="1">
      <alignment horizontal="right" shrinkToFit="1"/>
    </xf>
    <xf numFmtId="0" fontId="13" fillId="0" borderId="30" xfId="0" applyFont="1" applyFill="1" applyBorder="1" applyAlignment="1">
      <alignment horizontal="right" vertical="center" shrinkToFit="1"/>
    </xf>
    <xf numFmtId="2" fontId="30" fillId="0" borderId="61" xfId="0" applyNumberFormat="1" applyFont="1" applyFill="1" applyBorder="1" applyAlignment="1">
      <alignment vertical="center" wrapText="1"/>
    </xf>
    <xf numFmtId="0" fontId="13" fillId="0" borderId="81" xfId="0" applyFont="1" applyFill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right" vertical="center" shrinkToFit="1"/>
    </xf>
    <xf numFmtId="0" fontId="13" fillId="0" borderId="102" xfId="0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right" vertical="center" shrinkToFit="1"/>
    </xf>
    <xf numFmtId="0" fontId="13" fillId="0" borderId="111" xfId="0" applyFont="1" applyFill="1" applyBorder="1" applyAlignment="1">
      <alignment horizontal="right" vertical="center" shrinkToFit="1"/>
    </xf>
    <xf numFmtId="0" fontId="13" fillId="0" borderId="163" xfId="0" applyFont="1" applyFill="1" applyBorder="1" applyAlignment="1">
      <alignment horizontal="right" vertical="center" shrinkToFit="1"/>
    </xf>
    <xf numFmtId="3" fontId="12" fillId="0" borderId="62" xfId="0" applyNumberFormat="1" applyFont="1" applyFill="1" applyBorder="1" applyAlignment="1">
      <alignment horizontal="right" shrinkToFit="1"/>
    </xf>
    <xf numFmtId="3" fontId="12" fillId="0" borderId="62" xfId="0" applyNumberFormat="1" applyFont="1" applyFill="1" applyBorder="1" applyAlignment="1">
      <alignment horizontal="right" vertical="center" shrinkToFit="1"/>
    </xf>
    <xf numFmtId="3" fontId="18" fillId="0" borderId="44" xfId="69" applyNumberFormat="1" applyFont="1" applyFill="1" applyBorder="1" applyAlignment="1">
      <alignment horizontal="center" vertical="center"/>
      <protection/>
    </xf>
    <xf numFmtId="164" fontId="18" fillId="0" borderId="44" xfId="69" applyNumberFormat="1" applyFont="1" applyFill="1" applyBorder="1" applyAlignment="1">
      <alignment horizontal="center" vertical="center"/>
      <protection/>
    </xf>
    <xf numFmtId="3" fontId="29" fillId="0" borderId="68" xfId="69" applyNumberFormat="1" applyFont="1" applyFill="1" applyBorder="1" applyAlignment="1">
      <alignment vertical="center" wrapText="1"/>
      <protection/>
    </xf>
    <xf numFmtId="4" fontId="29" fillId="0" borderId="42" xfId="69" applyNumberFormat="1" applyFont="1" applyFill="1" applyBorder="1" applyAlignment="1">
      <alignment horizontal="center" vertical="center"/>
      <protection/>
    </xf>
    <xf numFmtId="0" fontId="33" fillId="0" borderId="78" xfId="0" applyFont="1" applyBorder="1" applyAlignment="1">
      <alignment wrapText="1"/>
    </xf>
    <xf numFmtId="0" fontId="33" fillId="0" borderId="80" xfId="0" applyFont="1" applyBorder="1" applyAlignment="1">
      <alignment wrapText="1"/>
    </xf>
    <xf numFmtId="3" fontId="33" fillId="0" borderId="86" xfId="0" applyNumberFormat="1" applyFont="1" applyFill="1" applyBorder="1" applyAlignment="1">
      <alignment horizontal="right" vertical="center" shrinkToFit="1"/>
    </xf>
    <xf numFmtId="3" fontId="34" fillId="0" borderId="164" xfId="0" applyNumberFormat="1" applyFont="1" applyFill="1" applyBorder="1" applyAlignment="1">
      <alignment horizontal="right" vertical="center" shrinkToFit="1"/>
    </xf>
    <xf numFmtId="3" fontId="34" fillId="0" borderId="65" xfId="0" applyNumberFormat="1" applyFont="1" applyFill="1" applyBorder="1" applyAlignment="1">
      <alignment horizontal="right" vertical="center" shrinkToFit="1"/>
    </xf>
    <xf numFmtId="3" fontId="21" fillId="0" borderId="165" xfId="0" applyNumberFormat="1" applyFont="1" applyFill="1" applyBorder="1" applyAlignment="1">
      <alignment horizontal="right" vertical="center" shrinkToFit="1"/>
    </xf>
    <xf numFmtId="2" fontId="30" fillId="0" borderId="61" xfId="0" applyNumberFormat="1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shrinkToFit="1"/>
    </xf>
    <xf numFmtId="0" fontId="39" fillId="0" borderId="23" xfId="0" applyFont="1" applyFill="1" applyBorder="1" applyAlignment="1">
      <alignment horizontal="center" shrinkToFit="1"/>
    </xf>
    <xf numFmtId="49" fontId="28" fillId="0" borderId="159" xfId="0" applyNumberFormat="1" applyFont="1" applyFill="1" applyBorder="1" applyAlignment="1">
      <alignment horizontal="center" shrinkToFit="1"/>
    </xf>
    <xf numFmtId="0" fontId="39" fillId="0" borderId="61" xfId="0" applyFont="1" applyFill="1" applyBorder="1" applyAlignment="1">
      <alignment horizontal="justify" shrinkToFit="1"/>
    </xf>
    <xf numFmtId="0" fontId="11" fillId="0" borderId="41" xfId="0" applyFont="1" applyFill="1" applyBorder="1" applyAlignment="1">
      <alignment horizontal="right" shrinkToFit="1"/>
    </xf>
    <xf numFmtId="0" fontId="12" fillId="0" borderId="91" xfId="0" applyFont="1" applyFill="1" applyBorder="1" applyAlignment="1">
      <alignment horizontal="right" shrinkToFit="1"/>
    </xf>
    <xf numFmtId="3" fontId="12" fillId="0" borderId="59" xfId="0" applyNumberFormat="1" applyFont="1" applyFill="1" applyBorder="1" applyAlignment="1">
      <alignment horizontal="right" shrinkToFit="1"/>
    </xf>
    <xf numFmtId="3" fontId="19" fillId="0" borderId="0" xfId="0" applyNumberFormat="1" applyFont="1" applyFill="1" applyAlignment="1">
      <alignment horizontal="right" vertical="center" shrinkToFit="1"/>
    </xf>
    <xf numFmtId="3" fontId="49" fillId="0" borderId="76" xfId="0" applyNumberFormat="1" applyFont="1" applyFill="1" applyBorder="1" applyAlignment="1">
      <alignment horizontal="center" vertical="center" shrinkToFit="1"/>
    </xf>
    <xf numFmtId="3" fontId="48" fillId="0" borderId="76" xfId="0" applyNumberFormat="1" applyFont="1" applyFill="1" applyBorder="1" applyAlignment="1">
      <alignment horizontal="right" vertical="center" shrinkToFit="1"/>
    </xf>
    <xf numFmtId="3" fontId="48" fillId="0" borderId="62" xfId="0" applyNumberFormat="1" applyFont="1" applyFill="1" applyBorder="1" applyAlignment="1">
      <alignment horizontal="right" vertical="center" shrinkToFit="1"/>
    </xf>
    <xf numFmtId="3" fontId="21" fillId="0" borderId="62" xfId="0" applyNumberFormat="1" applyFont="1" applyFill="1" applyBorder="1" applyAlignment="1">
      <alignment horizontal="right" vertical="center" shrinkToFit="1"/>
    </xf>
    <xf numFmtId="3" fontId="21" fillId="0" borderId="140" xfId="0" applyNumberFormat="1" applyFont="1" applyFill="1" applyBorder="1" applyAlignment="1">
      <alignment horizontal="right" vertical="center" shrinkToFit="1"/>
    </xf>
    <xf numFmtId="3" fontId="21" fillId="0" borderId="62" xfId="0" applyNumberFormat="1" applyFont="1" applyFill="1" applyBorder="1" applyAlignment="1">
      <alignment horizontal="right" vertical="center" shrinkToFit="1"/>
    </xf>
    <xf numFmtId="3" fontId="19" fillId="0" borderId="166" xfId="0" applyNumberFormat="1" applyFont="1" applyFill="1" applyBorder="1" applyAlignment="1">
      <alignment horizontal="right" vertical="center" shrinkToFit="1"/>
    </xf>
    <xf numFmtId="3" fontId="19" fillId="0" borderId="56" xfId="0" applyNumberFormat="1" applyFont="1" applyFill="1" applyBorder="1" applyAlignment="1">
      <alignment horizontal="right" vertical="center" shrinkToFit="1"/>
    </xf>
    <xf numFmtId="3" fontId="19" fillId="0" borderId="167" xfId="0" applyNumberFormat="1" applyFont="1" applyFill="1" applyBorder="1" applyAlignment="1">
      <alignment horizontal="right" vertical="center" shrinkToFit="1"/>
    </xf>
    <xf numFmtId="0" fontId="11" fillId="0" borderId="0" xfId="62" applyFont="1">
      <alignment/>
      <protection/>
    </xf>
    <xf numFmtId="0" fontId="32" fillId="0" borderId="0" xfId="62">
      <alignment/>
      <protection/>
    </xf>
    <xf numFmtId="0" fontId="11" fillId="0" borderId="0" xfId="62" applyFont="1" applyAlignment="1">
      <alignment horizontal="right"/>
      <protection/>
    </xf>
    <xf numFmtId="0" fontId="11" fillId="0" borderId="143" xfId="62" applyFont="1" applyBorder="1" applyAlignment="1">
      <alignment horizontal="center" wrapText="1"/>
      <protection/>
    </xf>
    <xf numFmtId="0" fontId="50" fillId="0" borderId="168" xfId="62" applyFont="1" applyBorder="1" applyAlignment="1">
      <alignment horizontal="center" wrapText="1"/>
      <protection/>
    </xf>
    <xf numFmtId="0" fontId="32" fillId="0" borderId="29" xfId="62" applyBorder="1">
      <alignment/>
      <protection/>
    </xf>
    <xf numFmtId="0" fontId="11" fillId="0" borderId="0" xfId="62" applyFont="1" applyBorder="1" applyAlignment="1">
      <alignment horizontal="center" wrapText="1" shrinkToFit="1"/>
      <protection/>
    </xf>
    <xf numFmtId="3" fontId="12" fillId="0" borderId="143" xfId="62" applyNumberFormat="1" applyFont="1" applyBorder="1" applyAlignment="1">
      <alignment horizontal="right"/>
      <protection/>
    </xf>
    <xf numFmtId="3" fontId="12" fillId="0" borderId="168" xfId="62" applyNumberFormat="1" applyFont="1" applyBorder="1">
      <alignment/>
      <protection/>
    </xf>
    <xf numFmtId="3" fontId="12" fillId="0" borderId="0" xfId="62" applyNumberFormat="1" applyFont="1" applyBorder="1" applyAlignment="1">
      <alignment horizontal="right"/>
      <protection/>
    </xf>
    <xf numFmtId="3" fontId="12" fillId="0" borderId="85" xfId="62" applyNumberFormat="1" applyFont="1" applyBorder="1" applyAlignment="1">
      <alignment horizontal="right"/>
      <protection/>
    </xf>
    <xf numFmtId="3" fontId="11" fillId="0" borderId="169" xfId="62" applyNumberFormat="1" applyFont="1" applyBorder="1" applyAlignment="1">
      <alignment horizontal="right"/>
      <protection/>
    </xf>
    <xf numFmtId="3" fontId="11" fillId="0" borderId="0" xfId="62" applyNumberFormat="1" applyFont="1">
      <alignment/>
      <protection/>
    </xf>
    <xf numFmtId="0" fontId="11" fillId="0" borderId="0" xfId="62" applyFont="1" applyBorder="1" applyAlignment="1">
      <alignment horizontal="right"/>
      <protection/>
    </xf>
    <xf numFmtId="3" fontId="11" fillId="0" borderId="129" xfId="62" applyNumberFormat="1" applyFont="1" applyBorder="1" applyAlignment="1">
      <alignment horizontal="right"/>
      <protection/>
    </xf>
    <xf numFmtId="3" fontId="11" fillId="0" borderId="113" xfId="62" applyNumberFormat="1" applyFont="1" applyBorder="1">
      <alignment/>
      <protection/>
    </xf>
    <xf numFmtId="3" fontId="11" fillId="0" borderId="0" xfId="62" applyNumberFormat="1" applyFont="1" applyBorder="1" applyAlignment="1">
      <alignment horizontal="right"/>
      <protection/>
    </xf>
    <xf numFmtId="3" fontId="11" fillId="0" borderId="70" xfId="62" applyNumberFormat="1" applyFont="1" applyBorder="1" applyAlignment="1">
      <alignment horizontal="right"/>
      <protection/>
    </xf>
    <xf numFmtId="3" fontId="11" fillId="0" borderId="159" xfId="62" applyNumberFormat="1" applyFont="1" applyBorder="1" applyAlignment="1">
      <alignment horizontal="right"/>
      <protection/>
    </xf>
    <xf numFmtId="3" fontId="11" fillId="0" borderId="29" xfId="62" applyNumberFormat="1" applyFont="1" applyBorder="1">
      <alignment/>
      <protection/>
    </xf>
    <xf numFmtId="3" fontId="11" fillId="0" borderId="54" xfId="62" applyNumberFormat="1" applyFont="1" applyBorder="1">
      <alignment/>
      <protection/>
    </xf>
    <xf numFmtId="0" fontId="54" fillId="0" borderId="0" xfId="62" applyFont="1">
      <alignment/>
      <protection/>
    </xf>
    <xf numFmtId="0" fontId="12" fillId="0" borderId="44" xfId="62" applyFont="1" applyBorder="1" applyAlignment="1">
      <alignment horizontal="center" vertical="center"/>
      <protection/>
    </xf>
    <xf numFmtId="0" fontId="12" fillId="0" borderId="170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center" vertical="center"/>
      <protection/>
    </xf>
    <xf numFmtId="0" fontId="12" fillId="0" borderId="171" xfId="62" applyFont="1" applyBorder="1" applyAlignment="1">
      <alignment horizontal="center" vertical="center"/>
      <protection/>
    </xf>
    <xf numFmtId="0" fontId="26" fillId="0" borderId="34" xfId="62" applyFont="1" applyBorder="1" applyAlignment="1">
      <alignment vertical="center" wrapText="1"/>
      <protection/>
    </xf>
    <xf numFmtId="0" fontId="11" fillId="0" borderId="55" xfId="62" applyFont="1" applyBorder="1" applyAlignment="1">
      <alignment vertical="center" wrapText="1"/>
      <protection/>
    </xf>
    <xf numFmtId="3" fontId="11" fillId="0" borderId="172" xfId="62" applyNumberFormat="1" applyFont="1" applyBorder="1" applyAlignment="1">
      <alignment horizontal="right" vertical="center"/>
      <protection/>
    </xf>
    <xf numFmtId="0" fontId="11" fillId="0" borderId="40" xfId="62" applyFont="1" applyBorder="1" applyAlignment="1">
      <alignment vertical="center" wrapText="1"/>
      <protection/>
    </xf>
    <xf numFmtId="3" fontId="11" fillId="0" borderId="41" xfId="62" applyNumberFormat="1" applyFont="1" applyBorder="1" applyAlignment="1">
      <alignment horizontal="right" vertical="center"/>
      <protection/>
    </xf>
    <xf numFmtId="3" fontId="11" fillId="0" borderId="113" xfId="62" applyNumberFormat="1" applyFont="1" applyBorder="1" applyAlignment="1">
      <alignment horizontal="right" vertical="center"/>
      <protection/>
    </xf>
    <xf numFmtId="3" fontId="11" fillId="0" borderId="39" xfId="62" applyNumberFormat="1" applyFont="1" applyBorder="1" applyAlignment="1">
      <alignment horizontal="right" vertical="center"/>
      <protection/>
    </xf>
    <xf numFmtId="0" fontId="11" fillId="0" borderId="40" xfId="62" applyFont="1" applyBorder="1" applyAlignment="1">
      <alignment wrapText="1"/>
      <protection/>
    </xf>
    <xf numFmtId="0" fontId="11" fillId="0" borderId="37" xfId="62" applyFont="1" applyBorder="1" applyAlignment="1">
      <alignment vertical="center" wrapText="1"/>
      <protection/>
    </xf>
    <xf numFmtId="3" fontId="11" fillId="0" borderId="38" xfId="62" applyNumberFormat="1" applyFont="1" applyBorder="1" applyAlignment="1">
      <alignment horizontal="right" vertical="center"/>
      <protection/>
    </xf>
    <xf numFmtId="3" fontId="11" fillId="0" borderId="114" xfId="62" applyNumberFormat="1" applyFont="1" applyBorder="1" applyAlignment="1">
      <alignment horizontal="right" vertical="center"/>
      <protection/>
    </xf>
    <xf numFmtId="0" fontId="50" fillId="0" borderId="0" xfId="62" applyFont="1">
      <alignment/>
      <protection/>
    </xf>
    <xf numFmtId="0" fontId="11" fillId="0" borderId="37" xfId="62" applyFont="1" applyBorder="1" applyAlignment="1">
      <alignment wrapText="1"/>
      <protection/>
    </xf>
    <xf numFmtId="1" fontId="11" fillId="0" borderId="38" xfId="62" applyNumberFormat="1" applyFont="1" applyBorder="1" applyAlignment="1">
      <alignment horizontal="right" vertical="center"/>
      <protection/>
    </xf>
    <xf numFmtId="1" fontId="11" fillId="0" borderId="11" xfId="62" applyNumberFormat="1" applyFont="1" applyBorder="1" applyAlignment="1">
      <alignment horizontal="right" vertical="center"/>
      <protection/>
    </xf>
    <xf numFmtId="0" fontId="32" fillId="0" borderId="0" xfId="62" applyFont="1" applyAlignment="1">
      <alignment horizontal="center"/>
      <protection/>
    </xf>
    <xf numFmtId="0" fontId="11" fillId="0" borderId="55" xfId="62" applyFont="1" applyBorder="1" applyAlignment="1">
      <alignment wrapText="1"/>
      <protection/>
    </xf>
    <xf numFmtId="1" fontId="11" fillId="0" borderId="58" xfId="62" applyNumberFormat="1" applyFont="1" applyBorder="1" applyAlignment="1">
      <alignment horizontal="right" vertical="center"/>
      <protection/>
    </xf>
    <xf numFmtId="1" fontId="11" fillId="0" borderId="0" xfId="62" applyNumberFormat="1" applyFont="1" applyBorder="1" applyAlignment="1">
      <alignment horizontal="right" vertical="center"/>
      <protection/>
    </xf>
    <xf numFmtId="3" fontId="11" fillId="0" borderId="173" xfId="62" applyNumberFormat="1" applyFont="1" applyBorder="1" applyAlignment="1">
      <alignment horizontal="right" vertical="center"/>
      <protection/>
    </xf>
    <xf numFmtId="0" fontId="12" fillId="0" borderId="34" xfId="62" applyFont="1" applyBorder="1" applyAlignment="1">
      <alignment horizontal="left" vertical="center" wrapText="1"/>
      <protection/>
    </xf>
    <xf numFmtId="0" fontId="33" fillId="0" borderId="41" xfId="0" applyFont="1" applyFill="1" applyBorder="1" applyAlignment="1">
      <alignment horizontal="center" vertical="center" shrinkToFit="1"/>
    </xf>
    <xf numFmtId="49" fontId="33" fillId="0" borderId="41" xfId="0" applyNumberFormat="1" applyFont="1" applyFill="1" applyBorder="1" applyAlignment="1">
      <alignment vertical="center" wrapText="1"/>
    </xf>
    <xf numFmtId="0" fontId="33" fillId="0" borderId="41" xfId="0" applyFont="1" applyBorder="1" applyAlignment="1">
      <alignment wrapText="1"/>
    </xf>
    <xf numFmtId="0" fontId="67" fillId="0" borderId="132" xfId="0" applyFont="1" applyFill="1" applyBorder="1" applyAlignment="1">
      <alignment vertical="center" shrinkToFit="1"/>
    </xf>
    <xf numFmtId="0" fontId="66" fillId="0" borderId="132" xfId="0" applyFont="1" applyFill="1" applyBorder="1" applyAlignment="1">
      <alignment vertical="center" shrinkToFit="1"/>
    </xf>
    <xf numFmtId="3" fontId="20" fillId="0" borderId="29" xfId="69" applyNumberFormat="1" applyFont="1" applyFill="1" applyBorder="1" applyAlignment="1">
      <alignment horizontal="center" vertical="center"/>
      <protection/>
    </xf>
    <xf numFmtId="3" fontId="54" fillId="0" borderId="80" xfId="65" applyNumberFormat="1" applyFont="1" applyBorder="1" applyAlignment="1">
      <alignment horizontal="right"/>
      <protection/>
    </xf>
    <xf numFmtId="3" fontId="54" fillId="0" borderId="138" xfId="65" applyNumberFormat="1" applyFont="1" applyBorder="1" applyAlignment="1">
      <alignment horizontal="right"/>
      <protection/>
    </xf>
    <xf numFmtId="3" fontId="70" fillId="0" borderId="155" xfId="65" applyNumberFormat="1" applyFont="1" applyBorder="1" applyAlignment="1" quotePrefix="1">
      <alignment horizontal="right"/>
      <protection/>
    </xf>
    <xf numFmtId="3" fontId="70" fillId="0" borderId="174" xfId="65" applyNumberFormat="1" applyFont="1" applyBorder="1" applyAlignment="1">
      <alignment horizontal="right"/>
      <protection/>
    </xf>
    <xf numFmtId="3" fontId="15" fillId="0" borderId="91" xfId="0" applyNumberFormat="1" applyFont="1" applyFill="1" applyBorder="1" applyAlignment="1">
      <alignment horizontal="right" vertical="center"/>
    </xf>
    <xf numFmtId="49" fontId="28" fillId="0" borderId="113" xfId="0" applyNumberFormat="1" applyFont="1" applyFill="1" applyBorder="1" applyAlignment="1">
      <alignment horizontal="left" shrinkToFit="1"/>
    </xf>
    <xf numFmtId="3" fontId="15" fillId="0" borderId="38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49" fontId="30" fillId="0" borderId="53" xfId="0" applyNumberFormat="1" applyFont="1" applyFill="1" applyBorder="1" applyAlignment="1">
      <alignment horizontal="left" wrapText="1"/>
    </xf>
    <xf numFmtId="3" fontId="15" fillId="0" borderId="61" xfId="0" applyNumberFormat="1" applyFont="1" applyFill="1" applyBorder="1" applyAlignment="1">
      <alignment horizontal="right" vertical="center"/>
    </xf>
    <xf numFmtId="3" fontId="16" fillId="0" borderId="107" xfId="0" applyNumberFormat="1" applyFont="1" applyFill="1" applyBorder="1" applyAlignment="1">
      <alignment horizontal="right" vertical="center"/>
    </xf>
    <xf numFmtId="2" fontId="29" fillId="0" borderId="15" xfId="69" applyNumberFormat="1" applyFont="1" applyFill="1" applyBorder="1" applyAlignment="1">
      <alignment horizontal="center" vertical="center"/>
      <protection/>
    </xf>
    <xf numFmtId="3" fontId="20" fillId="0" borderId="111" xfId="69" applyNumberFormat="1" applyFont="1" applyFill="1" applyBorder="1" applyAlignment="1">
      <alignment horizontal="center" vertical="center"/>
      <protection/>
    </xf>
    <xf numFmtId="2" fontId="29" fillId="0" borderId="91" xfId="69" applyNumberFormat="1" applyFont="1" applyFill="1" applyBorder="1" applyAlignment="1">
      <alignment horizontal="center" vertical="center"/>
      <protection/>
    </xf>
    <xf numFmtId="49" fontId="28" fillId="0" borderId="27" xfId="0" applyNumberFormat="1" applyFont="1" applyFill="1" applyBorder="1" applyAlignment="1">
      <alignment horizontal="center" shrinkToFit="1"/>
    </xf>
    <xf numFmtId="3" fontId="20" fillId="0" borderId="59" xfId="69" applyNumberFormat="1" applyFont="1" applyFill="1" applyBorder="1" applyAlignment="1">
      <alignment horizontal="center" vertical="center"/>
      <protection/>
    </xf>
    <xf numFmtId="3" fontId="54" fillId="0" borderId="57" xfId="65" applyNumberFormat="1" applyFont="1" applyBorder="1" applyAlignment="1">
      <alignment horizontal="right"/>
      <protection/>
    </xf>
    <xf numFmtId="3" fontId="54" fillId="0" borderId="140" xfId="65" applyNumberFormat="1" applyFont="1" applyBorder="1" applyAlignment="1">
      <alignment horizontal="right"/>
      <protection/>
    </xf>
    <xf numFmtId="3" fontId="70" fillId="0" borderId="155" xfId="65" applyNumberFormat="1" applyFont="1" applyBorder="1" applyAlignment="1">
      <alignment horizontal="right"/>
      <protection/>
    </xf>
    <xf numFmtId="3" fontId="70" fillId="0" borderId="58" xfId="65" applyNumberFormat="1" applyFont="1" applyBorder="1" applyAlignment="1">
      <alignment horizontal="right"/>
      <protection/>
    </xf>
    <xf numFmtId="3" fontId="70" fillId="0" borderId="62" xfId="65" applyNumberFormat="1" applyFont="1" applyBorder="1" applyAlignment="1">
      <alignment horizontal="right"/>
      <protection/>
    </xf>
    <xf numFmtId="0" fontId="54" fillId="0" borderId="57" xfId="65" applyFont="1" applyBorder="1">
      <alignment/>
      <protection/>
    </xf>
    <xf numFmtId="3" fontId="32" fillId="0" borderId="0" xfId="56" applyNumberFormat="1" applyAlignment="1">
      <alignment horizontal="center"/>
      <protection/>
    </xf>
    <xf numFmtId="3" fontId="61" fillId="0" borderId="44" xfId="0" applyNumberFormat="1" applyFont="1" applyFill="1" applyBorder="1" applyAlignment="1">
      <alignment vertical="center"/>
    </xf>
    <xf numFmtId="3" fontId="61" fillId="0" borderId="58" xfId="0" applyNumberFormat="1" applyFont="1" applyFill="1" applyBorder="1" applyAlignment="1">
      <alignment vertical="center"/>
    </xf>
    <xf numFmtId="0" fontId="61" fillId="0" borderId="57" xfId="56" applyFont="1" applyBorder="1" applyAlignment="1">
      <alignment/>
      <protection/>
    </xf>
    <xf numFmtId="3" fontId="61" fillId="0" borderId="41" xfId="0" applyNumberFormat="1" applyFont="1" applyBorder="1" applyAlignment="1">
      <alignment horizontal="right"/>
    </xf>
    <xf numFmtId="3" fontId="61" fillId="0" borderId="41" xfId="0" applyNumberFormat="1" applyFont="1" applyBorder="1" applyAlignment="1">
      <alignment horizontal="right" vertical="center"/>
    </xf>
    <xf numFmtId="0" fontId="49" fillId="0" borderId="38" xfId="70" applyFont="1" applyBorder="1" applyAlignment="1">
      <alignment horizontal="center" wrapText="1"/>
      <protection/>
    </xf>
    <xf numFmtId="3" fontId="36" fillId="0" borderId="44" xfId="70" applyNumberFormat="1" applyFont="1" applyBorder="1">
      <alignment/>
      <protection/>
    </xf>
    <xf numFmtId="0" fontId="28" fillId="0" borderId="70" xfId="61" applyFont="1" applyBorder="1">
      <alignment/>
      <protection/>
    </xf>
    <xf numFmtId="0" fontId="0" fillId="0" borderId="0" xfId="0" applyFont="1" applyAlignment="1">
      <alignment/>
    </xf>
    <xf numFmtId="0" fontId="0" fillId="0" borderId="129" xfId="0" applyFont="1" applyBorder="1" applyAlignment="1">
      <alignment vertical="center" wrapText="1"/>
    </xf>
    <xf numFmtId="0" fontId="15" fillId="0" borderId="72" xfId="0" applyFont="1" applyBorder="1" applyAlignment="1">
      <alignment horizontal="center" vertical="center" wrapText="1"/>
    </xf>
    <xf numFmtId="3" fontId="15" fillId="0" borderId="79" xfId="0" applyNumberFormat="1" applyFont="1" applyBorder="1" applyAlignment="1">
      <alignment vertical="center" wrapText="1"/>
    </xf>
    <xf numFmtId="164" fontId="29" fillId="0" borderId="41" xfId="69" applyNumberFormat="1" applyFont="1" applyFill="1" applyBorder="1" applyAlignment="1">
      <alignment horizontal="center" vertical="center"/>
      <protection/>
    </xf>
    <xf numFmtId="164" fontId="29" fillId="0" borderId="38" xfId="69" applyNumberFormat="1" applyFont="1" applyFill="1" applyBorder="1" applyAlignment="1">
      <alignment horizontal="center" vertical="center"/>
      <protection/>
    </xf>
    <xf numFmtId="3" fontId="29" fillId="0" borderId="68" xfId="69" applyNumberFormat="1" applyFont="1" applyFill="1" applyBorder="1" applyAlignment="1">
      <alignment horizontal="left" vertical="center" wrapText="1"/>
      <protection/>
    </xf>
    <xf numFmtId="1" fontId="20" fillId="0" borderId="68" xfId="69" applyNumberFormat="1" applyFont="1" applyFill="1" applyBorder="1" applyAlignment="1">
      <alignment horizontal="center" vertical="center"/>
      <protection/>
    </xf>
    <xf numFmtId="3" fontId="28" fillId="0" borderId="129" xfId="59" applyNumberFormat="1" applyFont="1" applyFill="1" applyBorder="1" applyAlignment="1">
      <alignment horizontal="right" vertical="center"/>
      <protection/>
    </xf>
    <xf numFmtId="0" fontId="81" fillId="0" borderId="40" xfId="59" applyFont="1" applyFill="1" applyBorder="1" applyAlignment="1">
      <alignment vertical="center"/>
      <protection/>
    </xf>
    <xf numFmtId="0" fontId="81" fillId="0" borderId="129" xfId="59" applyFont="1" applyFill="1" applyBorder="1" applyAlignment="1">
      <alignment horizontal="left" vertical="center" indent="1"/>
      <protection/>
    </xf>
    <xf numFmtId="3" fontId="81" fillId="0" borderId="129" xfId="59" applyNumberFormat="1" applyFont="1" applyFill="1" applyBorder="1" applyAlignment="1">
      <alignment horizontal="right" vertical="center"/>
      <protection/>
    </xf>
    <xf numFmtId="3" fontId="58" fillId="0" borderId="0" xfId="59" applyNumberFormat="1" applyFont="1" applyFill="1" applyBorder="1" applyAlignment="1">
      <alignment vertical="center"/>
      <protection/>
    </xf>
    <xf numFmtId="0" fontId="58" fillId="0" borderId="0" xfId="59" applyFont="1" applyFill="1" applyAlignment="1">
      <alignment vertical="center"/>
      <protection/>
    </xf>
    <xf numFmtId="0" fontId="81" fillId="0" borderId="55" xfId="59" applyFont="1" applyFill="1" applyBorder="1" applyAlignment="1">
      <alignment/>
      <protection/>
    </xf>
    <xf numFmtId="0" fontId="81" fillId="0" borderId="31" xfId="59" applyFont="1" applyFill="1" applyBorder="1" applyAlignment="1">
      <alignment horizontal="left" indent="1"/>
      <protection/>
    </xf>
    <xf numFmtId="3" fontId="81" fillId="0" borderId="31" xfId="59" applyNumberFormat="1" applyFont="1" applyFill="1" applyBorder="1" applyAlignment="1">
      <alignment horizontal="right" vertical="center"/>
      <protection/>
    </xf>
    <xf numFmtId="0" fontId="81" fillId="0" borderId="40" xfId="59" applyFont="1" applyFill="1" applyBorder="1" applyAlignment="1">
      <alignment/>
      <protection/>
    </xf>
    <xf numFmtId="3" fontId="81" fillId="0" borderId="41" xfId="59" applyNumberFormat="1" applyFont="1" applyFill="1" applyBorder="1" applyAlignment="1">
      <alignment horizontal="right" vertical="center"/>
      <protection/>
    </xf>
    <xf numFmtId="0" fontId="81" fillId="0" borderId="69" xfId="59" applyFont="1" applyFill="1" applyBorder="1" applyAlignment="1">
      <alignment/>
      <protection/>
    </xf>
    <xf numFmtId="3" fontId="81" fillId="0" borderId="70" xfId="59" applyNumberFormat="1" applyFont="1" applyFill="1" applyBorder="1" applyAlignment="1">
      <alignment horizontal="right" vertical="center"/>
      <protection/>
    </xf>
    <xf numFmtId="3" fontId="81" fillId="0" borderId="59" xfId="59" applyNumberFormat="1" applyFont="1" applyFill="1" applyBorder="1" applyAlignment="1">
      <alignment horizontal="right" vertical="center"/>
      <protection/>
    </xf>
    <xf numFmtId="3" fontId="28" fillId="0" borderId="31" xfId="59" applyNumberFormat="1" applyFont="1" applyBorder="1" applyAlignment="1">
      <alignment horizontal="right" vertical="center"/>
      <protection/>
    </xf>
    <xf numFmtId="3" fontId="28" fillId="0" borderId="15" xfId="70" applyNumberFormat="1" applyFont="1" applyBorder="1" applyAlignment="1">
      <alignment horizontal="right" vertical="center"/>
      <protection/>
    </xf>
    <xf numFmtId="3" fontId="81" fillId="0" borderId="129" xfId="59" applyNumberFormat="1" applyFont="1" applyBorder="1" applyAlignment="1">
      <alignment horizontal="right" vertical="center"/>
      <protection/>
    </xf>
    <xf numFmtId="3" fontId="15" fillId="0" borderId="31" xfId="67" applyNumberFormat="1" applyFont="1" applyFill="1" applyBorder="1" applyAlignment="1">
      <alignment horizontal="right" vertical="center"/>
      <protection/>
    </xf>
    <xf numFmtId="3" fontId="15" fillId="0" borderId="31" xfId="67" applyNumberFormat="1" applyFont="1" applyFill="1" applyBorder="1" applyAlignment="1">
      <alignment vertical="center"/>
      <protection/>
    </xf>
    <xf numFmtId="3" fontId="15" fillId="0" borderId="62" xfId="67" applyNumberFormat="1" applyFont="1" applyFill="1" applyBorder="1" applyAlignment="1">
      <alignment horizontal="right" vertical="center"/>
      <protection/>
    </xf>
    <xf numFmtId="3" fontId="15" fillId="0" borderId="62" xfId="67" applyNumberFormat="1" applyFont="1" applyFill="1" applyBorder="1" applyAlignment="1">
      <alignment vertical="center"/>
      <protection/>
    </xf>
    <xf numFmtId="49" fontId="42" fillId="0" borderId="0" xfId="0" applyNumberFormat="1" applyFont="1" applyFill="1" applyAlignment="1">
      <alignment vertical="center" wrapText="1" shrinkToFit="1"/>
    </xf>
    <xf numFmtId="49" fontId="41" fillId="0" borderId="27" xfId="0" applyNumberFormat="1" applyFont="1" applyFill="1" applyBorder="1" applyAlignment="1">
      <alignment vertical="center" wrapText="1" shrinkToFit="1"/>
    </xf>
    <xf numFmtId="49" fontId="41" fillId="0" borderId="58" xfId="0" applyNumberFormat="1" applyFont="1" applyFill="1" applyBorder="1" applyAlignment="1">
      <alignment vertical="center" wrapText="1" shrinkToFit="1"/>
    </xf>
    <xf numFmtId="0" fontId="33" fillId="0" borderId="58" xfId="0" applyFont="1" applyBorder="1" applyAlignment="1">
      <alignment horizontal="left" vertical="center" wrapText="1" shrinkToFit="1"/>
    </xf>
    <xf numFmtId="49" fontId="33" fillId="0" borderId="78" xfId="0" applyNumberFormat="1" applyFont="1" applyFill="1" applyBorder="1" applyAlignment="1">
      <alignment vertical="center" wrapText="1" shrinkToFit="1"/>
    </xf>
    <xf numFmtId="49" fontId="33" fillId="0" borderId="80" xfId="0" applyNumberFormat="1" applyFont="1" applyFill="1" applyBorder="1" applyAlignment="1">
      <alignment vertical="center" wrapText="1" shrinkToFit="1"/>
    </xf>
    <xf numFmtId="0" fontId="42" fillId="0" borderId="78" xfId="0" applyFont="1" applyFill="1" applyBorder="1" applyAlignment="1">
      <alignment horizontal="justify" vertical="center" wrapText="1" shrinkToFit="1"/>
    </xf>
    <xf numFmtId="49" fontId="33" fillId="0" borderId="58" xfId="0" applyNumberFormat="1" applyFont="1" applyFill="1" applyBorder="1" applyAlignment="1">
      <alignment vertical="center" wrapText="1" shrinkToFit="1"/>
    </xf>
    <xf numFmtId="3" fontId="33" fillId="0" borderId="78" xfId="0" applyNumberFormat="1" applyFont="1" applyFill="1" applyBorder="1" applyAlignment="1">
      <alignment vertical="center" wrapText="1"/>
    </xf>
    <xf numFmtId="49" fontId="33" fillId="0" borderId="80" xfId="0" applyNumberFormat="1" applyFont="1" applyFill="1" applyBorder="1" applyAlignment="1">
      <alignment horizontal="justify" vertical="center" wrapText="1" shrinkToFit="1"/>
    </xf>
    <xf numFmtId="0" fontId="42" fillId="0" borderId="80" xfId="0" applyFont="1" applyFill="1" applyBorder="1" applyAlignment="1">
      <alignment horizontal="justify" vertical="center" wrapText="1" shrinkToFit="1"/>
    </xf>
    <xf numFmtId="49" fontId="34" fillId="0" borderId="58" xfId="0" applyNumberFormat="1" applyFont="1" applyFill="1" applyBorder="1" applyAlignment="1">
      <alignment horizontal="justify" vertical="center" wrapText="1" shrinkToFit="1"/>
    </xf>
    <xf numFmtId="49" fontId="33" fillId="0" borderId="78" xfId="0" applyNumberFormat="1" applyFont="1" applyFill="1" applyBorder="1" applyAlignment="1">
      <alignment horizontal="justify" vertical="center" wrapText="1" shrinkToFit="1"/>
    </xf>
    <xf numFmtId="49" fontId="34" fillId="0" borderId="58" xfId="0" applyNumberFormat="1" applyFont="1" applyFill="1" applyBorder="1" applyAlignment="1">
      <alignment vertical="center" wrapText="1" shrinkToFit="1"/>
    </xf>
    <xf numFmtId="49" fontId="33" fillId="0" borderId="58" xfId="0" applyNumberFormat="1" applyFont="1" applyFill="1" applyBorder="1" applyAlignment="1">
      <alignment horizontal="justify" vertical="center" wrapText="1" shrinkToFit="1"/>
    </xf>
    <xf numFmtId="49" fontId="34" fillId="0" borderId="57" xfId="0" applyNumberFormat="1" applyFont="1" applyFill="1" applyBorder="1" applyAlignment="1">
      <alignment vertical="center" wrapText="1" shrinkToFit="1"/>
    </xf>
    <xf numFmtId="49" fontId="33" fillId="0" borderId="107" xfId="0" applyNumberFormat="1" applyFont="1" applyFill="1" applyBorder="1" applyAlignment="1">
      <alignment vertical="center" wrapText="1" shrinkToFit="1"/>
    </xf>
    <xf numFmtId="49" fontId="33" fillId="0" borderId="31" xfId="0" applyNumberFormat="1" applyFont="1" applyFill="1" applyBorder="1" applyAlignment="1">
      <alignment horizontal="left" vertical="center" wrapText="1" shrinkToFit="1"/>
    </xf>
    <xf numFmtId="49" fontId="33" fillId="0" borderId="90" xfId="0" applyNumberFormat="1" applyFont="1" applyFill="1" applyBorder="1" applyAlignment="1">
      <alignment horizontal="justify" vertical="center" wrapText="1" shrinkToFit="1"/>
    </xf>
    <xf numFmtId="49" fontId="41" fillId="0" borderId="96" xfId="0" applyNumberFormat="1" applyFont="1" applyFill="1" applyBorder="1" applyAlignment="1">
      <alignment horizontal="center" vertical="center" wrapText="1" shrinkToFit="1"/>
    </xf>
    <xf numFmtId="49" fontId="41" fillId="0" borderId="59" xfId="0" applyNumberFormat="1" applyFont="1" applyFill="1" applyBorder="1" applyAlignment="1">
      <alignment horizontal="center" vertical="center" wrapText="1" shrinkToFit="1"/>
    </xf>
    <xf numFmtId="49" fontId="41" fillId="0" borderId="31" xfId="0" applyNumberFormat="1" applyFont="1" applyFill="1" applyBorder="1" applyAlignment="1">
      <alignment vertical="center" wrapText="1" shrinkToFit="1"/>
    </xf>
    <xf numFmtId="49" fontId="42" fillId="0" borderId="90" xfId="0" applyNumberFormat="1" applyFont="1" applyFill="1" applyBorder="1" applyAlignment="1">
      <alignment vertical="center" wrapText="1" shrinkToFit="1"/>
    </xf>
    <xf numFmtId="49" fontId="33" fillId="0" borderId="78" xfId="0" applyNumberFormat="1" applyFont="1" applyFill="1" applyBorder="1" applyAlignment="1">
      <alignment vertical="center" wrapText="1"/>
    </xf>
    <xf numFmtId="3" fontId="15" fillId="0" borderId="108" xfId="0" applyNumberFormat="1" applyFont="1" applyFill="1" applyBorder="1" applyAlignment="1">
      <alignment horizontal="center" vertical="center"/>
    </xf>
    <xf numFmtId="3" fontId="16" fillId="0" borderId="122" xfId="0" applyNumberFormat="1" applyFont="1" applyFill="1" applyBorder="1" applyAlignment="1">
      <alignment horizontal="right" vertical="center"/>
    </xf>
    <xf numFmtId="3" fontId="61" fillId="0" borderId="41" xfId="68" applyNumberFormat="1" applyFont="1" applyBorder="1" applyAlignment="1">
      <alignment/>
      <protection/>
    </xf>
    <xf numFmtId="3" fontId="62" fillId="0" borderId="41" xfId="68" applyNumberFormat="1" applyFont="1" applyBorder="1">
      <alignment/>
      <protection/>
    </xf>
    <xf numFmtId="3" fontId="62" fillId="0" borderId="44" xfId="68" applyNumberFormat="1" applyFont="1" applyBorder="1" applyAlignment="1">
      <alignment horizontal="right"/>
      <protection/>
    </xf>
    <xf numFmtId="3" fontId="62" fillId="0" borderId="41" xfId="68" applyNumberFormat="1" applyFont="1" applyBorder="1" applyAlignment="1">
      <alignment horizontal="right"/>
      <protection/>
    </xf>
    <xf numFmtId="3" fontId="15" fillId="0" borderId="0" xfId="59" applyNumberFormat="1" applyFont="1" applyFill="1" applyAlignment="1">
      <alignment/>
      <protection/>
    </xf>
    <xf numFmtId="3" fontId="27" fillId="0" borderId="73" xfId="0" applyNumberFormat="1" applyFont="1" applyFill="1" applyBorder="1" applyAlignment="1">
      <alignment horizontal="right" vertical="center"/>
    </xf>
    <xf numFmtId="3" fontId="27" fillId="0" borderId="27" xfId="0" applyNumberFormat="1" applyFont="1" applyFill="1" applyBorder="1" applyAlignment="1">
      <alignment horizontal="right" vertical="center"/>
    </xf>
    <xf numFmtId="3" fontId="27" fillId="0" borderId="76" xfId="0" applyNumberFormat="1" applyFont="1" applyFill="1" applyBorder="1" applyAlignment="1">
      <alignment horizontal="right" vertical="center"/>
    </xf>
    <xf numFmtId="3" fontId="27" fillId="0" borderId="41" xfId="0" applyNumberFormat="1" applyFont="1" applyFill="1" applyBorder="1" applyAlignment="1">
      <alignment horizontal="right" vertical="center"/>
    </xf>
    <xf numFmtId="3" fontId="27" fillId="0" borderId="42" xfId="0" applyNumberFormat="1" applyFont="1" applyFill="1" applyBorder="1" applyAlignment="1">
      <alignment horizontal="right" vertical="center"/>
    </xf>
    <xf numFmtId="3" fontId="27" fillId="0" borderId="1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>
      <alignment horizontal="right" vertical="center"/>
    </xf>
    <xf numFmtId="3" fontId="29" fillId="0" borderId="36" xfId="0" applyNumberFormat="1" applyFont="1" applyFill="1" applyBorder="1" applyAlignment="1">
      <alignment horizontal="right" vertical="center"/>
    </xf>
    <xf numFmtId="0" fontId="82" fillId="0" borderId="0" xfId="56" applyFont="1" applyAlignment="1">
      <alignment horizontal="center" vertical="center" wrapText="1"/>
      <protection/>
    </xf>
    <xf numFmtId="3" fontId="15" fillId="0" borderId="44" xfId="0" applyNumberFormat="1" applyFont="1" applyBorder="1" applyAlignment="1">
      <alignment/>
    </xf>
    <xf numFmtId="3" fontId="28" fillId="0" borderId="41" xfId="0" applyNumberFormat="1" applyFont="1" applyBorder="1" applyAlignment="1">
      <alignment wrapText="1"/>
    </xf>
    <xf numFmtId="3" fontId="28" fillId="0" borderId="129" xfId="0" applyNumberFormat="1" applyFont="1" applyBorder="1" applyAlignment="1">
      <alignment horizontal="right"/>
    </xf>
    <xf numFmtId="3" fontId="15" fillId="0" borderId="41" xfId="0" applyNumberFormat="1" applyFont="1" applyBorder="1" applyAlignment="1">
      <alignment/>
    </xf>
    <xf numFmtId="3" fontId="28" fillId="0" borderId="145" xfId="0" applyNumberFormat="1" applyFont="1" applyBorder="1" applyAlignment="1">
      <alignment horizontal="right" wrapText="1"/>
    </xf>
    <xf numFmtId="3" fontId="36" fillId="0" borderId="44" xfId="0" applyNumberFormat="1" applyFont="1" applyBorder="1" applyAlignment="1">
      <alignment/>
    </xf>
    <xf numFmtId="3" fontId="28" fillId="0" borderId="145" xfId="0" applyNumberFormat="1" applyFont="1" applyBorder="1" applyAlignment="1">
      <alignment horizontal="right"/>
    </xf>
    <xf numFmtId="3" fontId="36" fillId="0" borderId="41" xfId="0" applyNumberFormat="1" applyFont="1" applyBorder="1" applyAlignment="1">
      <alignment/>
    </xf>
    <xf numFmtId="3" fontId="48" fillId="0" borderId="119" xfId="67" applyNumberFormat="1" applyFont="1" applyFill="1" applyBorder="1">
      <alignment/>
      <protection/>
    </xf>
    <xf numFmtId="164" fontId="61" fillId="0" borderId="80" xfId="65" applyNumberFormat="1" applyFont="1" applyBorder="1" applyAlignment="1" quotePrefix="1">
      <alignment horizontal="right"/>
      <protection/>
    </xf>
    <xf numFmtId="3" fontId="61" fillId="0" borderId="138" xfId="65" applyNumberFormat="1" applyFont="1" applyBorder="1" applyAlignment="1" quotePrefix="1">
      <alignment horizontal="right"/>
      <protection/>
    </xf>
    <xf numFmtId="3" fontId="54" fillId="0" borderId="155" xfId="65" applyNumberFormat="1" applyFont="1" applyBorder="1" applyAlignment="1" quotePrefix="1">
      <alignment horizontal="right"/>
      <protection/>
    </xf>
    <xf numFmtId="3" fontId="70" fillId="0" borderId="70" xfId="65" applyNumberFormat="1" applyFont="1" applyBorder="1" applyAlignment="1">
      <alignment horizontal="right"/>
      <protection/>
    </xf>
    <xf numFmtId="3" fontId="70" fillId="0" borderId="75" xfId="65" applyNumberFormat="1" applyFont="1" applyBorder="1" applyAlignment="1">
      <alignment horizontal="right"/>
      <protection/>
    </xf>
    <xf numFmtId="0" fontId="70" fillId="0" borderId="41" xfId="65" applyFont="1" applyBorder="1" applyAlignment="1">
      <alignment horizontal="right" wrapText="1"/>
      <protection/>
    </xf>
    <xf numFmtId="3" fontId="70" fillId="0" borderId="42" xfId="65" applyNumberFormat="1" applyFont="1" applyBorder="1" applyAlignment="1">
      <alignment horizontal="right" wrapText="1"/>
      <protection/>
    </xf>
    <xf numFmtId="0" fontId="54" fillId="0" borderId="78" xfId="65" applyFont="1" applyBorder="1" applyAlignment="1">
      <alignment horizontal="right" wrapText="1"/>
      <protection/>
    </xf>
    <xf numFmtId="3" fontId="54" fillId="0" borderId="118" xfId="65" applyNumberFormat="1" applyFont="1" applyBorder="1" applyAlignment="1">
      <alignment horizontal="right" wrapText="1"/>
      <protection/>
    </xf>
    <xf numFmtId="0" fontId="54" fillId="0" borderId="41" xfId="65" applyFont="1" applyBorder="1" applyAlignment="1">
      <alignment horizontal="right" wrapText="1"/>
      <protection/>
    </xf>
    <xf numFmtId="0" fontId="54" fillId="0" borderId="42" xfId="65" applyFont="1" applyBorder="1" applyAlignment="1">
      <alignment horizontal="right" wrapText="1"/>
      <protection/>
    </xf>
    <xf numFmtId="3" fontId="70" fillId="0" borderId="41" xfId="65" applyNumberFormat="1" applyFont="1" applyBorder="1" applyAlignment="1">
      <alignment horizontal="right"/>
      <protection/>
    </xf>
    <xf numFmtId="3" fontId="70" fillId="0" borderId="42" xfId="65" applyNumberFormat="1" applyFont="1" applyBorder="1" applyAlignment="1">
      <alignment horizontal="right"/>
      <protection/>
    </xf>
    <xf numFmtId="0" fontId="32" fillId="0" borderId="0" xfId="56" applyAlignment="1">
      <alignment horizontal="left"/>
      <protection/>
    </xf>
    <xf numFmtId="0" fontId="32" fillId="0" borderId="0" xfId="56" applyFont="1" applyAlignment="1">
      <alignment horizontal="left"/>
      <protection/>
    </xf>
    <xf numFmtId="0" fontId="63" fillId="0" borderId="0" xfId="56" applyFont="1" applyAlignment="1">
      <alignment horizontal="left"/>
      <protection/>
    </xf>
    <xf numFmtId="3" fontId="32" fillId="0" borderId="0" xfId="56" applyNumberFormat="1" applyAlignment="1">
      <alignment horizontal="left"/>
      <protection/>
    </xf>
    <xf numFmtId="3" fontId="63" fillId="0" borderId="0" xfId="56" applyNumberFormat="1" applyFont="1" applyAlignment="1">
      <alignment horizontal="left"/>
      <protection/>
    </xf>
    <xf numFmtId="0" fontId="32" fillId="0" borderId="0" xfId="56" applyAlignment="1">
      <alignment horizontal="right"/>
      <protection/>
    </xf>
    <xf numFmtId="0" fontId="32" fillId="0" borderId="0" xfId="56" applyFont="1" applyAlignment="1">
      <alignment horizontal="right"/>
      <protection/>
    </xf>
    <xf numFmtId="3" fontId="32" fillId="0" borderId="0" xfId="56" applyNumberFormat="1" applyAlignment="1">
      <alignment horizontal="right"/>
      <protection/>
    </xf>
    <xf numFmtId="0" fontId="63" fillId="0" borderId="0" xfId="56" applyFont="1" applyAlignment="1">
      <alignment horizontal="right"/>
      <protection/>
    </xf>
    <xf numFmtId="0" fontId="63" fillId="0" borderId="0" xfId="56" applyFont="1" applyAlignment="1">
      <alignment horizontal="right"/>
      <protection/>
    </xf>
    <xf numFmtId="3" fontId="35" fillId="0" borderId="44" xfId="69" applyNumberFormat="1" applyFont="1" applyFill="1" applyBorder="1" applyAlignment="1">
      <alignment horizontal="right" vertical="center"/>
      <protection/>
    </xf>
    <xf numFmtId="3" fontId="83" fillId="0" borderId="58" xfId="69" applyNumberFormat="1" applyFont="1" applyFill="1" applyBorder="1" applyAlignment="1">
      <alignment horizontal="right" vertical="center"/>
      <protection/>
    </xf>
    <xf numFmtId="3" fontId="83" fillId="0" borderId="35" xfId="69" applyNumberFormat="1" applyFont="1" applyFill="1" applyBorder="1" applyAlignment="1">
      <alignment horizontal="right" vertical="center"/>
      <protection/>
    </xf>
    <xf numFmtId="3" fontId="20" fillId="0" borderId="35" xfId="69" applyNumberFormat="1" applyFont="1" applyFill="1" applyBorder="1" applyAlignment="1">
      <alignment horizontal="center" vertical="center"/>
      <protection/>
    </xf>
    <xf numFmtId="3" fontId="35" fillId="0" borderId="35" xfId="69" applyNumberFormat="1" applyFont="1" applyFill="1" applyBorder="1" applyAlignment="1">
      <alignment horizontal="right" vertical="center"/>
      <protection/>
    </xf>
    <xf numFmtId="3" fontId="27" fillId="0" borderId="35" xfId="69" applyNumberFormat="1" applyFont="1" applyFill="1" applyBorder="1" applyAlignment="1">
      <alignment vertical="center"/>
      <protection/>
    </xf>
    <xf numFmtId="3" fontId="27" fillId="0" borderId="35" xfId="69" applyNumberFormat="1" applyFont="1" applyFill="1" applyBorder="1" applyAlignment="1">
      <alignment horizontal="right" vertical="center"/>
      <protection/>
    </xf>
    <xf numFmtId="49" fontId="28" fillId="0" borderId="70" xfId="0" applyNumberFormat="1" applyFont="1" applyFill="1" applyBorder="1" applyAlignment="1">
      <alignment horizontal="left" wrapText="1" indent="1"/>
    </xf>
    <xf numFmtId="49" fontId="28" fillId="0" borderId="70" xfId="0" applyNumberFormat="1" applyFont="1" applyFill="1" applyBorder="1" applyAlignment="1">
      <alignment horizontal="left" indent="1" shrinkToFit="1"/>
    </xf>
    <xf numFmtId="3" fontId="29" fillId="0" borderId="35" xfId="69" applyNumberFormat="1" applyFont="1" applyFill="1" applyBorder="1" applyAlignment="1">
      <alignment vertical="center" wrapText="1"/>
      <protection/>
    </xf>
    <xf numFmtId="0" fontId="28" fillId="0" borderId="68" xfId="61" applyFont="1" applyBorder="1">
      <alignment/>
      <protection/>
    </xf>
    <xf numFmtId="0" fontId="28" fillId="0" borderId="44" xfId="61" applyFont="1" applyBorder="1">
      <alignment/>
      <protection/>
    </xf>
    <xf numFmtId="0" fontId="28" fillId="0" borderId="0" xfId="61" applyFont="1">
      <alignment/>
      <protection/>
    </xf>
    <xf numFmtId="0" fontId="28" fillId="0" borderId="58" xfId="61" applyFont="1" applyBorder="1" applyAlignment="1">
      <alignment horizontal="center" vertical="center"/>
      <protection/>
    </xf>
    <xf numFmtId="0" fontId="28" fillId="0" borderId="58" xfId="61" applyFont="1" applyBorder="1" applyAlignment="1">
      <alignment vertical="center" wrapText="1"/>
      <protection/>
    </xf>
    <xf numFmtId="0" fontId="28" fillId="0" borderId="58" xfId="61" applyFont="1" applyBorder="1">
      <alignment/>
      <protection/>
    </xf>
    <xf numFmtId="0" fontId="85" fillId="0" borderId="0" xfId="67" applyFont="1">
      <alignment/>
      <protection/>
    </xf>
    <xf numFmtId="0" fontId="53" fillId="0" borderId="0" xfId="67" applyFont="1">
      <alignment/>
      <protection/>
    </xf>
    <xf numFmtId="0" fontId="61" fillId="0" borderId="41" xfId="0" applyFont="1" applyBorder="1" applyAlignment="1">
      <alignment horizontal="center" vertical="center"/>
    </xf>
    <xf numFmtId="0" fontId="48" fillId="0" borderId="0" xfId="67" applyFont="1" applyAlignment="1">
      <alignment horizontal="right"/>
      <protection/>
    </xf>
    <xf numFmtId="0" fontId="48" fillId="0" borderId="131" xfId="67" applyFont="1" applyBorder="1" applyAlignment="1">
      <alignment horizontal="right" wrapText="1"/>
      <protection/>
    </xf>
    <xf numFmtId="0" fontId="48" fillId="0" borderId="175" xfId="67" applyFont="1" applyBorder="1" applyAlignment="1">
      <alignment horizontal="right"/>
      <protection/>
    </xf>
    <xf numFmtId="0" fontId="48" fillId="0" borderId="176" xfId="67" applyFont="1" applyBorder="1" applyAlignment="1">
      <alignment horizontal="right" vertical="center"/>
      <protection/>
    </xf>
    <xf numFmtId="0" fontId="48" fillId="0" borderId="131" xfId="67" applyFont="1" applyBorder="1" applyAlignment="1">
      <alignment horizontal="right"/>
      <protection/>
    </xf>
    <xf numFmtId="0" fontId="61" fillId="0" borderId="176" xfId="0" applyFont="1" applyBorder="1" applyAlignment="1">
      <alignment horizontal="right" vertical="center"/>
    </xf>
    <xf numFmtId="0" fontId="53" fillId="0" borderId="0" xfId="67" applyAlignment="1">
      <alignment horizontal="right"/>
      <protection/>
    </xf>
    <xf numFmtId="0" fontId="61" fillId="0" borderId="41" xfId="0" applyFont="1" applyBorder="1" applyAlignment="1">
      <alignment wrapText="1"/>
    </xf>
    <xf numFmtId="0" fontId="86" fillId="0" borderId="0" xfId="67" applyFont="1">
      <alignment/>
      <protection/>
    </xf>
    <xf numFmtId="0" fontId="32" fillId="0" borderId="131" xfId="66" applyFont="1" applyBorder="1" applyAlignment="1">
      <alignment vertical="center" wrapText="1"/>
      <protection/>
    </xf>
    <xf numFmtId="0" fontId="63" fillId="0" borderId="67" xfId="66" applyFont="1" applyBorder="1" applyAlignment="1">
      <alignment horizontal="center" vertical="center" wrapText="1"/>
      <protection/>
    </xf>
    <xf numFmtId="0" fontId="63" fillId="0" borderId="169" xfId="66" applyFont="1" applyBorder="1" applyAlignment="1">
      <alignment horizontal="center" vertical="center" wrapText="1"/>
      <protection/>
    </xf>
    <xf numFmtId="0" fontId="63" fillId="0" borderId="68" xfId="66" applyFont="1" applyBorder="1" applyAlignment="1">
      <alignment horizontal="center" vertical="center" wrapText="1"/>
      <protection/>
    </xf>
    <xf numFmtId="0" fontId="32" fillId="0" borderId="175" xfId="66" applyFont="1" applyBorder="1">
      <alignment/>
      <protection/>
    </xf>
    <xf numFmtId="0" fontId="32" fillId="0" borderId="111" xfId="66" applyFont="1" applyBorder="1">
      <alignment/>
      <protection/>
    </xf>
    <xf numFmtId="0" fontId="32" fillId="0" borderId="41" xfId="66" applyFont="1" applyBorder="1">
      <alignment/>
      <protection/>
    </xf>
    <xf numFmtId="0" fontId="32" fillId="0" borderId="129" xfId="66" applyFont="1" applyBorder="1">
      <alignment/>
      <protection/>
    </xf>
    <xf numFmtId="3" fontId="32" fillId="0" borderId="41" xfId="66" applyNumberFormat="1" applyFont="1" applyBorder="1">
      <alignment/>
      <protection/>
    </xf>
    <xf numFmtId="0" fontId="32" fillId="0" borderId="171" xfId="66" applyFont="1" applyBorder="1">
      <alignment/>
      <protection/>
    </xf>
    <xf numFmtId="0" fontId="32" fillId="0" borderId="177" xfId="66" applyFont="1" applyBorder="1">
      <alignment/>
      <protection/>
    </xf>
    <xf numFmtId="0" fontId="32" fillId="0" borderId="70" xfId="66" applyFont="1" applyBorder="1">
      <alignment/>
      <protection/>
    </xf>
    <xf numFmtId="0" fontId="32" fillId="0" borderId="145" xfId="66" applyFont="1" applyBorder="1">
      <alignment/>
      <protection/>
    </xf>
    <xf numFmtId="3" fontId="32" fillId="0" borderId="44" xfId="66" applyNumberFormat="1" applyFont="1" applyBorder="1">
      <alignment/>
      <protection/>
    </xf>
    <xf numFmtId="0" fontId="63" fillId="0" borderId="35" xfId="66" applyFont="1" applyBorder="1" applyAlignment="1">
      <alignment vertical="center"/>
      <protection/>
    </xf>
    <xf numFmtId="0" fontId="63" fillId="0" borderId="85" xfId="66" applyFont="1" applyBorder="1" applyAlignment="1">
      <alignment horizontal="center" vertical="center"/>
      <protection/>
    </xf>
    <xf numFmtId="0" fontId="63" fillId="34" borderId="35" xfId="66" applyFont="1" applyFill="1" applyBorder="1" applyAlignment="1">
      <alignment horizontal="center" vertical="center"/>
      <protection/>
    </xf>
    <xf numFmtId="3" fontId="63" fillId="34" borderId="35" xfId="66" applyNumberFormat="1" applyFont="1" applyFill="1" applyBorder="1" applyAlignment="1">
      <alignment vertical="center"/>
      <protection/>
    </xf>
    <xf numFmtId="3" fontId="63" fillId="0" borderId="35" xfId="66" applyNumberFormat="1" applyFont="1" applyBorder="1" applyAlignment="1">
      <alignment vertical="center"/>
      <protection/>
    </xf>
    <xf numFmtId="0" fontId="87" fillId="0" borderId="0" xfId="67" applyFont="1">
      <alignment/>
      <protection/>
    </xf>
    <xf numFmtId="0" fontId="61" fillId="0" borderId="34" xfId="0" applyFont="1" applyBorder="1" applyAlignment="1">
      <alignment vertical="center"/>
    </xf>
    <xf numFmtId="3" fontId="61" fillId="0" borderId="35" xfId="0" applyNumberFormat="1" applyFont="1" applyBorder="1" applyAlignment="1">
      <alignment vertical="center"/>
    </xf>
    <xf numFmtId="3" fontId="61" fillId="0" borderId="59" xfId="0" applyNumberFormat="1" applyFont="1" applyBorder="1" applyAlignment="1">
      <alignment vertical="center"/>
    </xf>
    <xf numFmtId="0" fontId="49" fillId="0" borderId="0" xfId="67" applyFont="1">
      <alignment/>
      <protection/>
    </xf>
    <xf numFmtId="3" fontId="49" fillId="0" borderId="91" xfId="67" applyNumberFormat="1" applyFont="1" applyBorder="1">
      <alignment/>
      <protection/>
    </xf>
    <xf numFmtId="3" fontId="49" fillId="0" borderId="178" xfId="67" applyNumberFormat="1" applyFont="1" applyFill="1" applyBorder="1">
      <alignment/>
      <protection/>
    </xf>
    <xf numFmtId="3" fontId="49" fillId="0" borderId="91" xfId="67" applyNumberFormat="1" applyFont="1" applyFill="1" applyBorder="1">
      <alignment/>
      <protection/>
    </xf>
    <xf numFmtId="3" fontId="49" fillId="0" borderId="64" xfId="67" applyNumberFormat="1" applyFont="1" applyFill="1" applyBorder="1">
      <alignment/>
      <protection/>
    </xf>
    <xf numFmtId="0" fontId="49" fillId="0" borderId="179" xfId="67" applyFont="1" applyBorder="1" applyAlignment="1">
      <alignment horizontal="center" wrapText="1"/>
      <protection/>
    </xf>
    <xf numFmtId="3" fontId="62" fillId="0" borderId="175" xfId="0" applyNumberFormat="1" applyFont="1" applyBorder="1" applyAlignment="1">
      <alignment horizontal="right"/>
    </xf>
    <xf numFmtId="3" fontId="62" fillId="0" borderId="58" xfId="0" applyNumberFormat="1" applyFont="1" applyBorder="1" applyAlignment="1">
      <alignment horizontal="right"/>
    </xf>
    <xf numFmtId="3" fontId="62" fillId="0" borderId="70" xfId="0" applyNumberFormat="1" applyFont="1" applyBorder="1" applyAlignment="1">
      <alignment horizontal="right"/>
    </xf>
    <xf numFmtId="3" fontId="62" fillId="0" borderId="173" xfId="0" applyNumberFormat="1" applyFont="1" applyBorder="1" applyAlignment="1">
      <alignment horizontal="right"/>
    </xf>
    <xf numFmtId="3" fontId="61" fillId="0" borderId="129" xfId="0" applyNumberFormat="1" applyFont="1" applyBorder="1" applyAlignment="1">
      <alignment horizontal="right"/>
    </xf>
    <xf numFmtId="3" fontId="62" fillId="0" borderId="46" xfId="0" applyNumberFormat="1" applyFont="1" applyBorder="1" applyAlignment="1">
      <alignment horizontal="right" vertical="center"/>
    </xf>
    <xf numFmtId="3" fontId="61" fillId="0" borderId="143" xfId="0" applyNumberFormat="1" applyFont="1" applyBorder="1" applyAlignment="1">
      <alignment horizontal="right" vertical="center"/>
    </xf>
    <xf numFmtId="0" fontId="14" fillId="0" borderId="102" xfId="0" applyFont="1" applyFill="1" applyBorder="1" applyAlignment="1">
      <alignment horizontal="right" shrinkToFit="1"/>
    </xf>
    <xf numFmtId="3" fontId="11" fillId="0" borderId="107" xfId="0" applyNumberFormat="1" applyFont="1" applyFill="1" applyBorder="1" applyAlignment="1">
      <alignment horizontal="right" shrinkToFit="1"/>
    </xf>
    <xf numFmtId="3" fontId="12" fillId="0" borderId="122" xfId="0" applyNumberFormat="1" applyFont="1" applyFill="1" applyBorder="1" applyAlignment="1">
      <alignment horizontal="right" shrinkToFit="1"/>
    </xf>
    <xf numFmtId="0" fontId="28" fillId="0" borderId="41" xfId="58" applyFont="1" applyFill="1" applyBorder="1" applyAlignment="1">
      <alignment horizontal="left" vertical="center" wrapText="1" indent="1"/>
      <protection/>
    </xf>
    <xf numFmtId="0" fontId="30" fillId="0" borderId="35" xfId="58" applyFont="1" applyFill="1" applyBorder="1" applyAlignment="1">
      <alignment horizontal="left" vertical="center" wrapText="1"/>
      <protection/>
    </xf>
    <xf numFmtId="0" fontId="28" fillId="0" borderId="41" xfId="58" applyFont="1" applyFill="1" applyBorder="1" applyAlignment="1">
      <alignment horizontal="left" vertical="center" indent="1"/>
      <protection/>
    </xf>
    <xf numFmtId="0" fontId="30" fillId="0" borderId="96" xfId="58" applyFont="1" applyFill="1" applyBorder="1" applyAlignment="1">
      <alignment horizontal="left" vertical="center" wrapText="1" indent="1"/>
      <protection/>
    </xf>
    <xf numFmtId="0" fontId="30" fillId="0" borderId="61" xfId="58" applyFont="1" applyFill="1" applyBorder="1" applyAlignment="1">
      <alignment horizontal="left" vertical="center" wrapText="1" indent="1"/>
      <protection/>
    </xf>
    <xf numFmtId="0" fontId="28" fillId="0" borderId="137" xfId="59" applyFont="1" applyFill="1" applyBorder="1" applyAlignment="1">
      <alignment wrapText="1"/>
      <protection/>
    </xf>
    <xf numFmtId="0" fontId="28" fillId="0" borderId="169" xfId="59" applyFont="1" applyBorder="1" applyAlignment="1">
      <alignment horizontal="right" vertical="center"/>
      <protection/>
    </xf>
    <xf numFmtId="0" fontId="28" fillId="0" borderId="178" xfId="70" applyFont="1" applyBorder="1" applyAlignment="1">
      <alignment horizontal="right" vertical="center"/>
      <protection/>
    </xf>
    <xf numFmtId="0" fontId="28" fillId="0" borderId="67" xfId="59" applyFont="1" applyFill="1" applyBorder="1" applyAlignment="1">
      <alignment vertical="center"/>
      <protection/>
    </xf>
    <xf numFmtId="3" fontId="28" fillId="0" borderId="169" xfId="59" applyNumberFormat="1" applyFont="1" applyFill="1" applyBorder="1" applyAlignment="1">
      <alignment horizontal="right" vertical="center"/>
      <protection/>
    </xf>
    <xf numFmtId="0" fontId="28" fillId="0" borderId="169" xfId="59" applyFont="1" applyFill="1" applyBorder="1" applyAlignment="1">
      <alignment vertical="center" wrapText="1"/>
      <protection/>
    </xf>
    <xf numFmtId="0" fontId="28" fillId="0" borderId="38" xfId="59" applyFont="1" applyFill="1" applyBorder="1" applyAlignment="1" quotePrefix="1">
      <alignment wrapText="1"/>
      <protection/>
    </xf>
    <xf numFmtId="0" fontId="28" fillId="0" borderId="41" xfId="59" applyFont="1" applyFill="1" applyBorder="1" applyAlignment="1" quotePrefix="1">
      <alignment wrapText="1"/>
      <protection/>
    </xf>
    <xf numFmtId="0" fontId="11" fillId="0" borderId="55" xfId="60" applyFont="1" applyBorder="1" applyAlignment="1">
      <alignment horizontal="center" vertical="center"/>
      <protection/>
    </xf>
    <xf numFmtId="0" fontId="11" fillId="0" borderId="31" xfId="60" applyFont="1" applyFill="1" applyBorder="1" applyAlignment="1">
      <alignment horizontal="left" wrapText="1"/>
      <protection/>
    </xf>
    <xf numFmtId="3" fontId="11" fillId="0" borderId="31" xfId="60" applyNumberFormat="1" applyFont="1" applyFill="1" applyBorder="1">
      <alignment/>
      <protection/>
    </xf>
    <xf numFmtId="3" fontId="11" fillId="0" borderId="15" xfId="60" applyNumberFormat="1" applyFont="1" applyFill="1" applyBorder="1">
      <alignment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1" fillId="0" borderId="80" xfId="60" applyFont="1" applyFill="1" applyBorder="1" applyAlignment="1">
      <alignment horizontal="left" wrapText="1"/>
      <protection/>
    </xf>
    <xf numFmtId="0" fontId="11" fillId="0" borderId="180" xfId="60" applyFont="1" applyFill="1" applyBorder="1" applyAlignment="1">
      <alignment horizontal="center" vertical="center"/>
      <protection/>
    </xf>
    <xf numFmtId="3" fontId="11" fillId="0" borderId="181" xfId="60" applyNumberFormat="1" applyFont="1" applyFill="1" applyBorder="1">
      <alignment/>
      <protection/>
    </xf>
    <xf numFmtId="3" fontId="11" fillId="0" borderId="182" xfId="60" applyNumberFormat="1" applyFont="1" applyFill="1" applyBorder="1">
      <alignment/>
      <protection/>
    </xf>
    <xf numFmtId="0" fontId="11" fillId="0" borderId="27" xfId="60" applyFont="1" applyFill="1" applyBorder="1" applyAlignment="1">
      <alignment horizontal="left" wrapText="1"/>
      <protection/>
    </xf>
    <xf numFmtId="0" fontId="11" fillId="0" borderId="26" xfId="60" applyFont="1" applyFill="1" applyBorder="1" applyAlignment="1">
      <alignment horizontal="center" vertical="center"/>
      <protection/>
    </xf>
    <xf numFmtId="0" fontId="12" fillId="0" borderId="58" xfId="60" applyFont="1" applyFill="1" applyBorder="1" applyAlignment="1">
      <alignment horizontal="left" wrapText="1"/>
      <protection/>
    </xf>
    <xf numFmtId="3" fontId="12" fillId="0" borderId="31" xfId="60" applyNumberFormat="1" applyFont="1" applyFill="1" applyBorder="1">
      <alignment/>
      <protection/>
    </xf>
    <xf numFmtId="3" fontId="12" fillId="0" borderId="15" xfId="60" applyNumberFormat="1" applyFont="1" applyFill="1" applyBorder="1">
      <alignment/>
      <protection/>
    </xf>
    <xf numFmtId="0" fontId="11" fillId="0" borderId="40" xfId="60" applyFont="1" applyFill="1" applyBorder="1" applyAlignment="1">
      <alignment horizontal="center" vertical="center"/>
      <protection/>
    </xf>
    <xf numFmtId="0" fontId="11" fillId="0" borderId="41" xfId="60" applyFont="1" applyFill="1" applyBorder="1" applyAlignment="1">
      <alignment horizontal="left" wrapText="1"/>
      <protection/>
    </xf>
    <xf numFmtId="3" fontId="12" fillId="0" borderId="129" xfId="60" applyNumberFormat="1" applyFont="1" applyFill="1" applyBorder="1">
      <alignment/>
      <protection/>
    </xf>
    <xf numFmtId="3" fontId="12" fillId="0" borderId="91" xfId="60" applyNumberFormat="1" applyFont="1" applyFill="1" applyBorder="1">
      <alignment/>
      <protection/>
    </xf>
    <xf numFmtId="0" fontId="11" fillId="0" borderId="163" xfId="60" applyFont="1" applyFill="1" applyBorder="1" applyAlignment="1">
      <alignment horizontal="center" vertical="center"/>
      <protection/>
    </xf>
    <xf numFmtId="0" fontId="11" fillId="0" borderId="70" xfId="60" applyFont="1" applyFill="1" applyBorder="1" applyAlignment="1">
      <alignment horizontal="left" wrapText="1"/>
      <protection/>
    </xf>
    <xf numFmtId="3" fontId="11" fillId="0" borderId="70" xfId="60" applyNumberFormat="1" applyFont="1" applyFill="1" applyBorder="1">
      <alignment/>
      <protection/>
    </xf>
    <xf numFmtId="3" fontId="11" fillId="0" borderId="75" xfId="60" applyNumberFormat="1" applyFont="1" applyFill="1" applyBorder="1">
      <alignment/>
      <protection/>
    </xf>
    <xf numFmtId="0" fontId="52" fillId="0" borderId="0" xfId="0" applyFont="1" applyAlignment="1">
      <alignment/>
    </xf>
    <xf numFmtId="3" fontId="30" fillId="0" borderId="0" xfId="69" applyNumberFormat="1" applyFont="1" applyFill="1" applyAlignment="1">
      <alignment vertical="center"/>
      <protection/>
    </xf>
    <xf numFmtId="3" fontId="16" fillId="0" borderId="0" xfId="69" applyNumberFormat="1" applyFont="1" applyFill="1" applyAlignment="1">
      <alignment vertical="center"/>
      <protection/>
    </xf>
    <xf numFmtId="3" fontId="1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right" vertical="center"/>
    </xf>
    <xf numFmtId="3" fontId="29" fillId="0" borderId="41" xfId="69" applyNumberFormat="1" applyFont="1" applyFill="1" applyBorder="1" applyAlignment="1">
      <alignment horizontal="center" vertical="center"/>
      <protection/>
    </xf>
    <xf numFmtId="3" fontId="28" fillId="0" borderId="42" xfId="70" applyNumberFormat="1" applyFont="1" applyBorder="1" applyAlignment="1">
      <alignment horizontal="right" vertical="center"/>
      <protection/>
    </xf>
    <xf numFmtId="1" fontId="18" fillId="0" borderId="38" xfId="69" applyNumberFormat="1" applyFont="1" applyFill="1" applyBorder="1" applyAlignment="1">
      <alignment horizontal="center" vertical="center"/>
      <protection/>
    </xf>
    <xf numFmtId="3" fontId="35" fillId="0" borderId="38" xfId="69" applyNumberFormat="1" applyFont="1" applyFill="1" applyBorder="1" applyAlignment="1">
      <alignment horizontal="right" vertical="center"/>
      <protection/>
    </xf>
    <xf numFmtId="3" fontId="27" fillId="0" borderId="38" xfId="69" applyNumberFormat="1" applyFont="1" applyFill="1" applyBorder="1" applyAlignment="1">
      <alignment horizontal="left" vertical="center" indent="1" shrinkToFit="1"/>
      <protection/>
    </xf>
    <xf numFmtId="3" fontId="33" fillId="0" borderId="41" xfId="0" applyNumberFormat="1" applyFont="1" applyFill="1" applyBorder="1" applyAlignment="1">
      <alignment vertical="center" wrapText="1"/>
    </xf>
    <xf numFmtId="0" fontId="66" fillId="0" borderId="40" xfId="0" applyFont="1" applyFill="1" applyBorder="1" applyAlignment="1">
      <alignment horizontal="center" vertical="center" shrinkToFit="1"/>
    </xf>
    <xf numFmtId="0" fontId="61" fillId="0" borderId="40" xfId="0" applyFont="1" applyFill="1" applyBorder="1" applyAlignment="1">
      <alignment horizontal="center" vertical="center" shrinkToFit="1"/>
    </xf>
    <xf numFmtId="0" fontId="67" fillId="0" borderId="40" xfId="0" applyFont="1" applyFill="1" applyBorder="1" applyAlignment="1">
      <alignment horizontal="center" vertical="center" shrinkToFit="1"/>
    </xf>
    <xf numFmtId="0" fontId="61" fillId="0" borderId="0" xfId="56" applyFont="1" applyAlignment="1">
      <alignment horizontal="center"/>
      <protection/>
    </xf>
    <xf numFmtId="0" fontId="62" fillId="0" borderId="40" xfId="0" applyFont="1" applyFill="1" applyBorder="1" applyAlignment="1">
      <alignment horizontal="center" vertical="center" wrapText="1" shrinkToFit="1"/>
    </xf>
    <xf numFmtId="0" fontId="62" fillId="0" borderId="40" xfId="0" applyFont="1" applyFill="1" applyBorder="1" applyAlignment="1">
      <alignment horizontal="center" vertical="center" shrinkToFit="1"/>
    </xf>
    <xf numFmtId="0" fontId="62" fillId="0" borderId="37" xfId="0" applyFont="1" applyFill="1" applyBorder="1" applyAlignment="1">
      <alignment horizontal="center" vertical="center" shrinkToFit="1"/>
    </xf>
    <xf numFmtId="0" fontId="62" fillId="0" borderId="111" xfId="0" applyFont="1" applyFill="1" applyBorder="1" applyAlignment="1">
      <alignment horizontal="center" vertical="center" shrinkToFit="1"/>
    </xf>
    <xf numFmtId="0" fontId="62" fillId="0" borderId="111" xfId="0" applyFont="1" applyFill="1" applyBorder="1" applyAlignment="1">
      <alignment horizontal="center" vertical="center" wrapText="1" shrinkToFit="1"/>
    </xf>
    <xf numFmtId="0" fontId="66" fillId="0" borderId="37" xfId="0" applyFont="1" applyFill="1" applyBorder="1" applyAlignment="1">
      <alignment horizontal="center" vertical="center" shrinkToFit="1"/>
    </xf>
    <xf numFmtId="0" fontId="61" fillId="0" borderId="43" xfId="0" applyFont="1" applyFill="1" applyBorder="1" applyAlignment="1">
      <alignment horizontal="center" vertical="center" shrinkToFit="1"/>
    </xf>
    <xf numFmtId="0" fontId="61" fillId="0" borderId="115" xfId="56" applyFont="1" applyBorder="1" applyAlignment="1">
      <alignment horizontal="center"/>
      <protection/>
    </xf>
    <xf numFmtId="0" fontId="61" fillId="0" borderId="104" xfId="56" applyFont="1" applyBorder="1" applyAlignment="1">
      <alignment horizontal="center"/>
      <protection/>
    </xf>
    <xf numFmtId="0" fontId="61" fillId="0" borderId="112" xfId="56" applyFont="1" applyBorder="1" applyAlignment="1">
      <alignment horizontal="center"/>
      <protection/>
    </xf>
    <xf numFmtId="0" fontId="61" fillId="0" borderId="183" xfId="56" applyFont="1" applyBorder="1" applyAlignment="1">
      <alignment horizontal="center"/>
      <protection/>
    </xf>
    <xf numFmtId="0" fontId="61" fillId="0" borderId="37" xfId="56" applyFont="1" applyBorder="1" applyAlignment="1">
      <alignment horizontal="center"/>
      <protection/>
    </xf>
    <xf numFmtId="0" fontId="33" fillId="0" borderId="41" xfId="0" applyFont="1" applyBorder="1" applyAlignment="1">
      <alignment vertical="center" wrapText="1"/>
    </xf>
    <xf numFmtId="3" fontId="27" fillId="0" borderId="119" xfId="0" applyNumberFormat="1" applyFont="1" applyFill="1" applyBorder="1" applyAlignment="1">
      <alignment horizontal="right" vertical="center"/>
    </xf>
    <xf numFmtId="3" fontId="27" fillId="0" borderId="184" xfId="0" applyNumberFormat="1" applyFont="1" applyFill="1" applyBorder="1" applyAlignment="1">
      <alignment horizontal="right" vertical="center"/>
    </xf>
    <xf numFmtId="3" fontId="27" fillId="0" borderId="175" xfId="0" applyNumberFormat="1" applyFont="1" applyFill="1" applyBorder="1" applyAlignment="1">
      <alignment horizontal="right" vertical="center"/>
    </xf>
    <xf numFmtId="3" fontId="27" fillId="0" borderId="58" xfId="0" applyNumberFormat="1" applyFont="1" applyFill="1" applyBorder="1" applyAlignment="1">
      <alignment horizontal="right" vertical="center"/>
    </xf>
    <xf numFmtId="3" fontId="29" fillId="0" borderId="46" xfId="0" applyNumberFormat="1" applyFont="1" applyFill="1" applyBorder="1" applyAlignment="1">
      <alignment horizontal="right" vertical="center"/>
    </xf>
    <xf numFmtId="3" fontId="29" fillId="0" borderId="26" xfId="0" applyNumberFormat="1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vertical="center"/>
    </xf>
    <xf numFmtId="3" fontId="29" fillId="0" borderId="29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right" vertical="center"/>
    </xf>
    <xf numFmtId="3" fontId="29" fillId="0" borderId="71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center"/>
    </xf>
    <xf numFmtId="3" fontId="29" fillId="0" borderId="4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vertical="center"/>
    </xf>
    <xf numFmtId="0" fontId="27" fillId="0" borderId="68" xfId="0" applyFont="1" applyBorder="1" applyAlignment="1">
      <alignment horizontal="right"/>
    </xf>
    <xf numFmtId="0" fontId="27" fillId="0" borderId="185" xfId="0" applyFont="1" applyBorder="1" applyAlignment="1">
      <alignment horizontal="right"/>
    </xf>
    <xf numFmtId="0" fontId="27" fillId="0" borderId="131" xfId="0" applyFont="1" applyBorder="1" applyAlignment="1">
      <alignment horizontal="right"/>
    </xf>
    <xf numFmtId="0" fontId="27" fillId="0" borderId="169" xfId="0" applyFont="1" applyBorder="1" applyAlignment="1">
      <alignment horizontal="right"/>
    </xf>
    <xf numFmtId="0" fontId="27" fillId="0" borderId="74" xfId="0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7" fillId="0" borderId="113" xfId="0" applyNumberFormat="1" applyFont="1" applyBorder="1" applyAlignment="1">
      <alignment horizontal="right"/>
    </xf>
    <xf numFmtId="3" fontId="27" fillId="0" borderId="175" xfId="0" applyNumberFormat="1" applyFont="1" applyBorder="1" applyAlignment="1">
      <alignment horizontal="right"/>
    </xf>
    <xf numFmtId="3" fontId="27" fillId="0" borderId="129" xfId="0" applyNumberFormat="1" applyFont="1" applyBorder="1" applyAlignment="1">
      <alignment horizontal="right"/>
    </xf>
    <xf numFmtId="3" fontId="27" fillId="0" borderId="42" xfId="0" applyNumberFormat="1" applyFont="1" applyBorder="1" applyAlignment="1">
      <alignment horizontal="right"/>
    </xf>
    <xf numFmtId="3" fontId="27" fillId="0" borderId="35" xfId="0" applyNumberFormat="1" applyFont="1" applyBorder="1" applyAlignment="1">
      <alignment horizontal="right"/>
    </xf>
    <xf numFmtId="3" fontId="27" fillId="0" borderId="36" xfId="0" applyNumberFormat="1" applyFont="1" applyBorder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7" fillId="0" borderId="109" xfId="0" applyFont="1" applyBorder="1" applyAlignment="1">
      <alignment/>
    </xf>
    <xf numFmtId="0" fontId="27" fillId="0" borderId="109" xfId="0" applyFont="1" applyBorder="1" applyAlignment="1">
      <alignment horizontal="right"/>
    </xf>
    <xf numFmtId="3" fontId="27" fillId="0" borderId="41" xfId="0" applyNumberFormat="1" applyFont="1" applyBorder="1" applyAlignment="1">
      <alignment/>
    </xf>
    <xf numFmtId="3" fontId="29" fillId="0" borderId="41" xfId="0" applyNumberFormat="1" applyFont="1" applyBorder="1" applyAlignment="1">
      <alignment/>
    </xf>
    <xf numFmtId="0" fontId="28" fillId="0" borderId="0" xfId="61" applyFont="1" applyAlignment="1">
      <alignment horizontal="right"/>
      <protection/>
    </xf>
    <xf numFmtId="0" fontId="4" fillId="0" borderId="0" xfId="0" applyFont="1" applyFill="1" applyAlignment="1">
      <alignment horizontal="right" vertical="center"/>
    </xf>
    <xf numFmtId="3" fontId="28" fillId="0" borderId="68" xfId="0" applyNumberFormat="1" applyFont="1" applyBorder="1" applyAlignment="1">
      <alignment horizontal="right"/>
    </xf>
    <xf numFmtId="3" fontId="28" fillId="0" borderId="41" xfId="0" applyNumberFormat="1" applyFont="1" applyBorder="1" applyAlignment="1">
      <alignment horizontal="right"/>
    </xf>
    <xf numFmtId="3" fontId="28" fillId="0" borderId="44" xfId="0" applyNumberFormat="1" applyFont="1" applyBorder="1" applyAlignment="1">
      <alignment horizontal="right"/>
    </xf>
    <xf numFmtId="3" fontId="28" fillId="0" borderId="70" xfId="0" applyNumberFormat="1" applyFont="1" applyBorder="1" applyAlignment="1">
      <alignment horizontal="right"/>
    </xf>
    <xf numFmtId="3" fontId="28" fillId="0" borderId="38" xfId="0" applyNumberFormat="1" applyFont="1" applyBorder="1" applyAlignment="1">
      <alignment horizontal="right"/>
    </xf>
    <xf numFmtId="3" fontId="28" fillId="0" borderId="58" xfId="0" applyNumberFormat="1" applyFont="1" applyBorder="1" applyAlignment="1">
      <alignment horizontal="right"/>
    </xf>
    <xf numFmtId="3" fontId="28" fillId="0" borderId="59" xfId="0" applyNumberFormat="1" applyFont="1" applyBorder="1" applyAlignment="1">
      <alignment horizontal="right"/>
    </xf>
    <xf numFmtId="3" fontId="28" fillId="0" borderId="41" xfId="61" applyNumberFormat="1" applyFont="1" applyBorder="1" applyAlignment="1">
      <alignment horizontal="right"/>
      <protection/>
    </xf>
    <xf numFmtId="3" fontId="28" fillId="0" borderId="70" xfId="61" applyNumberFormat="1" applyFont="1" applyBorder="1" applyAlignment="1">
      <alignment horizontal="right"/>
      <protection/>
    </xf>
    <xf numFmtId="3" fontId="28" fillId="0" borderId="68" xfId="61" applyNumberFormat="1" applyFont="1" applyBorder="1" applyAlignment="1">
      <alignment horizontal="right"/>
      <protection/>
    </xf>
    <xf numFmtId="3" fontId="28" fillId="0" borderId="44" xfId="61" applyNumberFormat="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8" fillId="0" borderId="70" xfId="0" applyFont="1" applyBorder="1" applyAlignment="1">
      <alignment horizontal="right" vertical="center" wrapText="1"/>
    </xf>
    <xf numFmtId="0" fontId="28" fillId="0" borderId="68" xfId="61" applyFont="1" applyBorder="1" applyAlignment="1">
      <alignment horizontal="right"/>
      <protection/>
    </xf>
    <xf numFmtId="0" fontId="28" fillId="0" borderId="41" xfId="61" applyFont="1" applyBorder="1" applyAlignment="1">
      <alignment horizontal="right"/>
      <protection/>
    </xf>
    <xf numFmtId="3" fontId="28" fillId="0" borderId="0" xfId="61" applyNumberFormat="1" applyFont="1" applyAlignment="1">
      <alignment horizontal="right"/>
      <protection/>
    </xf>
    <xf numFmtId="3" fontId="28" fillId="0" borderId="58" xfId="61" applyNumberFormat="1" applyFont="1" applyBorder="1" applyAlignment="1">
      <alignment horizontal="right"/>
      <protection/>
    </xf>
    <xf numFmtId="0" fontId="28" fillId="0" borderId="70" xfId="61" applyFont="1" applyBorder="1" applyAlignment="1">
      <alignment horizontal="right"/>
      <protection/>
    </xf>
    <xf numFmtId="0" fontId="27" fillId="0" borderId="129" xfId="0" applyFont="1" applyBorder="1" applyAlignment="1">
      <alignment vertical="center"/>
    </xf>
    <xf numFmtId="0" fontId="15" fillId="0" borderId="0" xfId="59" applyFont="1" applyFill="1" applyAlignment="1">
      <alignment horizontal="right"/>
      <protection/>
    </xf>
    <xf numFmtId="0" fontId="15" fillId="0" borderId="109" xfId="59" applyFont="1" applyFill="1" applyBorder="1" applyAlignment="1">
      <alignment horizontal="right"/>
      <protection/>
    </xf>
    <xf numFmtId="3" fontId="26" fillId="0" borderId="35" xfId="62" applyNumberFormat="1" applyFont="1" applyBorder="1" applyAlignment="1">
      <alignment horizontal="right" vertical="center"/>
      <protection/>
    </xf>
    <xf numFmtId="3" fontId="26" fillId="0" borderId="168" xfId="62" applyNumberFormat="1" applyFont="1" applyBorder="1" applyAlignment="1">
      <alignment horizontal="right" vertical="center"/>
      <protection/>
    </xf>
    <xf numFmtId="3" fontId="26" fillId="0" borderId="36" xfId="62" applyNumberFormat="1" applyFont="1" applyBorder="1" applyAlignment="1">
      <alignment horizontal="right" vertical="center"/>
      <protection/>
    </xf>
    <xf numFmtId="3" fontId="26" fillId="0" borderId="46" xfId="62" applyNumberFormat="1" applyFont="1" applyBorder="1" applyAlignment="1">
      <alignment horizontal="right" vertical="center"/>
      <protection/>
    </xf>
    <xf numFmtId="3" fontId="11" fillId="0" borderId="58" xfId="62" applyNumberFormat="1" applyFont="1" applyBorder="1" applyAlignment="1">
      <alignment horizontal="right" vertical="center"/>
      <protection/>
    </xf>
    <xf numFmtId="3" fontId="26" fillId="0" borderId="58" xfId="62" applyNumberFormat="1" applyFont="1" applyBorder="1" applyAlignment="1">
      <alignment horizontal="right" vertical="center"/>
      <protection/>
    </xf>
    <xf numFmtId="3" fontId="26" fillId="0" borderId="86" xfId="62" applyNumberFormat="1" applyFont="1" applyBorder="1" applyAlignment="1">
      <alignment horizontal="right" vertical="center"/>
      <protection/>
    </xf>
    <xf numFmtId="3" fontId="26" fillId="0" borderId="74" xfId="62" applyNumberFormat="1" applyFont="1" applyBorder="1" applyAlignment="1">
      <alignment horizontal="right" vertical="center"/>
      <protection/>
    </xf>
    <xf numFmtId="3" fontId="26" fillId="0" borderId="35" xfId="62" applyNumberFormat="1" applyFont="1" applyBorder="1" applyAlignment="1">
      <alignment horizontal="right" wrapText="1"/>
      <protection/>
    </xf>
    <xf numFmtId="3" fontId="26" fillId="0" borderId="35" xfId="62" applyNumberFormat="1" applyFont="1" applyBorder="1" applyAlignment="1">
      <alignment horizontal="right"/>
      <protection/>
    </xf>
    <xf numFmtId="3" fontId="30" fillId="0" borderId="62" xfId="59" applyNumberFormat="1" applyFont="1" applyBorder="1" applyAlignment="1">
      <alignment horizontal="right" vertical="center"/>
      <protection/>
    </xf>
    <xf numFmtId="3" fontId="54" fillId="0" borderId="174" xfId="65" applyNumberFormat="1" applyFont="1" applyBorder="1" applyAlignment="1" quotePrefix="1">
      <alignment horizontal="right"/>
      <protection/>
    </xf>
    <xf numFmtId="3" fontId="30" fillId="0" borderId="66" xfId="58" applyNumberFormat="1" applyFont="1" applyFill="1" applyBorder="1" applyAlignment="1">
      <alignment horizontal="right" vertical="center"/>
      <protection/>
    </xf>
    <xf numFmtId="0" fontId="12" fillId="0" borderId="34" xfId="60" applyFont="1" applyBorder="1" applyAlignment="1">
      <alignment horizontal="center"/>
      <protection/>
    </xf>
    <xf numFmtId="0" fontId="11" fillId="0" borderId="35" xfId="60" applyFont="1" applyBorder="1">
      <alignment/>
      <protection/>
    </xf>
    <xf numFmtId="0" fontId="11" fillId="0" borderId="36" xfId="60" applyFont="1" applyBorder="1">
      <alignment/>
      <protection/>
    </xf>
    <xf numFmtId="0" fontId="12" fillId="0" borderId="35" xfId="60" applyFont="1" applyBorder="1" applyAlignment="1">
      <alignment horizontal="left" wrapText="1"/>
      <protection/>
    </xf>
    <xf numFmtId="0" fontId="26" fillId="0" borderId="31" xfId="60" applyFont="1" applyBorder="1" applyAlignment="1">
      <alignment horizontal="center" vertical="center"/>
      <protection/>
    </xf>
    <xf numFmtId="0" fontId="70" fillId="0" borderId="177" xfId="65" applyFont="1" applyBorder="1" applyAlignment="1">
      <alignment horizontal="center" vertical="center"/>
      <protection/>
    </xf>
    <xf numFmtId="0" fontId="70" fillId="0" borderId="145" xfId="65" applyFont="1" applyBorder="1" applyAlignment="1">
      <alignment horizontal="center" vertical="center"/>
      <protection/>
    </xf>
    <xf numFmtId="0" fontId="54" fillId="0" borderId="10" xfId="65" applyFont="1" applyBorder="1" applyAlignment="1">
      <alignment vertical="center"/>
      <protection/>
    </xf>
    <xf numFmtId="0" fontId="54" fillId="0" borderId="132" xfId="65" applyFont="1" applyBorder="1" applyAlignment="1">
      <alignment vertical="center"/>
      <protection/>
    </xf>
    <xf numFmtId="2" fontId="79" fillId="0" borderId="0" xfId="65" applyNumberFormat="1" applyFont="1" applyAlignment="1">
      <alignment horizontal="justify" vertical="top" wrapText="1"/>
      <protection/>
    </xf>
    <xf numFmtId="2" fontId="28" fillId="0" borderId="0" xfId="65" applyNumberFormat="1" applyFont="1" applyAlignment="1">
      <alignment horizontal="justify" vertical="top" wrapText="1"/>
      <protection/>
    </xf>
    <xf numFmtId="0" fontId="72" fillId="0" borderId="69" xfId="65" applyFont="1" applyBorder="1" applyAlignment="1">
      <alignment horizontal="center"/>
      <protection/>
    </xf>
    <xf numFmtId="0" fontId="72" fillId="0" borderId="70" xfId="65" applyFont="1" applyBorder="1" applyAlignment="1">
      <alignment/>
      <protection/>
    </xf>
    <xf numFmtId="0" fontId="70" fillId="0" borderId="113" xfId="65" applyFont="1" applyBorder="1" applyAlignment="1">
      <alignment horizontal="center" vertical="center" wrapText="1"/>
      <protection/>
    </xf>
    <xf numFmtId="0" fontId="54" fillId="0" borderId="91" xfId="64" applyFont="1" applyBorder="1" applyAlignment="1">
      <alignment horizontal="center" vertical="center" wrapText="1"/>
      <protection/>
    </xf>
    <xf numFmtId="0" fontId="32" fillId="0" borderId="0" xfId="64" applyAlignment="1">
      <alignment horizontal="justify" vertical="top" wrapText="1"/>
      <protection/>
    </xf>
    <xf numFmtId="2" fontId="28" fillId="0" borderId="0" xfId="64" applyNumberFormat="1" applyFont="1" applyAlignment="1">
      <alignment horizontal="justify" vertical="top" wrapText="1"/>
      <protection/>
    </xf>
    <xf numFmtId="2" fontId="79" fillId="0" borderId="0" xfId="65" applyNumberFormat="1" applyFont="1" applyAlignment="1">
      <alignment horizontal="justify" wrapText="1"/>
      <protection/>
    </xf>
    <xf numFmtId="2" fontId="28" fillId="0" borderId="0" xfId="64" applyNumberFormat="1" applyFont="1" applyAlignment="1">
      <alignment horizontal="justify" wrapText="1"/>
      <protection/>
    </xf>
    <xf numFmtId="0" fontId="61" fillId="0" borderId="113" xfId="56" applyFont="1" applyBorder="1" applyAlignment="1">
      <alignment horizontal="left"/>
      <protection/>
    </xf>
    <xf numFmtId="0" fontId="61" fillId="0" borderId="130" xfId="56" applyFont="1" applyBorder="1" applyAlignment="1">
      <alignment horizontal="left"/>
      <protection/>
    </xf>
    <xf numFmtId="0" fontId="61" fillId="0" borderId="129" xfId="56" applyFont="1" applyBorder="1" applyAlignment="1">
      <alignment horizontal="left"/>
      <protection/>
    </xf>
    <xf numFmtId="0" fontId="61" fillId="0" borderId="170" xfId="56" applyFont="1" applyBorder="1" applyAlignment="1">
      <alignment horizontal="left"/>
      <protection/>
    </xf>
    <xf numFmtId="0" fontId="61" fillId="0" borderId="186" xfId="56" applyFont="1" applyBorder="1" applyAlignment="1">
      <alignment horizontal="left"/>
      <protection/>
    </xf>
    <xf numFmtId="0" fontId="61" fillId="0" borderId="145" xfId="56" applyFont="1" applyBorder="1" applyAlignment="1">
      <alignment horizontal="left"/>
      <protection/>
    </xf>
    <xf numFmtId="0" fontId="61" fillId="0" borderId="114" xfId="56" applyFont="1" applyBorder="1" applyAlignment="1">
      <alignment horizontal="left" vertical="center" wrapText="1"/>
      <protection/>
    </xf>
    <xf numFmtId="0" fontId="61" fillId="0" borderId="11" xfId="56" applyFont="1" applyBorder="1" applyAlignment="1">
      <alignment horizontal="left" vertical="center" wrapText="1"/>
      <protection/>
    </xf>
    <xf numFmtId="0" fontId="61" fillId="0" borderId="132" xfId="56" applyFont="1" applyBorder="1" applyAlignment="1">
      <alignment horizontal="left" vertical="center" wrapText="1"/>
      <protection/>
    </xf>
    <xf numFmtId="0" fontId="61" fillId="0" borderId="41" xfId="68" applyFont="1" applyBorder="1" applyAlignment="1">
      <alignment/>
      <protection/>
    </xf>
    <xf numFmtId="0" fontId="61" fillId="0" borderId="41" xfId="56" applyFont="1" applyBorder="1" applyAlignment="1">
      <alignment/>
      <protection/>
    </xf>
    <xf numFmtId="0" fontId="62" fillId="0" borderId="41" xfId="68" applyFont="1" applyBorder="1" applyAlignment="1">
      <alignment/>
      <protection/>
    </xf>
    <xf numFmtId="0" fontId="62" fillId="0" borderId="41" xfId="56" applyFont="1" applyBorder="1" applyAlignment="1">
      <alignment/>
      <protection/>
    </xf>
    <xf numFmtId="0" fontId="62" fillId="0" borderId="113" xfId="56" applyFont="1" applyBorder="1" applyAlignment="1">
      <alignment horizontal="left"/>
      <protection/>
    </xf>
    <xf numFmtId="0" fontId="62" fillId="0" borderId="130" xfId="56" applyFont="1" applyBorder="1" applyAlignment="1">
      <alignment horizontal="left"/>
      <protection/>
    </xf>
    <xf numFmtId="0" fontId="62" fillId="0" borderId="129" xfId="56" applyFont="1" applyBorder="1" applyAlignment="1">
      <alignment horizontal="left"/>
      <protection/>
    </xf>
    <xf numFmtId="0" fontId="61" fillId="0" borderId="41" xfId="68" applyFont="1" applyBorder="1">
      <alignment/>
      <protection/>
    </xf>
    <xf numFmtId="0" fontId="61" fillId="0" borderId="41" xfId="56" applyFont="1" applyBorder="1" applyAlignment="1">
      <alignment horizontal="center" vertical="center" wrapText="1"/>
      <protection/>
    </xf>
    <xf numFmtId="0" fontId="61" fillId="0" borderId="113" xfId="68" applyFont="1" applyBorder="1" applyAlignment="1">
      <alignment/>
      <protection/>
    </xf>
    <xf numFmtId="0" fontId="61" fillId="0" borderId="130" xfId="68" applyFont="1" applyBorder="1" applyAlignment="1">
      <alignment/>
      <protection/>
    </xf>
    <xf numFmtId="0" fontId="61" fillId="0" borderId="129" xfId="68" applyFont="1" applyBorder="1" applyAlignment="1">
      <alignment/>
      <protection/>
    </xf>
    <xf numFmtId="0" fontId="62" fillId="0" borderId="113" xfId="56" applyFont="1" applyBorder="1" applyAlignment="1">
      <alignment horizontal="center"/>
      <protection/>
    </xf>
    <xf numFmtId="0" fontId="62" fillId="0" borderId="130" xfId="56" applyFont="1" applyBorder="1" applyAlignment="1">
      <alignment horizontal="center"/>
      <protection/>
    </xf>
    <xf numFmtId="0" fontId="61" fillId="0" borderId="44" xfId="56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62" fillId="0" borderId="113" xfId="56" applyFont="1" applyBorder="1" applyAlignment="1">
      <alignment horizontal="left" vertical="center" wrapText="1"/>
      <protection/>
    </xf>
    <xf numFmtId="0" fontId="62" fillId="0" borderId="130" xfId="0" applyFont="1" applyBorder="1" applyAlignment="1">
      <alignment horizontal="left"/>
    </xf>
    <xf numFmtId="0" fontId="62" fillId="0" borderId="129" xfId="0" applyFont="1" applyBorder="1" applyAlignment="1">
      <alignment horizontal="left"/>
    </xf>
    <xf numFmtId="0" fontId="61" fillId="0" borderId="170" xfId="68" applyFont="1" applyBorder="1" applyAlignment="1">
      <alignment/>
      <protection/>
    </xf>
    <xf numFmtId="0" fontId="61" fillId="0" borderId="186" xfId="0" applyFont="1" applyBorder="1" applyAlignment="1">
      <alignment/>
    </xf>
    <xf numFmtId="0" fontId="61" fillId="0" borderId="145" xfId="0" applyFont="1" applyBorder="1" applyAlignment="1">
      <alignment/>
    </xf>
    <xf numFmtId="0" fontId="61" fillId="0" borderId="130" xfId="0" applyFont="1" applyBorder="1" applyAlignment="1">
      <alignment/>
    </xf>
    <xf numFmtId="0" fontId="61" fillId="0" borderId="129" xfId="0" applyFont="1" applyBorder="1" applyAlignment="1">
      <alignment/>
    </xf>
    <xf numFmtId="0" fontId="62" fillId="0" borderId="113" xfId="68" applyFont="1" applyBorder="1" applyAlignment="1">
      <alignment/>
      <protection/>
    </xf>
    <xf numFmtId="0" fontId="62" fillId="0" borderId="130" xfId="0" applyFont="1" applyBorder="1" applyAlignment="1">
      <alignment/>
    </xf>
    <xf numFmtId="0" fontId="62" fillId="0" borderId="129" xfId="0" applyFont="1" applyBorder="1" applyAlignment="1">
      <alignment/>
    </xf>
    <xf numFmtId="0" fontId="62" fillId="0" borderId="113" xfId="56" applyFont="1" applyBorder="1" applyAlignment="1">
      <alignment horizontal="left" wrapText="1"/>
      <protection/>
    </xf>
    <xf numFmtId="0" fontId="62" fillId="0" borderId="130" xfId="56" applyFont="1" applyBorder="1" applyAlignment="1">
      <alignment horizontal="left" wrapText="1"/>
      <protection/>
    </xf>
    <xf numFmtId="0" fontId="62" fillId="0" borderId="129" xfId="56" applyFont="1" applyBorder="1" applyAlignment="1">
      <alignment horizontal="left" wrapText="1"/>
      <protection/>
    </xf>
    <xf numFmtId="0" fontId="61" fillId="0" borderId="170" xfId="56" applyFont="1" applyBorder="1" applyAlignment="1">
      <alignment horizontal="center" vertical="center" wrapText="1"/>
      <protection/>
    </xf>
    <xf numFmtId="0" fontId="61" fillId="0" borderId="186" xfId="56" applyFont="1" applyBorder="1" applyAlignment="1">
      <alignment horizontal="center" vertical="center" wrapText="1"/>
      <protection/>
    </xf>
    <xf numFmtId="0" fontId="61" fillId="0" borderId="114" xfId="56" applyFont="1" applyBorder="1" applyAlignment="1">
      <alignment horizontal="center" vertical="center" wrapText="1"/>
      <protection/>
    </xf>
    <xf numFmtId="0" fontId="61" fillId="0" borderId="11" xfId="56" applyFont="1" applyBorder="1" applyAlignment="1">
      <alignment horizontal="center" vertical="center" wrapText="1"/>
      <protection/>
    </xf>
    <xf numFmtId="0" fontId="61" fillId="0" borderId="113" xfId="56" applyFont="1" applyBorder="1" applyAlignment="1">
      <alignment horizontal="left" vertical="center" wrapText="1"/>
      <protection/>
    </xf>
    <xf numFmtId="0" fontId="0" fillId="0" borderId="130" xfId="0" applyBorder="1" applyAlignment="1">
      <alignment horizontal="left"/>
    </xf>
    <xf numFmtId="0" fontId="0" fillId="0" borderId="129" xfId="0" applyBorder="1" applyAlignment="1">
      <alignment horizontal="left"/>
    </xf>
    <xf numFmtId="0" fontId="61" fillId="0" borderId="58" xfId="56" applyFont="1" applyBorder="1" applyAlignment="1">
      <alignment horizontal="center" vertical="center" wrapText="1"/>
      <protection/>
    </xf>
    <xf numFmtId="0" fontId="61" fillId="0" borderId="38" xfId="0" applyFont="1" applyBorder="1" applyAlignment="1">
      <alignment horizontal="center" vertical="center" wrapText="1"/>
    </xf>
    <xf numFmtId="0" fontId="62" fillId="0" borderId="130" xfId="56" applyFont="1" applyBorder="1" applyAlignment="1">
      <alignment horizontal="left" vertical="center" wrapText="1"/>
      <protection/>
    </xf>
    <xf numFmtId="0" fontId="62" fillId="0" borderId="129" xfId="56" applyFont="1" applyBorder="1" applyAlignment="1">
      <alignment horizontal="left" vertical="center" wrapText="1"/>
      <protection/>
    </xf>
    <xf numFmtId="3" fontId="61" fillId="0" borderId="113" xfId="68" applyNumberFormat="1" applyFont="1" applyBorder="1" applyAlignment="1">
      <alignment horizontal="center" vertical="center" wrapText="1"/>
      <protection/>
    </xf>
    <xf numFmtId="3" fontId="61" fillId="0" borderId="129" xfId="68" applyNumberFormat="1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61" fillId="0" borderId="67" xfId="56" applyFont="1" applyBorder="1" applyAlignment="1">
      <alignment horizontal="center"/>
      <protection/>
    </xf>
    <xf numFmtId="0" fontId="61" fillId="0" borderId="68" xfId="56" applyFont="1" applyBorder="1" applyAlignment="1">
      <alignment horizontal="center"/>
      <protection/>
    </xf>
    <xf numFmtId="3" fontId="34" fillId="0" borderId="96" xfId="0" applyNumberFormat="1" applyFont="1" applyFill="1" applyBorder="1" applyAlignment="1">
      <alignment vertical="center" shrinkToFit="1"/>
    </xf>
    <xf numFmtId="0" fontId="0" fillId="0" borderId="107" xfId="0" applyFont="1" applyBorder="1" applyAlignment="1">
      <alignment vertical="center" shrinkToFit="1"/>
    </xf>
    <xf numFmtId="3" fontId="34" fillId="0" borderId="96" xfId="0" applyNumberFormat="1" applyFont="1" applyFill="1" applyBorder="1" applyAlignment="1">
      <alignment horizontal="right" vertical="center" shrinkToFit="1"/>
    </xf>
    <xf numFmtId="0" fontId="0" fillId="0" borderId="107" xfId="0" applyBorder="1" applyAlignment="1">
      <alignment horizontal="right" vertical="center" shrinkToFit="1"/>
    </xf>
    <xf numFmtId="3" fontId="34" fillId="0" borderId="106" xfId="0" applyNumberFormat="1" applyFont="1" applyFill="1" applyBorder="1" applyAlignment="1">
      <alignment horizontal="right" vertical="center" shrinkToFit="1"/>
    </xf>
    <xf numFmtId="0" fontId="0" fillId="0" borderId="122" xfId="0" applyBorder="1" applyAlignment="1">
      <alignment horizontal="right" vertical="center" shrinkToFit="1"/>
    </xf>
    <xf numFmtId="0" fontId="62" fillId="0" borderId="111" xfId="56" applyFont="1" applyBorder="1" applyAlignment="1">
      <alignment horizontal="center"/>
      <protection/>
    </xf>
    <xf numFmtId="0" fontId="62" fillId="0" borderId="91" xfId="56" applyFont="1" applyBorder="1" applyAlignment="1">
      <alignment horizontal="center"/>
      <protection/>
    </xf>
    <xf numFmtId="0" fontId="62" fillId="0" borderId="40" xfId="0" applyFont="1" applyFill="1" applyBorder="1" applyAlignment="1">
      <alignment horizontal="left" vertical="center" shrinkToFit="1"/>
    </xf>
    <xf numFmtId="0" fontId="61" fillId="0" borderId="41" xfId="0" applyFont="1" applyFill="1" applyBorder="1" applyAlignment="1">
      <alignment horizontal="left" vertical="center" shrinkToFit="1"/>
    </xf>
    <xf numFmtId="0" fontId="66" fillId="0" borderId="111" xfId="0" applyFont="1" applyFill="1" applyBorder="1" applyAlignment="1">
      <alignment vertical="center" shrinkToFit="1"/>
    </xf>
    <xf numFmtId="0" fontId="66" fillId="0" borderId="130" xfId="0" applyFont="1" applyFill="1" applyBorder="1" applyAlignment="1">
      <alignment vertical="center" shrinkToFit="1"/>
    </xf>
    <xf numFmtId="0" fontId="66" fillId="0" borderId="129" xfId="0" applyFont="1" applyFill="1" applyBorder="1" applyAlignment="1">
      <alignment vertical="center" shrinkToFit="1"/>
    </xf>
    <xf numFmtId="0" fontId="66" fillId="0" borderId="187" xfId="0" applyFont="1" applyFill="1" applyBorder="1" applyAlignment="1">
      <alignment vertical="center" shrinkToFit="1"/>
    </xf>
    <xf numFmtId="0" fontId="67" fillId="0" borderId="188" xfId="0" applyFont="1" applyFill="1" applyBorder="1" applyAlignment="1">
      <alignment vertical="center" shrinkToFit="1"/>
    </xf>
    <xf numFmtId="0" fontId="67" fillId="0" borderId="189" xfId="0" applyFont="1" applyFill="1" applyBorder="1" applyAlignment="1">
      <alignment vertical="center" shrinkToFit="1"/>
    </xf>
    <xf numFmtId="49" fontId="41" fillId="0" borderId="81" xfId="0" applyNumberFormat="1" applyFont="1" applyFill="1" applyBorder="1" applyAlignment="1">
      <alignment horizontal="center" vertical="center" wrapText="1" shrinkToFit="1"/>
    </xf>
    <xf numFmtId="0" fontId="33" fillId="0" borderId="82" xfId="0" applyFont="1" applyBorder="1" applyAlignment="1">
      <alignment vertical="center" shrinkToFit="1"/>
    </xf>
    <xf numFmtId="0" fontId="33" fillId="0" borderId="101" xfId="0" applyFont="1" applyBorder="1" applyAlignment="1">
      <alignment vertical="center" shrinkToFit="1"/>
    </xf>
    <xf numFmtId="0" fontId="33" fillId="0" borderId="102" xfId="0" applyFont="1" applyBorder="1" applyAlignment="1">
      <alignment vertical="center" shrinkToFit="1"/>
    </xf>
    <xf numFmtId="0" fontId="33" fillId="0" borderId="108" xfId="0" applyFont="1" applyBorder="1" applyAlignment="1">
      <alignment vertical="center" shrinkToFit="1"/>
    </xf>
    <xf numFmtId="0" fontId="33" fillId="0" borderId="103" xfId="0" applyFont="1" applyBorder="1" applyAlignment="1">
      <alignment vertical="center" shrinkToFit="1"/>
    </xf>
    <xf numFmtId="0" fontId="66" fillId="0" borderId="43" xfId="0" applyFont="1" applyFill="1" applyBorder="1" applyAlignment="1">
      <alignment horizontal="center" vertical="center" wrapText="1" shrinkToFit="1"/>
    </xf>
    <xf numFmtId="0" fontId="66" fillId="0" borderId="55" xfId="0" applyFont="1" applyFill="1" applyBorder="1" applyAlignment="1">
      <alignment horizontal="center" vertical="center" wrapText="1" shrinkToFit="1"/>
    </xf>
    <xf numFmtId="0" fontId="66" fillId="0" borderId="37" xfId="0" applyFont="1" applyFill="1" applyBorder="1" applyAlignment="1">
      <alignment horizontal="center" vertical="center" wrapText="1" shrinkToFit="1"/>
    </xf>
    <xf numFmtId="0" fontId="62" fillId="0" borderId="37" xfId="56" applyFont="1" applyBorder="1" applyAlignment="1">
      <alignment horizontal="center"/>
      <protection/>
    </xf>
    <xf numFmtId="0" fontId="62" fillId="0" borderId="38" xfId="0" applyFont="1" applyBorder="1" applyAlignment="1">
      <alignment horizontal="center"/>
    </xf>
    <xf numFmtId="0" fontId="62" fillId="0" borderId="39" xfId="0" applyFont="1" applyBorder="1" applyAlignment="1">
      <alignment horizontal="center"/>
    </xf>
    <xf numFmtId="0" fontId="34" fillId="0" borderId="30" xfId="56" applyFont="1" applyBorder="1" applyAlignment="1">
      <alignment horizontal="center"/>
      <protection/>
    </xf>
    <xf numFmtId="0" fontId="34" fillId="0" borderId="53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66" fillId="0" borderId="111" xfId="0" applyFont="1" applyFill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29" xfId="0" applyBorder="1" applyAlignment="1">
      <alignment horizontal="center"/>
    </xf>
    <xf numFmtId="0" fontId="66" fillId="0" borderId="111" xfId="0" applyFont="1" applyFill="1" applyBorder="1" applyAlignment="1">
      <alignment vertical="center"/>
    </xf>
    <xf numFmtId="0" fontId="0" fillId="0" borderId="129" xfId="0" applyBorder="1" applyAlignment="1">
      <alignment vertical="center"/>
    </xf>
    <xf numFmtId="0" fontId="62" fillId="0" borderId="190" xfId="56" applyFont="1" applyBorder="1" applyAlignment="1">
      <alignment horizontal="center"/>
      <protection/>
    </xf>
    <xf numFmtId="0" fontId="31" fillId="0" borderId="98" xfId="0" applyFont="1" applyBorder="1" applyAlignment="1">
      <alignment horizontal="center"/>
    </xf>
    <xf numFmtId="0" fontId="62" fillId="0" borderId="43" xfId="0" applyFont="1" applyFill="1" applyBorder="1" applyAlignment="1">
      <alignment horizontal="center" vertical="center" wrapText="1"/>
    </xf>
    <xf numFmtId="0" fontId="62" fillId="0" borderId="5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 shrinkToFit="1"/>
    </xf>
    <xf numFmtId="0" fontId="62" fillId="0" borderId="55" xfId="0" applyFont="1" applyFill="1" applyBorder="1" applyAlignment="1">
      <alignment horizontal="center" vertical="center" wrapText="1" shrinkToFit="1"/>
    </xf>
    <xf numFmtId="0" fontId="62" fillId="0" borderId="37" xfId="0" applyFont="1" applyFill="1" applyBorder="1" applyAlignment="1">
      <alignment horizontal="center" vertical="center" wrapText="1" shrinkToFit="1"/>
    </xf>
    <xf numFmtId="0" fontId="11" fillId="0" borderId="40" xfId="62" applyFont="1" applyBorder="1" applyAlignment="1">
      <alignment horizontal="left"/>
      <protection/>
    </xf>
    <xf numFmtId="0" fontId="11" fillId="0" borderId="41" xfId="62" applyFont="1" applyBorder="1" applyAlignment="1">
      <alignment horizontal="left"/>
      <protection/>
    </xf>
    <xf numFmtId="0" fontId="12" fillId="0" borderId="131" xfId="62" applyFont="1" applyBorder="1" applyAlignment="1">
      <alignment horizontal="center" vertical="center" wrapText="1"/>
      <protection/>
    </xf>
    <xf numFmtId="0" fontId="12" fillId="0" borderId="175" xfId="62" applyFont="1" applyBorder="1" applyAlignment="1">
      <alignment horizontal="center" vertical="center" wrapText="1"/>
      <protection/>
    </xf>
    <xf numFmtId="0" fontId="12" fillId="0" borderId="67" xfId="62" applyFont="1" applyBorder="1" applyAlignment="1">
      <alignment horizontal="center" vertical="center" wrapText="1"/>
      <protection/>
    </xf>
    <xf numFmtId="0" fontId="12" fillId="0" borderId="40" xfId="62" applyFont="1" applyBorder="1" applyAlignment="1">
      <alignment horizontal="center" vertical="center" wrapText="1"/>
      <protection/>
    </xf>
    <xf numFmtId="0" fontId="12" fillId="0" borderId="43" xfId="62" applyFont="1" applyBorder="1" applyAlignment="1">
      <alignment horizontal="center" vertical="center" wrapText="1"/>
      <protection/>
    </xf>
    <xf numFmtId="0" fontId="12" fillId="0" borderId="68" xfId="62" applyFont="1" applyBorder="1" applyAlignment="1">
      <alignment horizontal="center" vertical="center" wrapText="1"/>
      <protection/>
    </xf>
    <xf numFmtId="0" fontId="12" fillId="0" borderId="41" xfId="62" applyFont="1" applyBorder="1" applyAlignment="1">
      <alignment horizontal="center" vertical="center" wrapText="1"/>
      <protection/>
    </xf>
    <xf numFmtId="0" fontId="12" fillId="0" borderId="44" xfId="62" applyFont="1" applyBorder="1" applyAlignment="1">
      <alignment horizontal="center" vertical="center" wrapText="1"/>
      <protection/>
    </xf>
    <xf numFmtId="0" fontId="11" fillId="0" borderId="163" xfId="62" applyFont="1" applyBorder="1" applyAlignment="1">
      <alignment horizontal="left" wrapText="1"/>
      <protection/>
    </xf>
    <xf numFmtId="0" fontId="11" fillId="0" borderId="191" xfId="62" applyFont="1" applyBorder="1" applyAlignment="1">
      <alignment horizontal="left" wrapText="1"/>
      <protection/>
    </xf>
    <xf numFmtId="0" fontId="11" fillId="0" borderId="192" xfId="62" applyFont="1" applyBorder="1" applyAlignment="1">
      <alignment horizontal="left" wrapText="1"/>
      <protection/>
    </xf>
    <xf numFmtId="0" fontId="12" fillId="0" borderId="119" xfId="62" applyFont="1" applyBorder="1" applyAlignment="1">
      <alignment horizontal="center" vertical="center" wrapText="1"/>
      <protection/>
    </xf>
    <xf numFmtId="0" fontId="12" fillId="0" borderId="109" xfId="62" applyFont="1" applyBorder="1" applyAlignment="1">
      <alignment horizontal="center" vertical="center" wrapText="1"/>
      <protection/>
    </xf>
    <xf numFmtId="0" fontId="32" fillId="0" borderId="56" xfId="62" applyBorder="1" applyAlignment="1">
      <alignment horizontal="center" vertical="center" wrapText="1"/>
      <protection/>
    </xf>
    <xf numFmtId="0" fontId="12" fillId="0" borderId="86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32" fillId="0" borderId="15" xfId="62" applyBorder="1" applyAlignment="1">
      <alignment horizontal="center" vertical="center" wrapText="1"/>
      <protection/>
    </xf>
    <xf numFmtId="0" fontId="12" fillId="0" borderId="114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32" fillId="0" borderId="13" xfId="62" applyBorder="1" applyAlignment="1">
      <alignment horizontal="center" vertical="center" wrapText="1"/>
      <protection/>
    </xf>
    <xf numFmtId="0" fontId="11" fillId="0" borderId="111" xfId="62" applyFont="1" applyBorder="1" applyAlignment="1">
      <alignment horizontal="left" wrapText="1"/>
      <protection/>
    </xf>
    <xf numFmtId="0" fontId="11" fillId="0" borderId="130" xfId="62" applyFont="1" applyBorder="1" applyAlignment="1">
      <alignment horizontal="left" wrapText="1"/>
      <protection/>
    </xf>
    <xf numFmtId="0" fontId="11" fillId="0" borderId="129" xfId="62" applyFont="1" applyBorder="1" applyAlignment="1">
      <alignment horizontal="left" wrapText="1"/>
      <protection/>
    </xf>
    <xf numFmtId="0" fontId="11" fillId="0" borderId="162" xfId="62" applyFont="1" applyBorder="1" applyAlignment="1">
      <alignment horizontal="center" vertical="center"/>
      <protection/>
    </xf>
    <xf numFmtId="0" fontId="11" fillId="0" borderId="85" xfId="62" applyFont="1" applyBorder="1" applyAlignment="1">
      <alignment horizontal="center" vertical="center"/>
      <protection/>
    </xf>
    <xf numFmtId="0" fontId="11" fillId="0" borderId="143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left"/>
      <protection/>
    </xf>
    <xf numFmtId="0" fontId="12" fillId="0" borderId="35" xfId="62" applyFont="1" applyBorder="1" applyAlignment="1">
      <alignment horizontal="left"/>
      <protection/>
    </xf>
    <xf numFmtId="0" fontId="11" fillId="0" borderId="67" xfId="62" applyFont="1" applyBorder="1" applyAlignment="1">
      <alignment horizontal="left"/>
      <protection/>
    </xf>
    <xf numFmtId="0" fontId="11" fillId="0" borderId="68" xfId="62" applyFont="1" applyBorder="1" applyAlignment="1">
      <alignment horizontal="left"/>
      <protection/>
    </xf>
    <xf numFmtId="0" fontId="5" fillId="0" borderId="162" xfId="0" applyFont="1" applyFill="1" applyBorder="1" applyAlignment="1">
      <alignment horizontal="center" shrinkToFit="1"/>
    </xf>
    <xf numFmtId="0" fontId="5" fillId="0" borderId="85" xfId="0" applyFont="1" applyFill="1" applyBorder="1" applyAlignment="1">
      <alignment horizontal="center" shrinkToFit="1"/>
    </xf>
    <xf numFmtId="0" fontId="5" fillId="0" borderId="47" xfId="0" applyFont="1" applyFill="1" applyBorder="1" applyAlignment="1">
      <alignment horizontal="center" shrinkToFit="1"/>
    </xf>
    <xf numFmtId="0" fontId="10" fillId="0" borderId="30" xfId="0" applyFont="1" applyFill="1" applyBorder="1" applyAlignment="1">
      <alignment horizontal="left" vertical="center"/>
    </xf>
    <xf numFmtId="0" fontId="10" fillId="0" borderId="193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53" xfId="0" applyFont="1" applyFill="1" applyBorder="1" applyAlignment="1">
      <alignment horizontal="left" vertical="center" shrinkToFit="1"/>
    </xf>
    <xf numFmtId="0" fontId="28" fillId="0" borderId="113" xfId="0" applyFont="1" applyFill="1" applyBorder="1" applyAlignment="1">
      <alignment horizontal="left" wrapText="1" shrinkToFit="1"/>
    </xf>
    <xf numFmtId="0" fontId="28" fillId="0" borderId="129" xfId="0" applyFont="1" applyFill="1" applyBorder="1" applyAlignment="1">
      <alignment horizontal="left" wrapText="1" shrinkToFit="1"/>
    </xf>
    <xf numFmtId="0" fontId="30" fillId="33" borderId="162" xfId="0" applyFont="1" applyFill="1" applyBorder="1" applyAlignment="1">
      <alignment horizontal="center" vertical="center" shrinkToFit="1"/>
    </xf>
    <xf numFmtId="0" fontId="30" fillId="33" borderId="85" xfId="0" applyFont="1" applyFill="1" applyBorder="1" applyAlignment="1">
      <alignment horizontal="center" vertical="center" shrinkToFit="1"/>
    </xf>
    <xf numFmtId="0" fontId="30" fillId="33" borderId="47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31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109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56" xfId="0" applyFont="1" applyFill="1" applyBorder="1" applyAlignment="1">
      <alignment horizontal="center" vertical="center" shrinkToFit="1"/>
    </xf>
    <xf numFmtId="2" fontId="30" fillId="0" borderId="30" xfId="0" applyNumberFormat="1" applyFont="1" applyFill="1" applyBorder="1" applyAlignment="1">
      <alignment horizontal="center" vertical="center" shrinkToFit="1"/>
    </xf>
    <xf numFmtId="2" fontId="30" fillId="0" borderId="32" xfId="0" applyNumberFormat="1" applyFont="1" applyFill="1" applyBorder="1" applyAlignment="1">
      <alignment horizontal="center" vertical="center" shrinkToFit="1"/>
    </xf>
    <xf numFmtId="0" fontId="13" fillId="33" borderId="162" xfId="0" applyFont="1" applyFill="1" applyBorder="1" applyAlignment="1">
      <alignment horizontal="center" vertical="center" shrinkToFit="1"/>
    </xf>
    <xf numFmtId="0" fontId="13" fillId="33" borderId="85" xfId="0" applyFont="1" applyFill="1" applyBorder="1" applyAlignment="1">
      <alignment horizontal="center" vertical="center" shrinkToFit="1"/>
    </xf>
    <xf numFmtId="0" fontId="13" fillId="33" borderId="47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2" fontId="30" fillId="0" borderId="30" xfId="0" applyNumberFormat="1" applyFont="1" applyFill="1" applyBorder="1" applyAlignment="1">
      <alignment horizontal="center" shrinkToFit="1"/>
    </xf>
    <xf numFmtId="2" fontId="30" fillId="0" borderId="32" xfId="0" applyNumberFormat="1" applyFont="1" applyFill="1" applyBorder="1" applyAlignment="1">
      <alignment horizontal="center" shrinkToFit="1"/>
    </xf>
    <xf numFmtId="0" fontId="13" fillId="0" borderId="30" xfId="0" applyFont="1" applyFill="1" applyBorder="1" applyAlignment="1">
      <alignment horizontal="center" shrinkToFit="1"/>
    </xf>
    <xf numFmtId="0" fontId="13" fillId="0" borderId="32" xfId="0" applyFont="1" applyFill="1" applyBorder="1" applyAlignment="1">
      <alignment horizontal="center" shrinkToFit="1"/>
    </xf>
    <xf numFmtId="3" fontId="16" fillId="0" borderId="190" xfId="0" applyNumberFormat="1" applyFont="1" applyFill="1" applyBorder="1" applyAlignment="1">
      <alignment horizontal="center" vertical="center"/>
    </xf>
    <xf numFmtId="3" fontId="16" fillId="0" borderId="194" xfId="0" applyNumberFormat="1" applyFont="1" applyFill="1" applyBorder="1" applyAlignment="1">
      <alignment horizontal="center" vertical="center"/>
    </xf>
    <xf numFmtId="3" fontId="16" fillId="0" borderId="98" xfId="0" applyNumberFormat="1" applyFont="1" applyFill="1" applyBorder="1" applyAlignment="1">
      <alignment horizontal="center" vertical="center"/>
    </xf>
    <xf numFmtId="3" fontId="16" fillId="0" borderId="162" xfId="0" applyNumberFormat="1" applyFont="1" applyFill="1" applyBorder="1" applyAlignment="1">
      <alignment horizontal="center" vertical="center"/>
    </xf>
    <xf numFmtId="3" fontId="16" fillId="0" borderId="85" xfId="0" applyNumberFormat="1" applyFont="1" applyFill="1" applyBorder="1" applyAlignment="1">
      <alignment horizontal="center" vertical="center"/>
    </xf>
    <xf numFmtId="3" fontId="16" fillId="0" borderId="143" xfId="0" applyNumberFormat="1" applyFont="1" applyFill="1" applyBorder="1" applyAlignment="1">
      <alignment horizontal="center" vertical="center"/>
    </xf>
    <xf numFmtId="3" fontId="16" fillId="33" borderId="162" xfId="0" applyNumberFormat="1" applyFont="1" applyFill="1" applyBorder="1" applyAlignment="1">
      <alignment horizontal="center" vertical="center"/>
    </xf>
    <xf numFmtId="3" fontId="16" fillId="33" borderId="85" xfId="0" applyNumberFormat="1" applyFont="1" applyFill="1" applyBorder="1" applyAlignment="1">
      <alignment horizontal="center" vertical="center"/>
    </xf>
    <xf numFmtId="3" fontId="16" fillId="33" borderId="47" xfId="0" applyNumberFormat="1" applyFont="1" applyFill="1" applyBorder="1" applyAlignment="1">
      <alignment horizontal="center" vertical="center"/>
    </xf>
    <xf numFmtId="3" fontId="16" fillId="0" borderId="195" xfId="0" applyNumberFormat="1" applyFont="1" applyFill="1" applyBorder="1" applyAlignment="1">
      <alignment horizontal="center" vertical="center" wrapText="1"/>
    </xf>
    <xf numFmtId="3" fontId="16" fillId="0" borderId="196" xfId="0" applyNumberFormat="1" applyFont="1" applyFill="1" applyBorder="1" applyAlignment="1">
      <alignment horizontal="center" vertical="center" wrapText="1"/>
    </xf>
    <xf numFmtId="3" fontId="16" fillId="0" borderId="197" xfId="0" applyNumberFormat="1" applyFont="1" applyFill="1" applyBorder="1" applyAlignment="1">
      <alignment horizontal="center" vertical="center" wrapText="1"/>
    </xf>
    <xf numFmtId="3" fontId="16" fillId="0" borderId="71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3" fontId="28" fillId="0" borderId="113" xfId="0" applyNumberFormat="1" applyFont="1" applyFill="1" applyBorder="1" applyAlignment="1">
      <alignment vertical="center" wrapText="1"/>
    </xf>
    <xf numFmtId="49" fontId="30" fillId="0" borderId="30" xfId="0" applyNumberFormat="1" applyFont="1" applyFill="1" applyBorder="1" applyAlignment="1">
      <alignment horizontal="center" wrapText="1"/>
    </xf>
    <xf numFmtId="49" fontId="30" fillId="0" borderId="53" xfId="0" applyNumberFormat="1" applyFont="1" applyFill="1" applyBorder="1" applyAlignment="1">
      <alignment horizontal="center" wrapText="1"/>
    </xf>
    <xf numFmtId="49" fontId="30" fillId="0" borderId="32" xfId="0" applyNumberFormat="1" applyFont="1" applyFill="1" applyBorder="1" applyAlignment="1">
      <alignment horizont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21" fillId="0" borderId="116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30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15" fillId="0" borderId="113" xfId="0" applyFont="1" applyBorder="1" applyAlignment="1">
      <alignment vertical="center" wrapText="1"/>
    </xf>
    <xf numFmtId="0" fontId="0" fillId="0" borderId="129" xfId="0" applyFont="1" applyBorder="1" applyAlignment="1">
      <alignment vertical="center" wrapText="1"/>
    </xf>
    <xf numFmtId="0" fontId="0" fillId="0" borderId="130" xfId="0" applyFont="1" applyBorder="1" applyAlignment="1">
      <alignment vertical="center" wrapText="1"/>
    </xf>
    <xf numFmtId="0" fontId="15" fillId="0" borderId="113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3" fontId="20" fillId="0" borderId="26" xfId="69" applyNumberFormat="1" applyFont="1" applyFill="1" applyBorder="1" applyAlignment="1">
      <alignment horizontal="center" vertical="center"/>
      <protection/>
    </xf>
    <xf numFmtId="3" fontId="20" fillId="0" borderId="73" xfId="69" applyNumberFormat="1" applyFont="1" applyFill="1" applyBorder="1" applyAlignment="1">
      <alignment horizontal="center" vertical="center"/>
      <protection/>
    </xf>
    <xf numFmtId="3" fontId="20" fillId="0" borderId="29" xfId="69" applyNumberFormat="1" applyFont="1" applyFill="1" applyBorder="1" applyAlignment="1">
      <alignment horizontal="center" vertical="center"/>
      <protection/>
    </xf>
    <xf numFmtId="3" fontId="20" fillId="0" borderId="31" xfId="69" applyNumberFormat="1" applyFont="1" applyFill="1" applyBorder="1" applyAlignment="1">
      <alignment horizontal="center" vertical="center"/>
      <protection/>
    </xf>
    <xf numFmtId="3" fontId="20" fillId="0" borderId="28" xfId="69" applyNumberFormat="1" applyFont="1" applyFill="1" applyBorder="1" applyAlignment="1">
      <alignment horizontal="center" vertical="center"/>
      <protection/>
    </xf>
    <xf numFmtId="3" fontId="20" fillId="0" borderId="79" xfId="69" applyNumberFormat="1" applyFont="1" applyFill="1" applyBorder="1" applyAlignment="1">
      <alignment horizontal="center" vertical="center"/>
      <protection/>
    </xf>
    <xf numFmtId="3" fontId="20" fillId="0" borderId="179" xfId="69" applyNumberFormat="1" applyFont="1" applyFill="1" applyBorder="1" applyAlignment="1">
      <alignment horizontal="left" vertical="center"/>
      <protection/>
    </xf>
    <xf numFmtId="0" fontId="0" fillId="0" borderId="198" xfId="0" applyBorder="1" applyAlignment="1">
      <alignment horizontal="left"/>
    </xf>
    <xf numFmtId="0" fontId="0" fillId="0" borderId="178" xfId="0" applyBorder="1" applyAlignment="1">
      <alignment horizontal="left"/>
    </xf>
    <xf numFmtId="3" fontId="29" fillId="0" borderId="58" xfId="69" applyNumberFormat="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3" fontId="20" fillId="0" borderId="185" xfId="69" applyNumberFormat="1" applyFont="1" applyFill="1" applyBorder="1" applyAlignment="1">
      <alignment horizontal="center" vertical="center" wrapText="1"/>
      <protection/>
    </xf>
    <xf numFmtId="3" fontId="20" fillId="0" borderId="169" xfId="69" applyNumberFormat="1" applyFont="1" applyFill="1" applyBorder="1" applyAlignment="1">
      <alignment horizontal="center" vertical="center" wrapText="1"/>
      <protection/>
    </xf>
    <xf numFmtId="3" fontId="16" fillId="0" borderId="179" xfId="69" applyNumberFormat="1" applyFont="1" applyFill="1" applyBorder="1" applyAlignment="1">
      <alignment horizontal="center" vertical="center" wrapText="1"/>
      <protection/>
    </xf>
    <xf numFmtId="3" fontId="16" fillId="0" borderId="198" xfId="69" applyNumberFormat="1" applyFont="1" applyFill="1" applyBorder="1" applyAlignment="1">
      <alignment horizontal="center" vertical="center" wrapText="1"/>
      <protection/>
    </xf>
    <xf numFmtId="3" fontId="16" fillId="0" borderId="169" xfId="69" applyNumberFormat="1" applyFont="1" applyFill="1" applyBorder="1" applyAlignment="1">
      <alignment horizontal="center" vertical="center" wrapText="1"/>
      <protection/>
    </xf>
    <xf numFmtId="0" fontId="29" fillId="0" borderId="58" xfId="69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/>
    </xf>
    <xf numFmtId="3" fontId="16" fillId="0" borderId="67" xfId="69" applyNumberFormat="1" applyFont="1" applyFill="1" applyBorder="1" applyAlignment="1">
      <alignment horizontal="center" vertical="center"/>
      <protection/>
    </xf>
    <xf numFmtId="3" fontId="16" fillId="0" borderId="68" xfId="69" applyNumberFormat="1" applyFont="1" applyFill="1" applyBorder="1" applyAlignment="1">
      <alignment horizontal="center" vertical="center"/>
      <protection/>
    </xf>
    <xf numFmtId="3" fontId="16" fillId="0" borderId="34" xfId="69" applyNumberFormat="1" applyFont="1" applyFill="1" applyBorder="1" applyAlignment="1">
      <alignment horizontal="left" vertical="center"/>
      <protection/>
    </xf>
    <xf numFmtId="3" fontId="16" fillId="0" borderId="35" xfId="69" applyNumberFormat="1" applyFont="1" applyFill="1" applyBorder="1" applyAlignment="1">
      <alignment horizontal="left" vertical="center"/>
      <protection/>
    </xf>
    <xf numFmtId="0" fontId="41" fillId="0" borderId="195" xfId="0" applyFont="1" applyFill="1" applyBorder="1" applyAlignment="1">
      <alignment vertical="center" shrinkToFit="1"/>
    </xf>
    <xf numFmtId="0" fontId="31" fillId="0" borderId="196" xfId="0" applyFont="1" applyBorder="1" applyAlignment="1">
      <alignment vertical="center" shrinkToFit="1"/>
    </xf>
    <xf numFmtId="0" fontId="31" fillId="0" borderId="197" xfId="0" applyFont="1" applyBorder="1" applyAlignment="1">
      <alignment vertical="center" shrinkToFit="1"/>
    </xf>
    <xf numFmtId="3" fontId="34" fillId="0" borderId="77" xfId="0" applyNumberFormat="1" applyFont="1" applyFill="1" applyBorder="1" applyAlignment="1">
      <alignment horizontal="right" vertical="center" shrinkToFit="1"/>
    </xf>
    <xf numFmtId="3" fontId="34" fillId="0" borderId="59" xfId="0" applyNumberFormat="1" applyFont="1" applyFill="1" applyBorder="1" applyAlignment="1">
      <alignment horizontal="right" vertical="center" shrinkToFit="1"/>
    </xf>
    <xf numFmtId="0" fontId="41" fillId="0" borderId="162" xfId="0" applyFont="1" applyFill="1" applyBorder="1" applyAlignment="1">
      <alignment horizontal="center" vertical="center" shrinkToFit="1"/>
    </xf>
    <xf numFmtId="0" fontId="41" fillId="0" borderId="85" xfId="0" applyFont="1" applyFill="1" applyBorder="1" applyAlignment="1">
      <alignment horizontal="center" vertical="center" shrinkToFit="1"/>
    </xf>
    <xf numFmtId="0" fontId="41" fillId="0" borderId="143" xfId="0" applyFont="1" applyFill="1" applyBorder="1" applyAlignment="1">
      <alignment horizontal="center" vertical="center" shrinkToFit="1"/>
    </xf>
    <xf numFmtId="0" fontId="34" fillId="0" borderId="30" xfId="0" applyFont="1" applyFill="1" applyBorder="1" applyAlignment="1">
      <alignment horizontal="left" vertical="center" shrinkToFit="1"/>
    </xf>
    <xf numFmtId="0" fontId="33" fillId="0" borderId="53" xfId="0" applyFont="1" applyFill="1" applyBorder="1" applyAlignment="1">
      <alignment horizontal="left" vertical="center" shrinkToFit="1"/>
    </xf>
    <xf numFmtId="0" fontId="33" fillId="0" borderId="32" xfId="0" applyFont="1" applyFill="1" applyBorder="1" applyAlignment="1">
      <alignment horizontal="left" vertical="center" shrinkToFit="1"/>
    </xf>
    <xf numFmtId="0" fontId="41" fillId="0" borderId="30" xfId="0" applyFont="1" applyFill="1" applyBorder="1" applyAlignment="1">
      <alignment vertical="center" shrinkToFit="1"/>
    </xf>
    <xf numFmtId="0" fontId="42" fillId="0" borderId="53" xfId="0" applyFont="1" applyFill="1" applyBorder="1" applyAlignment="1">
      <alignment vertical="center" shrinkToFit="1"/>
    </xf>
    <xf numFmtId="0" fontId="42" fillId="0" borderId="32" xfId="0" applyFont="1" applyFill="1" applyBorder="1" applyAlignment="1">
      <alignment vertical="center" shrinkToFit="1"/>
    </xf>
    <xf numFmtId="3" fontId="34" fillId="0" borderId="199" xfId="0" applyNumberFormat="1" applyFont="1" applyFill="1" applyBorder="1" applyAlignment="1">
      <alignment horizontal="right" vertical="center" shrinkToFit="1"/>
    </xf>
    <xf numFmtId="3" fontId="34" fillId="0" borderId="116" xfId="0" applyNumberFormat="1" applyFont="1" applyFill="1" applyBorder="1" applyAlignment="1">
      <alignment horizontal="right" vertical="center" shrinkToFit="1"/>
    </xf>
    <xf numFmtId="0" fontId="49" fillId="0" borderId="76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16" fillId="0" borderId="56" xfId="70" applyFont="1" applyBorder="1" applyAlignment="1">
      <alignment horizontal="center" vertical="center"/>
      <protection/>
    </xf>
    <xf numFmtId="0" fontId="45" fillId="0" borderId="13" xfId="70" applyFont="1" applyBorder="1" applyAlignment="1">
      <alignment horizontal="center" vertical="center"/>
      <protection/>
    </xf>
    <xf numFmtId="0" fontId="49" fillId="0" borderId="27" xfId="70" applyFont="1" applyBorder="1" applyAlignment="1">
      <alignment horizontal="center" wrapText="1"/>
      <protection/>
    </xf>
    <xf numFmtId="0" fontId="32" fillId="0" borderId="38" xfId="56" applyBorder="1" applyAlignment="1">
      <alignment horizontal="center"/>
      <protection/>
    </xf>
    <xf numFmtId="0" fontId="16" fillId="0" borderId="27" xfId="70" applyFont="1" applyBorder="1" applyAlignment="1">
      <alignment horizontal="center" wrapText="1"/>
      <protection/>
    </xf>
    <xf numFmtId="0" fontId="50" fillId="0" borderId="38" xfId="56" applyFont="1" applyBorder="1" applyAlignment="1">
      <alignment horizontal="center"/>
      <protection/>
    </xf>
    <xf numFmtId="0" fontId="15" fillId="0" borderId="0" xfId="0" applyFont="1" applyBorder="1" applyAlignment="1">
      <alignment horizontal="left" vertical="center" wrapText="1"/>
    </xf>
    <xf numFmtId="0" fontId="16" fillId="0" borderId="27" xfId="70" applyFont="1" applyBorder="1" applyAlignment="1">
      <alignment horizontal="center" vertical="center"/>
      <protection/>
    </xf>
    <xf numFmtId="0" fontId="45" fillId="0" borderId="38" xfId="70" applyFont="1" applyBorder="1" applyAlignment="1">
      <alignment horizontal="center" vertical="center"/>
      <protection/>
    </xf>
    <xf numFmtId="0" fontId="49" fillId="0" borderId="27" xfId="70" applyFont="1" applyBorder="1" applyAlignment="1">
      <alignment horizontal="center" vertical="center"/>
      <protection/>
    </xf>
    <xf numFmtId="0" fontId="0" fillId="0" borderId="38" xfId="70" applyBorder="1" applyAlignment="1">
      <alignment horizontal="center" vertical="center"/>
      <protection/>
    </xf>
    <xf numFmtId="0" fontId="16" fillId="0" borderId="68" xfId="70" applyFont="1" applyBorder="1" applyAlignment="1">
      <alignment horizontal="center"/>
      <protection/>
    </xf>
    <xf numFmtId="0" fontId="49" fillId="0" borderId="185" xfId="70" applyFont="1" applyBorder="1" applyAlignment="1">
      <alignment horizontal="center"/>
      <protection/>
    </xf>
    <xf numFmtId="0" fontId="49" fillId="0" borderId="198" xfId="70" applyFont="1" applyBorder="1" applyAlignment="1">
      <alignment horizontal="center"/>
      <protection/>
    </xf>
    <xf numFmtId="0" fontId="16" fillId="0" borderId="163" xfId="70" applyFont="1" applyBorder="1" applyAlignment="1">
      <alignment horizontal="center" vertical="center"/>
      <protection/>
    </xf>
    <xf numFmtId="0" fontId="16" fillId="0" borderId="192" xfId="70" applyFont="1" applyBorder="1" applyAlignment="1">
      <alignment horizontal="center" vertical="center"/>
      <protection/>
    </xf>
    <xf numFmtId="0" fontId="48" fillId="0" borderId="71" xfId="70" applyFont="1" applyBorder="1" applyAlignment="1">
      <alignment/>
      <protection/>
    </xf>
    <xf numFmtId="0" fontId="0" fillId="0" borderId="37" xfId="70" applyBorder="1" applyAlignment="1">
      <alignment/>
      <protection/>
    </xf>
    <xf numFmtId="0" fontId="15" fillId="0" borderId="26" xfId="70" applyFont="1" applyBorder="1" applyAlignment="1">
      <alignment/>
      <protection/>
    </xf>
    <xf numFmtId="0" fontId="45" fillId="0" borderId="10" xfId="70" applyFont="1" applyBorder="1" applyAlignment="1">
      <alignment/>
      <protection/>
    </xf>
    <xf numFmtId="0" fontId="28" fillId="0" borderId="4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8" xfId="68" applyFont="1" applyBorder="1" applyAlignment="1">
      <alignment horizontal="left" vertical="center" wrapText="1" shrinkToFit="1"/>
      <protection/>
    </xf>
    <xf numFmtId="0" fontId="28" fillId="0" borderId="41" xfId="0" applyFont="1" applyBorder="1" applyAlignment="1">
      <alignment horizontal="left" vertical="center" wrapText="1" shrinkToFit="1"/>
    </xf>
    <xf numFmtId="0" fontId="28" fillId="0" borderId="44" xfId="0" applyFont="1" applyBorder="1" applyAlignment="1">
      <alignment horizontal="left" vertical="center" wrapText="1" shrinkToFit="1"/>
    </xf>
    <xf numFmtId="0" fontId="28" fillId="0" borderId="70" xfId="0" applyFont="1" applyBorder="1" applyAlignment="1">
      <alignment horizontal="left" vertical="center" wrapText="1" shrinkToFit="1"/>
    </xf>
    <xf numFmtId="0" fontId="28" fillId="0" borderId="170" xfId="0" applyFont="1" applyBorder="1" applyAlignment="1">
      <alignment horizontal="center" vertical="center" wrapText="1"/>
    </xf>
    <xf numFmtId="0" fontId="28" fillId="0" borderId="145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13" xfId="0" applyFont="1" applyBorder="1" applyAlignment="1">
      <alignment horizontal="center" vertical="center"/>
    </xf>
    <xf numFmtId="0" fontId="28" fillId="0" borderId="130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8" fillId="0" borderId="41" xfId="68" applyFont="1" applyBorder="1" applyAlignment="1">
      <alignment horizontal="left" vertical="center" wrapText="1" shrinkToFit="1"/>
      <protection/>
    </xf>
    <xf numFmtId="0" fontId="0" fillId="0" borderId="70" xfId="0" applyBorder="1" applyAlignment="1">
      <alignment horizontal="left" vertical="center" wrapText="1" shrinkToFit="1"/>
    </xf>
    <xf numFmtId="0" fontId="28" fillId="0" borderId="27" xfId="0" applyFont="1" applyBorder="1" applyAlignment="1">
      <alignment horizontal="left" vertical="center" wrapText="1" shrinkToFit="1"/>
    </xf>
    <xf numFmtId="0" fontId="28" fillId="0" borderId="58" xfId="0" applyFont="1" applyBorder="1" applyAlignment="1">
      <alignment horizontal="left" vertical="center" wrapText="1" shrinkToFit="1"/>
    </xf>
    <xf numFmtId="0" fontId="28" fillId="0" borderId="59" xfId="0" applyFont="1" applyBorder="1" applyAlignment="1">
      <alignment horizontal="left" vertical="center" wrapText="1" shrinkToFit="1"/>
    </xf>
    <xf numFmtId="0" fontId="28" fillId="0" borderId="27" xfId="0" applyFont="1" applyBorder="1" applyAlignment="1">
      <alignment horizontal="center" vertical="center" wrapText="1" shrinkToFit="1"/>
    </xf>
    <xf numFmtId="0" fontId="28" fillId="0" borderId="58" xfId="0" applyFont="1" applyBorder="1" applyAlignment="1">
      <alignment horizontal="center" vertical="center" wrapText="1" shrinkToFit="1"/>
    </xf>
    <xf numFmtId="0" fontId="28" fillId="0" borderId="59" xfId="0" applyFont="1" applyBorder="1" applyAlignment="1">
      <alignment horizontal="center" vertical="center" wrapText="1" shrinkToFit="1"/>
    </xf>
    <xf numFmtId="0" fontId="28" fillId="35" borderId="27" xfId="68" applyFont="1" applyFill="1" applyBorder="1" applyAlignment="1">
      <alignment horizontal="left" vertical="center" wrapText="1" shrinkToFit="1"/>
      <protection/>
    </xf>
    <xf numFmtId="0" fontId="28" fillId="35" borderId="58" xfId="68" applyFont="1" applyFill="1" applyBorder="1" applyAlignment="1">
      <alignment horizontal="left" vertical="center" wrapText="1" shrinkToFit="1"/>
      <protection/>
    </xf>
    <xf numFmtId="0" fontId="28" fillId="35" borderId="59" xfId="68" applyFont="1" applyFill="1" applyBorder="1" applyAlignment="1">
      <alignment horizontal="left" vertical="center" wrapText="1" shrinkToFit="1"/>
      <protection/>
    </xf>
    <xf numFmtId="0" fontId="28" fillId="0" borderId="70" xfId="0" applyFont="1" applyBorder="1" applyAlignment="1">
      <alignment horizontal="center" vertical="center"/>
    </xf>
    <xf numFmtId="0" fontId="28" fillId="0" borderId="27" xfId="68" applyFont="1" applyBorder="1" applyAlignment="1">
      <alignment horizontal="left" vertical="center" wrapText="1" shrinkToFit="1"/>
      <protection/>
    </xf>
    <xf numFmtId="0" fontId="28" fillId="0" borderId="58" xfId="68" applyFont="1" applyBorder="1" applyAlignment="1">
      <alignment horizontal="left" vertical="center" wrapText="1" shrinkToFit="1"/>
      <protection/>
    </xf>
    <xf numFmtId="0" fontId="28" fillId="0" borderId="59" xfId="68" applyFont="1" applyBorder="1" applyAlignment="1">
      <alignment horizontal="left" vertical="center" wrapText="1" shrinkToFit="1"/>
      <protection/>
    </xf>
    <xf numFmtId="0" fontId="0" fillId="0" borderId="59" xfId="0" applyBorder="1" applyAlignment="1">
      <alignment horizontal="left" vertical="center" wrapText="1" shrinkToFit="1"/>
    </xf>
    <xf numFmtId="0" fontId="28" fillId="0" borderId="44" xfId="68" applyFont="1" applyBorder="1" applyAlignment="1">
      <alignment horizontal="left" vertical="center" wrapText="1" shrinkToFit="1"/>
      <protection/>
    </xf>
    <xf numFmtId="0" fontId="28" fillId="0" borderId="70" xfId="68" applyFont="1" applyBorder="1" applyAlignment="1">
      <alignment horizontal="left" vertical="center" wrapText="1" shrinkToFit="1"/>
      <protection/>
    </xf>
    <xf numFmtId="0" fontId="28" fillId="0" borderId="27" xfId="61" applyFont="1" applyBorder="1" applyAlignment="1">
      <alignment horizontal="center" vertical="center"/>
      <protection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27" xfId="61" applyFont="1" applyBorder="1" applyAlignment="1">
      <alignment vertical="center"/>
      <protection/>
    </xf>
    <xf numFmtId="0" fontId="28" fillId="0" borderId="27" xfId="61" applyFont="1" applyBorder="1" applyAlignment="1">
      <alignment horizontal="left" vertical="center"/>
      <protection/>
    </xf>
    <xf numFmtId="0" fontId="28" fillId="0" borderId="59" xfId="61" applyFont="1" applyBorder="1" applyAlignment="1">
      <alignment horizontal="left" vertical="center"/>
      <protection/>
    </xf>
    <xf numFmtId="0" fontId="28" fillId="0" borderId="59" xfId="61" applyFont="1" applyBorder="1" applyAlignment="1">
      <alignment horizontal="center" vertical="center"/>
      <protection/>
    </xf>
    <xf numFmtId="0" fontId="62" fillId="0" borderId="0" xfId="61" applyFont="1" applyBorder="1" applyAlignment="1">
      <alignment vertical="center"/>
      <protection/>
    </xf>
    <xf numFmtId="0" fontId="84" fillId="0" borderId="0" xfId="0" applyFont="1" applyBorder="1" applyAlignment="1">
      <alignment/>
    </xf>
    <xf numFmtId="0" fontId="28" fillId="0" borderId="44" xfId="61" applyFont="1" applyBorder="1" applyAlignment="1">
      <alignment horizontal="center" vertical="center" wrapText="1"/>
      <protection/>
    </xf>
    <xf numFmtId="0" fontId="28" fillId="0" borderId="170" xfId="0" applyFont="1" applyBorder="1" applyAlignment="1">
      <alignment vertical="center"/>
    </xf>
    <xf numFmtId="0" fontId="28" fillId="0" borderId="145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79" xfId="0" applyBorder="1" applyAlignment="1">
      <alignment vertical="center"/>
    </xf>
    <xf numFmtId="0" fontId="28" fillId="0" borderId="41" xfId="0" applyFont="1" applyBorder="1" applyAlignment="1">
      <alignment horizontal="right" vertical="center" wrapText="1"/>
    </xf>
    <xf numFmtId="0" fontId="0" fillId="0" borderId="41" xfId="0" applyBorder="1" applyAlignment="1">
      <alignment horizontal="right" vertical="center"/>
    </xf>
    <xf numFmtId="0" fontId="28" fillId="0" borderId="68" xfId="61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28" fillId="0" borderId="27" xfId="61" applyFont="1" applyBorder="1" applyAlignment="1">
      <alignment horizontal="left" vertical="center" wrapText="1"/>
      <protection/>
    </xf>
    <xf numFmtId="0" fontId="28" fillId="0" borderId="58" xfId="61" applyFont="1" applyBorder="1" applyAlignment="1">
      <alignment horizontal="left" vertical="center" wrapText="1"/>
      <protection/>
    </xf>
    <xf numFmtId="0" fontId="28" fillId="0" borderId="59" xfId="61" applyFont="1" applyBorder="1" applyAlignment="1">
      <alignment horizontal="left" vertical="center" wrapText="1"/>
      <protection/>
    </xf>
    <xf numFmtId="0" fontId="28" fillId="0" borderId="68" xfId="61" applyFont="1" applyBorder="1" applyAlignment="1">
      <alignment horizontal="left" vertical="center" wrapText="1"/>
      <protection/>
    </xf>
    <xf numFmtId="0" fontId="28" fillId="0" borderId="70" xfId="61" applyFont="1" applyBorder="1" applyAlignment="1">
      <alignment horizontal="left" vertical="center" wrapText="1"/>
      <protection/>
    </xf>
    <xf numFmtId="0" fontId="28" fillId="0" borderId="68" xfId="61" applyFont="1" applyBorder="1" applyAlignment="1">
      <alignment horizontal="center"/>
      <protection/>
    </xf>
    <xf numFmtId="0" fontId="28" fillId="0" borderId="70" xfId="61" applyFont="1" applyBorder="1" applyAlignment="1">
      <alignment horizontal="center"/>
      <protection/>
    </xf>
    <xf numFmtId="0" fontId="49" fillId="0" borderId="54" xfId="67" applyFont="1" applyBorder="1" applyAlignment="1">
      <alignment horizontal="right"/>
      <protection/>
    </xf>
    <xf numFmtId="0" fontId="86" fillId="0" borderId="184" xfId="67" applyFont="1" applyBorder="1" applyAlignment="1">
      <alignment horizontal="center" vertical="center" textRotation="255"/>
      <protection/>
    </xf>
    <xf numFmtId="0" fontId="86" fillId="0" borderId="173" xfId="67" applyFont="1" applyBorder="1" applyAlignment="1">
      <alignment horizontal="center" vertical="center" textRotation="255"/>
      <protection/>
    </xf>
    <xf numFmtId="0" fontId="86" fillId="0" borderId="200" xfId="67" applyFont="1" applyBorder="1" applyAlignment="1">
      <alignment horizontal="center" vertical="center" textRotation="255"/>
      <protection/>
    </xf>
    <xf numFmtId="0" fontId="49" fillId="0" borderId="162" xfId="67" applyFont="1" applyBorder="1" applyAlignment="1">
      <alignment horizontal="center" vertical="center"/>
      <protection/>
    </xf>
    <xf numFmtId="0" fontId="49" fillId="0" borderId="85" xfId="67" applyFont="1" applyBorder="1" applyAlignment="1">
      <alignment horizontal="center" vertical="center"/>
      <protection/>
    </xf>
    <xf numFmtId="0" fontId="61" fillId="0" borderId="184" xfId="0" applyFont="1" applyBorder="1" applyAlignment="1">
      <alignment horizontal="right" vertical="center"/>
    </xf>
    <xf numFmtId="0" fontId="61" fillId="0" borderId="172" xfId="0" applyFont="1" applyBorder="1" applyAlignment="1">
      <alignment horizontal="right" vertical="center"/>
    </xf>
    <xf numFmtId="0" fontId="61" fillId="0" borderId="71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68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3" fontId="61" fillId="0" borderId="168" xfId="0" applyNumberFormat="1" applyFont="1" applyBorder="1" applyAlignment="1">
      <alignment horizontal="right" vertical="center"/>
    </xf>
    <xf numFmtId="3" fontId="61" fillId="0" borderId="47" xfId="0" applyNumberFormat="1" applyFont="1" applyBorder="1" applyAlignment="1">
      <alignment horizontal="right" vertical="center"/>
    </xf>
    <xf numFmtId="16" fontId="61" fillId="0" borderId="171" xfId="0" applyNumberFormat="1" applyFont="1" applyBorder="1" applyAlignment="1" quotePrefix="1">
      <alignment horizontal="right"/>
    </xf>
    <xf numFmtId="0" fontId="61" fillId="0" borderId="172" xfId="0" applyFont="1" applyBorder="1" applyAlignment="1">
      <alignment horizontal="right"/>
    </xf>
    <xf numFmtId="0" fontId="61" fillId="0" borderId="171" xfId="0" applyFont="1" applyBorder="1" applyAlignment="1" quotePrefix="1">
      <alignment horizontal="right"/>
    </xf>
    <xf numFmtId="0" fontId="62" fillId="0" borderId="177" xfId="0" applyFont="1" applyBorder="1" applyAlignment="1">
      <alignment horizontal="center"/>
    </xf>
    <xf numFmtId="0" fontId="62" fillId="0" borderId="145" xfId="0" applyFont="1" applyBorder="1" applyAlignment="1">
      <alignment horizontal="center"/>
    </xf>
    <xf numFmtId="3" fontId="61" fillId="0" borderId="41" xfId="0" applyNumberFormat="1" applyFont="1" applyBorder="1" applyAlignment="1">
      <alignment horizontal="right"/>
    </xf>
    <xf numFmtId="3" fontId="61" fillId="0" borderId="42" xfId="0" applyNumberFormat="1" applyFont="1" applyBorder="1" applyAlignment="1">
      <alignment horizontal="right"/>
    </xf>
    <xf numFmtId="3" fontId="62" fillId="0" borderId="70" xfId="0" applyNumberFormat="1" applyFont="1" applyBorder="1" applyAlignment="1">
      <alignment horizontal="right"/>
    </xf>
    <xf numFmtId="3" fontId="62" fillId="0" borderId="75" xfId="0" applyNumberFormat="1" applyFont="1" applyBorder="1" applyAlignment="1">
      <alignment horizontal="right"/>
    </xf>
    <xf numFmtId="3" fontId="61" fillId="0" borderId="113" xfId="0" applyNumberFormat="1" applyFont="1" applyBorder="1" applyAlignment="1">
      <alignment horizontal="right"/>
    </xf>
    <xf numFmtId="3" fontId="61" fillId="0" borderId="91" xfId="0" applyNumberFormat="1" applyFont="1" applyBorder="1" applyAlignment="1">
      <alignment horizontal="right"/>
    </xf>
    <xf numFmtId="0" fontId="62" fillId="0" borderId="184" xfId="0" applyFont="1" applyBorder="1" applyAlignment="1">
      <alignment horizontal="center" vertical="center"/>
    </xf>
    <xf numFmtId="0" fontId="62" fillId="0" borderId="172" xfId="0" applyFont="1" applyBorder="1" applyAlignment="1">
      <alignment horizontal="center" vertical="center"/>
    </xf>
    <xf numFmtId="0" fontId="61" fillId="0" borderId="68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3" fontId="29" fillId="0" borderId="185" xfId="0" applyNumberFormat="1" applyFont="1" applyFill="1" applyBorder="1" applyAlignment="1">
      <alignment horizontal="center" vertical="center"/>
    </xf>
    <xf numFmtId="3" fontId="29" fillId="0" borderId="198" xfId="0" applyNumberFormat="1" applyFont="1" applyFill="1" applyBorder="1" applyAlignment="1">
      <alignment horizontal="center" vertical="center"/>
    </xf>
    <xf numFmtId="3" fontId="29" fillId="0" borderId="169" xfId="0" applyNumberFormat="1" applyFont="1" applyFill="1" applyBorder="1" applyAlignment="1">
      <alignment horizontal="center" vertical="center"/>
    </xf>
    <xf numFmtId="3" fontId="29" fillId="0" borderId="27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3" fontId="29" fillId="0" borderId="178" xfId="0" applyNumberFormat="1" applyFont="1" applyFill="1" applyBorder="1" applyAlignment="1">
      <alignment horizontal="center" vertical="center"/>
    </xf>
    <xf numFmtId="3" fontId="29" fillId="0" borderId="58" xfId="0" applyNumberFormat="1" applyFont="1" applyFill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3" fontId="29" fillId="0" borderId="86" xfId="0" applyNumberFormat="1" applyFont="1" applyFill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 wrapText="1"/>
    </xf>
    <xf numFmtId="3" fontId="29" fillId="0" borderId="184" xfId="0" applyNumberFormat="1" applyFont="1" applyFill="1" applyBorder="1" applyAlignment="1">
      <alignment horizontal="center" vertical="center" wrapText="1"/>
    </xf>
    <xf numFmtId="0" fontId="27" fillId="0" borderId="173" xfId="0" applyFont="1" applyBorder="1" applyAlignment="1">
      <alignment horizontal="center" vertical="center" wrapText="1"/>
    </xf>
    <xf numFmtId="0" fontId="27" fillId="0" borderId="200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179" xfId="0" applyFont="1" applyBorder="1" applyAlignment="1">
      <alignment/>
    </xf>
    <xf numFmtId="0" fontId="27" fillId="0" borderId="169" xfId="0" applyFont="1" applyBorder="1" applyAlignment="1">
      <alignment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3" fontId="29" fillId="0" borderId="162" xfId="0" applyNumberFormat="1" applyFont="1" applyFill="1" applyBorder="1" applyAlignment="1">
      <alignment horizontal="left" vertical="center"/>
    </xf>
    <xf numFmtId="3" fontId="29" fillId="0" borderId="143" xfId="0" applyNumberFormat="1" applyFont="1" applyFill="1" applyBorder="1" applyAlignment="1">
      <alignment horizontal="left" vertical="center"/>
    </xf>
    <xf numFmtId="0" fontId="88" fillId="0" borderId="113" xfId="0" applyFont="1" applyBorder="1" applyAlignment="1">
      <alignment horizontal="left" vertical="center"/>
    </xf>
    <xf numFmtId="0" fontId="88" fillId="0" borderId="130" xfId="0" applyFont="1" applyBorder="1" applyAlignment="1">
      <alignment horizontal="left" vertical="center"/>
    </xf>
    <xf numFmtId="0" fontId="27" fillId="0" borderId="113" xfId="0" applyFont="1" applyBorder="1" applyAlignment="1">
      <alignment horizontal="left" vertical="center"/>
    </xf>
    <xf numFmtId="0" fontId="27" fillId="0" borderId="130" xfId="0" applyFont="1" applyBorder="1" applyAlignment="1">
      <alignment horizontal="left" vertical="center"/>
    </xf>
    <xf numFmtId="3" fontId="20" fillId="0" borderId="41" xfId="69" applyNumberFormat="1" applyFont="1" applyFill="1" applyBorder="1" applyAlignment="1">
      <alignment horizontal="center" vertical="center"/>
      <protection/>
    </xf>
    <xf numFmtId="3" fontId="16" fillId="0" borderId="111" xfId="0" applyNumberFormat="1" applyFont="1" applyFill="1" applyBorder="1" applyAlignment="1">
      <alignment horizontal="left" vertical="center"/>
    </xf>
    <xf numFmtId="0" fontId="0" fillId="0" borderId="130" xfId="0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3" fontId="16" fillId="0" borderId="163" xfId="0" applyNumberFormat="1" applyFont="1" applyFill="1" applyBorder="1" applyAlignment="1">
      <alignment horizontal="left" vertical="center"/>
    </xf>
    <xf numFmtId="0" fontId="0" fillId="0" borderId="191" xfId="0" applyBorder="1" applyAlignment="1">
      <alignment horizontal="left" vertical="center"/>
    </xf>
    <xf numFmtId="0" fontId="0" fillId="0" borderId="192" xfId="0" applyBorder="1" applyAlignment="1">
      <alignment horizontal="left" vertical="center"/>
    </xf>
    <xf numFmtId="3" fontId="21" fillId="0" borderId="26" xfId="0" applyNumberFormat="1" applyFont="1" applyFill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4" xfId="0" applyBorder="1" applyAlignment="1">
      <alignment vertical="center"/>
    </xf>
    <xf numFmtId="3" fontId="30" fillId="0" borderId="111" xfId="0" applyNumberFormat="1" applyFont="1" applyFill="1" applyBorder="1" applyAlignment="1">
      <alignment vertical="center"/>
    </xf>
    <xf numFmtId="0" fontId="45" fillId="0" borderId="130" xfId="0" applyFont="1" applyBorder="1" applyAlignment="1">
      <alignment vertical="center"/>
    </xf>
    <xf numFmtId="0" fontId="45" fillId="0" borderId="129" xfId="0" applyFont="1" applyBorder="1" applyAlignment="1">
      <alignment vertical="center"/>
    </xf>
    <xf numFmtId="3" fontId="16" fillId="0" borderId="111" xfId="0" applyNumberFormat="1" applyFont="1" applyFill="1" applyBorder="1" applyAlignment="1">
      <alignment vertical="center"/>
    </xf>
    <xf numFmtId="3" fontId="16" fillId="0" borderId="111" xfId="0" applyNumberFormat="1" applyFont="1" applyFill="1" applyBorder="1" applyAlignment="1">
      <alignment horizontal="left" vertical="center" wrapText="1"/>
    </xf>
    <xf numFmtId="0" fontId="0" fillId="0" borderId="130" xfId="0" applyBorder="1" applyAlignment="1">
      <alignment horizontal="left" vertical="center" wrapText="1"/>
    </xf>
    <xf numFmtId="0" fontId="0" fillId="0" borderId="129" xfId="0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3" fontId="16" fillId="0" borderId="179" xfId="0" applyNumberFormat="1" applyFont="1" applyFill="1" applyBorder="1" applyAlignment="1">
      <alignment horizontal="left" vertical="center" wrapText="1"/>
    </xf>
    <xf numFmtId="3" fontId="16" fillId="0" borderId="198" xfId="0" applyNumberFormat="1" applyFont="1" applyFill="1" applyBorder="1" applyAlignment="1">
      <alignment horizontal="left" vertical="center" wrapText="1"/>
    </xf>
    <xf numFmtId="3" fontId="16" fillId="0" borderId="169" xfId="0" applyNumberFormat="1" applyFont="1" applyFill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left" vertical="center"/>
    </xf>
    <xf numFmtId="3" fontId="16" fillId="0" borderId="35" xfId="0" applyNumberFormat="1" applyFont="1" applyFill="1" applyBorder="1" applyAlignment="1">
      <alignment horizontal="left" vertical="center"/>
    </xf>
    <xf numFmtId="0" fontId="15" fillId="0" borderId="186" xfId="57" applyFont="1" applyFill="1" applyBorder="1" applyAlignment="1">
      <alignment horizontal="justify"/>
      <protection/>
    </xf>
    <xf numFmtId="0" fontId="15" fillId="0" borderId="0" xfId="57" applyFont="1" applyFill="1" applyAlignment="1">
      <alignment horizontal="justify"/>
      <protection/>
    </xf>
    <xf numFmtId="0" fontId="21" fillId="0" borderId="55" xfId="57" applyFont="1" applyFill="1" applyBorder="1" applyAlignment="1">
      <alignment horizontal="center" vertical="center"/>
      <protection/>
    </xf>
    <xf numFmtId="0" fontId="20" fillId="0" borderId="27" xfId="57" applyFont="1" applyFill="1" applyBorder="1" applyAlignment="1">
      <alignment horizontal="center" vertical="center" wrapText="1"/>
      <protection/>
    </xf>
    <xf numFmtId="0" fontId="20" fillId="0" borderId="58" xfId="57" applyFont="1" applyFill="1" applyBorder="1" applyAlignment="1">
      <alignment horizontal="center" vertical="center" wrapText="1"/>
      <protection/>
    </xf>
    <xf numFmtId="0" fontId="20" fillId="0" borderId="59" xfId="57" applyFont="1" applyFill="1" applyBorder="1" applyAlignment="1">
      <alignment horizontal="center" vertical="center" wrapText="1"/>
      <protection/>
    </xf>
    <xf numFmtId="0" fontId="20" fillId="0" borderId="76" xfId="57" applyFont="1" applyFill="1" applyBorder="1" applyAlignment="1">
      <alignment horizontal="center" vertical="center" wrapText="1"/>
      <protection/>
    </xf>
    <xf numFmtId="0" fontId="20" fillId="0" borderId="62" xfId="57" applyFont="1" applyFill="1" applyBorder="1" applyAlignment="1">
      <alignment horizontal="center" vertical="center" wrapText="1"/>
      <protection/>
    </xf>
    <xf numFmtId="0" fontId="20" fillId="0" borderId="77" xfId="57" applyFont="1" applyFill="1" applyBorder="1" applyAlignment="1">
      <alignment horizontal="center" vertical="center" wrapText="1"/>
      <protection/>
    </xf>
    <xf numFmtId="0" fontId="30" fillId="0" borderId="47" xfId="58" applyFont="1" applyFill="1" applyBorder="1" applyAlignment="1">
      <alignment horizontal="center" vertical="center" wrapText="1"/>
      <protection/>
    </xf>
    <xf numFmtId="0" fontId="30" fillId="0" borderId="36" xfId="58" applyFont="1" applyFill="1" applyBorder="1" applyAlignment="1">
      <alignment horizontal="center" vertical="center" wrapText="1"/>
      <protection/>
    </xf>
    <xf numFmtId="0" fontId="30" fillId="0" borderId="184" xfId="58" applyFont="1" applyBorder="1" applyAlignment="1">
      <alignment vertical="center" wrapText="1"/>
      <protection/>
    </xf>
    <xf numFmtId="0" fontId="30" fillId="0" borderId="200" xfId="58" applyFont="1" applyBorder="1" applyAlignment="1">
      <alignment vertical="center" wrapText="1"/>
      <protection/>
    </xf>
    <xf numFmtId="0" fontId="30" fillId="0" borderId="109" xfId="58" applyFont="1" applyBorder="1" applyAlignment="1">
      <alignment horizontal="center" vertical="center"/>
      <protection/>
    </xf>
    <xf numFmtId="0" fontId="30" fillId="0" borderId="79" xfId="58" applyFont="1" applyBorder="1" applyAlignment="1">
      <alignment horizontal="center" vertical="center"/>
      <protection/>
    </xf>
    <xf numFmtId="0" fontId="30" fillId="0" borderId="168" xfId="58" applyFont="1" applyFill="1" applyBorder="1" applyAlignment="1">
      <alignment horizontal="center" vertical="center" wrapText="1"/>
      <protection/>
    </xf>
    <xf numFmtId="0" fontId="30" fillId="0" borderId="143" xfId="58" applyFont="1" applyFill="1" applyBorder="1" applyAlignment="1">
      <alignment horizontal="center" vertical="center" wrapText="1"/>
      <protection/>
    </xf>
    <xf numFmtId="3" fontId="28" fillId="0" borderId="80" xfId="59" applyNumberFormat="1" applyFont="1" applyFill="1" applyBorder="1" applyAlignment="1">
      <alignment horizontal="right" vertical="center"/>
      <protection/>
    </xf>
    <xf numFmtId="0" fontId="28" fillId="0" borderId="58" xfId="59" applyFont="1" applyBorder="1" applyAlignment="1">
      <alignment horizontal="right" vertical="center"/>
      <protection/>
    </xf>
    <xf numFmtId="0" fontId="28" fillId="0" borderId="57" xfId="59" applyFont="1" applyBorder="1" applyAlignment="1">
      <alignment horizontal="right" vertical="center"/>
      <protection/>
    </xf>
    <xf numFmtId="0" fontId="0" fillId="0" borderId="59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3" fontId="30" fillId="0" borderId="138" xfId="59" applyNumberFormat="1" applyFont="1" applyFill="1" applyBorder="1" applyAlignment="1">
      <alignment horizontal="right" vertical="center"/>
      <protection/>
    </xf>
    <xf numFmtId="0" fontId="28" fillId="0" borderId="140" xfId="0" applyFont="1" applyBorder="1" applyAlignment="1">
      <alignment horizontal="right" vertical="center"/>
    </xf>
    <xf numFmtId="0" fontId="28" fillId="0" borderId="57" xfId="0" applyFont="1" applyBorder="1" applyAlignment="1">
      <alignment horizontal="right" vertical="center"/>
    </xf>
    <xf numFmtId="3" fontId="28" fillId="0" borderId="27" xfId="59" applyNumberFormat="1" applyFont="1" applyFill="1" applyBorder="1" applyAlignment="1">
      <alignment horizontal="right" vertical="center"/>
      <protection/>
    </xf>
    <xf numFmtId="3" fontId="30" fillId="0" borderId="76" xfId="59" applyNumberFormat="1" applyFont="1" applyFill="1" applyBorder="1" applyAlignment="1">
      <alignment horizontal="right" vertical="center"/>
      <protection/>
    </xf>
    <xf numFmtId="3" fontId="30" fillId="0" borderId="77" xfId="59" applyNumberFormat="1" applyFont="1" applyFill="1" applyBorder="1" applyAlignment="1">
      <alignment horizontal="right" vertical="center"/>
      <protection/>
    </xf>
    <xf numFmtId="0" fontId="28" fillId="0" borderId="71" xfId="59" applyFont="1" applyFill="1" applyBorder="1" applyAlignment="1">
      <alignment horizontal="center" vertical="center" wrapText="1"/>
      <protection/>
    </xf>
    <xf numFmtId="0" fontId="28" fillId="0" borderId="55" xfId="59" applyFont="1" applyBorder="1" applyAlignment="1">
      <alignment horizontal="center" vertical="center" wrapText="1"/>
      <protection/>
    </xf>
    <xf numFmtId="0" fontId="28" fillId="0" borderId="72" xfId="59" applyFont="1" applyBorder="1" applyAlignment="1">
      <alignment horizontal="center" vertical="center" wrapText="1"/>
      <protection/>
    </xf>
    <xf numFmtId="0" fontId="28" fillId="0" borderId="27" xfId="59" applyFont="1" applyFill="1" applyBorder="1" applyAlignment="1">
      <alignment horizontal="center" vertical="center" wrapText="1"/>
      <protection/>
    </xf>
    <xf numFmtId="0" fontId="28" fillId="0" borderId="58" xfId="59" applyFont="1" applyFill="1" applyBorder="1" applyAlignment="1">
      <alignment horizontal="center" vertical="center" wrapText="1"/>
      <protection/>
    </xf>
    <xf numFmtId="0" fontId="28" fillId="0" borderId="59" xfId="59" applyFont="1" applyFill="1" applyBorder="1" applyAlignment="1">
      <alignment horizontal="center" vertical="center" wrapText="1"/>
      <protection/>
    </xf>
    <xf numFmtId="0" fontId="28" fillId="0" borderId="76" xfId="59" applyFont="1" applyFill="1" applyBorder="1" applyAlignment="1">
      <alignment horizontal="center" vertical="center" wrapText="1"/>
      <protection/>
    </xf>
    <xf numFmtId="0" fontId="28" fillId="0" borderId="62" xfId="59" applyFont="1" applyFill="1" applyBorder="1" applyAlignment="1">
      <alignment horizontal="center" vertical="center" wrapText="1"/>
      <protection/>
    </xf>
    <xf numFmtId="0" fontId="28" fillId="0" borderId="77" xfId="59" applyFont="1" applyFill="1" applyBorder="1" applyAlignment="1">
      <alignment horizontal="center" vertical="center" wrapText="1"/>
      <protection/>
    </xf>
    <xf numFmtId="0" fontId="28" fillId="0" borderId="73" xfId="59" applyFont="1" applyFill="1" applyBorder="1" applyAlignment="1">
      <alignment horizontal="center" vertical="center"/>
      <protection/>
    </xf>
    <xf numFmtId="0" fontId="28" fillId="0" borderId="31" xfId="59" applyFont="1" applyBorder="1" applyAlignment="1">
      <alignment horizontal="center" vertical="center"/>
      <protection/>
    </xf>
    <xf numFmtId="0" fontId="28" fillId="0" borderId="79" xfId="59" applyFont="1" applyBorder="1" applyAlignment="1">
      <alignment horizontal="center" vertical="center"/>
      <protection/>
    </xf>
    <xf numFmtId="0" fontId="15" fillId="0" borderId="0" xfId="59" applyFont="1" applyFill="1" applyBorder="1">
      <alignment/>
      <protection/>
    </xf>
    <xf numFmtId="0" fontId="28" fillId="0" borderId="59" xfId="59" applyFont="1" applyBorder="1" applyAlignment="1">
      <alignment horizontal="right" vertical="center"/>
      <protection/>
    </xf>
    <xf numFmtId="3" fontId="30" fillId="0" borderId="27" xfId="59" applyNumberFormat="1" applyFont="1" applyFill="1" applyBorder="1" applyAlignment="1">
      <alignment horizontal="right" vertical="center"/>
      <protection/>
    </xf>
    <xf numFmtId="3" fontId="28" fillId="0" borderId="58" xfId="59" applyNumberFormat="1" applyFont="1" applyBorder="1" applyAlignment="1">
      <alignment horizontal="right" vertical="center"/>
      <protection/>
    </xf>
    <xf numFmtId="3" fontId="28" fillId="0" borderId="59" xfId="59" applyNumberFormat="1" applyFont="1" applyBorder="1" applyAlignment="1">
      <alignment horizontal="right" vertical="center"/>
      <protection/>
    </xf>
    <xf numFmtId="0" fontId="28" fillId="0" borderId="77" xfId="70" applyFont="1" applyBorder="1" applyAlignment="1">
      <alignment horizontal="right" vertical="center"/>
      <protection/>
    </xf>
    <xf numFmtId="0" fontId="28" fillId="0" borderId="58" xfId="70" applyFont="1" applyBorder="1" applyAlignment="1">
      <alignment horizontal="right" vertical="center"/>
      <protection/>
    </xf>
    <xf numFmtId="0" fontId="28" fillId="0" borderId="59" xfId="70" applyFont="1" applyBorder="1" applyAlignment="1">
      <alignment horizontal="right" vertical="center"/>
      <protection/>
    </xf>
    <xf numFmtId="0" fontId="28" fillId="0" borderId="62" xfId="70" applyFont="1" applyBorder="1" applyAlignment="1">
      <alignment horizontal="right" vertical="center"/>
      <protection/>
    </xf>
    <xf numFmtId="3" fontId="28" fillId="0" borderId="58" xfId="59" applyNumberFormat="1" applyFont="1" applyFill="1" applyBorder="1" applyAlignment="1">
      <alignment horizontal="right" vertical="center"/>
      <protection/>
    </xf>
    <xf numFmtId="0" fontId="28" fillId="0" borderId="58" xfId="0" applyFont="1" applyBorder="1" applyAlignment="1">
      <alignment horizontal="right" vertical="center"/>
    </xf>
    <xf numFmtId="3" fontId="30" fillId="0" borderId="62" xfId="59" applyNumberFormat="1" applyFont="1" applyFill="1" applyBorder="1" applyAlignment="1">
      <alignment horizontal="right" vertical="center"/>
      <protection/>
    </xf>
    <xf numFmtId="0" fontId="28" fillId="0" borderId="62" xfId="0" applyFont="1" applyBorder="1" applyAlignment="1">
      <alignment horizontal="right" vertical="center"/>
    </xf>
    <xf numFmtId="0" fontId="11" fillId="0" borderId="71" xfId="60" applyFont="1" applyBorder="1" applyAlignment="1">
      <alignment horizontal="center" wrapText="1"/>
      <protection/>
    </xf>
    <xf numFmtId="0" fontId="53" fillId="0" borderId="55" xfId="60" applyBorder="1" applyAlignment="1">
      <alignment horizontal="center" wrapText="1"/>
      <protection/>
    </xf>
    <xf numFmtId="0" fontId="53" fillId="0" borderId="72" xfId="60" applyBorder="1" applyAlignment="1">
      <alignment horizontal="center" wrapText="1"/>
      <protection/>
    </xf>
    <xf numFmtId="0" fontId="11" fillId="0" borderId="0" xfId="60" applyFont="1" applyBorder="1">
      <alignment/>
      <protection/>
    </xf>
    <xf numFmtId="0" fontId="20" fillId="0" borderId="27" xfId="67" applyFont="1" applyFill="1" applyBorder="1" applyAlignment="1">
      <alignment horizontal="center" vertical="center" wrapText="1"/>
      <protection/>
    </xf>
    <xf numFmtId="0" fontId="20" fillId="0" borderId="58" xfId="67" applyFont="1" applyFill="1" applyBorder="1" applyAlignment="1">
      <alignment horizontal="center" vertical="center" wrapText="1"/>
      <protection/>
    </xf>
    <xf numFmtId="0" fontId="20" fillId="0" borderId="59" xfId="67" applyFont="1" applyFill="1" applyBorder="1" applyAlignment="1">
      <alignment horizontal="center" vertical="center" wrapText="1"/>
      <protection/>
    </xf>
    <xf numFmtId="0" fontId="20" fillId="0" borderId="76" xfId="67" applyFont="1" applyFill="1" applyBorder="1" applyAlignment="1">
      <alignment horizontal="center" vertical="center" wrapText="1"/>
      <protection/>
    </xf>
    <xf numFmtId="0" fontId="20" fillId="0" borderId="62" xfId="67" applyFont="1" applyFill="1" applyBorder="1" applyAlignment="1">
      <alignment horizontal="center" vertical="center" wrapText="1"/>
      <protection/>
    </xf>
    <xf numFmtId="0" fontId="20" fillId="0" borderId="77" xfId="67" applyFont="1" applyFill="1" applyBorder="1" applyAlignment="1">
      <alignment horizontal="center" vertical="center" wrapText="1"/>
      <protection/>
    </xf>
    <xf numFmtId="0" fontId="21" fillId="0" borderId="71" xfId="67" applyFont="1" applyFill="1" applyBorder="1" applyAlignment="1">
      <alignment horizontal="left" vertical="center" wrapText="1"/>
      <protection/>
    </xf>
    <xf numFmtId="0" fontId="21" fillId="0" borderId="55" xfId="67" applyFont="1" applyFill="1" applyBorder="1" applyAlignment="1">
      <alignment horizontal="left" vertical="center" wrapText="1"/>
      <protection/>
    </xf>
    <xf numFmtId="0" fontId="21" fillId="0" borderId="72" xfId="67" applyFont="1" applyFill="1" applyBorder="1" applyAlignment="1">
      <alignment horizontal="left" vertical="center" wrapText="1"/>
      <protection/>
    </xf>
    <xf numFmtId="0" fontId="60" fillId="0" borderId="0" xfId="67" applyFont="1" applyAlignment="1">
      <alignment horizontal="left" vertical="center"/>
      <protection/>
    </xf>
    <xf numFmtId="0" fontId="16" fillId="0" borderId="71" xfId="67" applyFont="1" applyFill="1" applyBorder="1" applyAlignment="1">
      <alignment horizontal="left" vertical="center" wrapText="1"/>
      <protection/>
    </xf>
    <xf numFmtId="0" fontId="16" fillId="0" borderId="55" xfId="67" applyFont="1" applyFill="1" applyBorder="1" applyAlignment="1">
      <alignment horizontal="left" vertical="center" wrapText="1"/>
      <protection/>
    </xf>
    <xf numFmtId="0" fontId="16" fillId="0" borderId="72" xfId="67" applyFont="1" applyFill="1" applyBorder="1" applyAlignment="1">
      <alignment horizontal="left" vertical="center" wrapText="1"/>
      <protection/>
    </xf>
    <xf numFmtId="0" fontId="16" fillId="0" borderId="27" xfId="67" applyFont="1" applyFill="1" applyBorder="1" applyAlignment="1">
      <alignment horizontal="center" vertical="center" wrapText="1"/>
      <protection/>
    </xf>
    <xf numFmtId="0" fontId="16" fillId="0" borderId="58" xfId="67" applyFont="1" applyFill="1" applyBorder="1" applyAlignment="1">
      <alignment horizontal="center" vertical="center" wrapText="1"/>
      <protection/>
    </xf>
    <xf numFmtId="0" fontId="16" fillId="0" borderId="59" xfId="67" applyFont="1" applyFill="1" applyBorder="1" applyAlignment="1">
      <alignment horizontal="center" vertical="center" wrapText="1"/>
      <protection/>
    </xf>
    <xf numFmtId="0" fontId="16" fillId="0" borderId="82" xfId="67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justify"/>
      <protection/>
    </xf>
    <xf numFmtId="0" fontId="15" fillId="0" borderId="0" xfId="67" applyFont="1" applyFill="1" applyAlignment="1">
      <alignment horizontal="justify"/>
      <protection/>
    </xf>
    <xf numFmtId="0" fontId="16" fillId="0" borderId="76" xfId="67" applyFont="1" applyFill="1" applyBorder="1" applyAlignment="1">
      <alignment horizontal="center" vertical="center" wrapText="1"/>
      <protection/>
    </xf>
    <xf numFmtId="0" fontId="16" fillId="0" borderId="62" xfId="67" applyFont="1" applyFill="1" applyBorder="1" applyAlignment="1">
      <alignment horizontal="center" vertical="center" wrapText="1"/>
      <protection/>
    </xf>
    <xf numFmtId="0" fontId="16" fillId="0" borderId="77" xfId="67" applyFont="1" applyFill="1" applyBorder="1" applyAlignment="1">
      <alignment horizontal="center" vertical="center" wrapText="1"/>
      <protection/>
    </xf>
    <xf numFmtId="0" fontId="63" fillId="0" borderId="162" xfId="66" applyFont="1" applyBorder="1" applyAlignment="1">
      <alignment horizontal="center" vertical="center"/>
      <protection/>
    </xf>
    <xf numFmtId="0" fontId="63" fillId="0" borderId="143" xfId="66" applyFont="1" applyBorder="1" applyAlignment="1">
      <alignment horizontal="center" vertical="center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.a-b melléklet" xfId="56"/>
    <cellStyle name="Normál_2005_zsz_10EM" xfId="57"/>
    <cellStyle name="Normál_2005_zsz_11EPJ" xfId="58"/>
    <cellStyle name="Normál_2005_zsz_12EPM" xfId="59"/>
    <cellStyle name="Normál_2005_zsz_13ERK" xfId="60"/>
    <cellStyle name="Normál_2009.évi" xfId="61"/>
    <cellStyle name="Normál_Céltart.11" xfId="62"/>
    <cellStyle name="Normal_KARSZJ3" xfId="63"/>
    <cellStyle name="Normál_kimutatások" xfId="64"/>
    <cellStyle name="Normál_közvetett tám" xfId="65"/>
    <cellStyle name="Normál_ktgvetés zárszám mellékletei 2" xfId="66"/>
    <cellStyle name="Normál_Mellékletek rendeleti" xfId="67"/>
    <cellStyle name="Normál_Munka1" xfId="68"/>
    <cellStyle name="Normál_végső rend. képv.mód-sal" xfId="69"/>
    <cellStyle name="Normál_zárszámadás2007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95250</xdr:rowOff>
    </xdr:from>
    <xdr:to>
      <xdr:col>13</xdr:col>
      <xdr:colOff>466725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42900" y="85725"/>
          <a:ext cx="9010650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2. kimutatás
</a:t>
          </a:r>
          <a:r>
            <a:rPr lang="en-US" cap="none" sz="1000" b="0" i="0" u="none" baseline="0">
              <a:solidFill>
                <a:srgbClr val="000000"/>
              </a:solidFill>
            </a:rPr>
            <a:t>A normatív állami hozzájárulások, támogatások, a normatív részesedésű átengedett SZJA elszámolása és a mutatószámok, feladatmutatók alakulása a 2011. évben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9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47825" y="0"/>
          <a:ext cx="6838950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melléklet a 10/2012. (IV. 27.) önkormányzati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AZ INTÉZMÉNYEK 2011. ÉVI BEVÉTELEI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2476500</xdr:colOff>
      <xdr:row>0</xdr:row>
      <xdr:rowOff>0</xdr:rowOff>
    </xdr:from>
    <xdr:to>
      <xdr:col>10</xdr:col>
      <xdr:colOff>495300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067050" y="0"/>
          <a:ext cx="5238750" cy="571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 melléklet a 10/2012. (IV. 27.) önkormányzati rendelethez
</a:t>
          </a:r>
          <a:r>
            <a:rPr lang="en-US" cap="none" sz="1000" b="0" i="0" u="none" baseline="0">
              <a:solidFill>
                <a:srgbClr val="000000"/>
              </a:solidFill>
            </a:rPr>
            <a:t>2011. ÉVI KÖLTSÉGVETÉSI KIADÁSOK
</a:t>
          </a:r>
          <a:r>
            <a:rPr lang="en-US" cap="none" sz="10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4</xdr:col>
      <xdr:colOff>361950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6225" y="28575"/>
          <a:ext cx="4914900" cy="428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melléklet a 10/2012. (IV. 27.) önkormányzati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ÉS EGYÉB FELHALMOZÁSI JELLEGŰ KIADÁSOK
</a:t>
          </a:r>
          <a:r>
            <a:rPr lang="en-US" cap="none" sz="700" b="1" i="0" u="none" baseline="0">
              <a:solidFill>
                <a:srgbClr val="000000"/>
              </a:solidFill>
            </a:rPr>
            <a:t>( feladatonként és célonként 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</xdr:row>
      <xdr:rowOff>0</xdr:rowOff>
    </xdr:from>
    <xdr:to>
      <xdr:col>4</xdr:col>
      <xdr:colOff>390525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228850" y="142875"/>
          <a:ext cx="5076825" cy="1009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7. melléklet 
</a:t>
          </a:r>
          <a:r>
            <a:rPr lang="en-US" cap="none" sz="1000" b="0" i="0" u="none" baseline="0">
              <a:solidFill>
                <a:srgbClr val="000000"/>
              </a:solidFill>
            </a:rPr>
            <a:t>a 10/2012. (IV. 27.) önkormányzati rendelethez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2011. ÉVI CÉLTARTALÉKA
</a:t>
          </a:r>
          <a:r>
            <a:rPr lang="en-US" cap="none" sz="10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95250</xdr:rowOff>
    </xdr:from>
    <xdr:to>
      <xdr:col>8</xdr:col>
      <xdr:colOff>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19325" y="95250"/>
          <a:ext cx="7200900" cy="323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8. melléklet az  10 / 2012. (IV. 27. ) önkormányzati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TÖBB ÉVES KIHATÁSSAL JÁRÓ FELADATOK ELŐIRÁNYZATAI ÉVES BONTÁSBAN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142875</xdr:rowOff>
    </xdr:from>
    <xdr:to>
      <xdr:col>7</xdr:col>
      <xdr:colOff>676275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0100" y="142875"/>
          <a:ext cx="8305800" cy="4286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 melléklet az 10/20112. ( IV. 27. ) önkormányzati 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2011. ÉVI EURÓPAI UNIÓS FORRÁS BEVONÁSÁVAL TERVEZETT PROGRAMOK, PROJEKTEK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 számú melléklet a ……/2005.(………)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2005.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  <xdr:twoCellAnchor>
    <xdr:from>
      <xdr:col>1</xdr:col>
      <xdr:colOff>1133475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533525" y="0"/>
          <a:ext cx="2419350" cy="0"/>
        </a:xfrm>
        <a:prstGeom prst="flowChartAlternateProcess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számú melléklet a ……/2004.(………) önk. rendelethez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2004.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0</xdr:row>
      <xdr:rowOff>0</xdr:rowOff>
    </xdr:from>
    <xdr:to>
      <xdr:col>9</xdr:col>
      <xdr:colOff>276225</xdr:colOff>
      <xdr:row>2</xdr:row>
      <xdr:rowOff>57150</xdr:rowOff>
    </xdr:to>
    <xdr:sp>
      <xdr:nvSpPr>
        <xdr:cNvPr id="1" name="Szöveg 1" descr="5%-os"/>
        <xdr:cNvSpPr>
          <a:spLocks/>
        </xdr:cNvSpPr>
      </xdr:nvSpPr>
      <xdr:spPr>
        <a:xfrm>
          <a:off x="2152650" y="0"/>
          <a:ext cx="7591425" cy="3810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10.  melléklet a  10/ 2012. (IV. 27. ) önkormányzati  rendelethez
</a:t>
          </a:r>
          <a:r>
            <a:rPr lang="en-US" cap="none" sz="800" b="0" i="0" u="none" baseline="0">
              <a:solidFill>
                <a:srgbClr val="000000"/>
              </a:solidFill>
            </a:rPr>
            <a:t>Önkormányzati hitelek és nyújtott kölcsönök állománya lejárat, hitelezők/kötelezettek és eszköz részletezettsége szerint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66675</xdr:rowOff>
    </xdr:from>
    <xdr:to>
      <xdr:col>14</xdr:col>
      <xdr:colOff>0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619375" y="66675"/>
          <a:ext cx="5562600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 melléklet a 10/2012. (IV. 27.) önkormányzati rendelethez
</a:t>
          </a:r>
          <a:r>
            <a:rPr lang="en-US" cap="none" sz="1000" b="0" i="0" u="none" baseline="0">
              <a:solidFill>
                <a:srgbClr val="000000"/>
              </a:solidFill>
            </a:rPr>
            <a:t>Intézményi és központosított pénzmaradványok a 2011. évben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0</xdr:row>
      <xdr:rowOff>0</xdr:rowOff>
    </xdr:from>
    <xdr:to>
      <xdr:col>11</xdr:col>
      <xdr:colOff>600075</xdr:colOff>
      <xdr:row>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095500" y="0"/>
          <a:ext cx="6705600" cy="571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12. melléklet a 10/2012. (IV. 27.) önkormányzati rendelethez
</a:t>
          </a:r>
          <a:r>
            <a:rPr lang="en-US" cap="none" sz="1000" b="0" i="0" u="none" baseline="0">
              <a:solidFill>
                <a:srgbClr val="000000"/>
              </a:solidFill>
            </a:rPr>
            <a:t>2011. ÉVI PÉNZMARADVÁNY ÉS AZ ELŐZŐ ÉVBEN KÉPZETT TARTALÉK FELOSZTÁSA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0</xdr:row>
      <xdr:rowOff>133350</xdr:rowOff>
    </xdr:from>
    <xdr:to>
      <xdr:col>4</xdr:col>
      <xdr:colOff>619125</xdr:colOff>
      <xdr:row>5</xdr:row>
      <xdr:rowOff>38100</xdr:rowOff>
    </xdr:to>
    <xdr:sp>
      <xdr:nvSpPr>
        <xdr:cNvPr id="1" name="Szöveg 1" descr="5%-os"/>
        <xdr:cNvSpPr>
          <a:spLocks/>
        </xdr:cNvSpPr>
      </xdr:nvSpPr>
      <xdr:spPr>
        <a:xfrm>
          <a:off x="1495425" y="123825"/>
          <a:ext cx="3562350" cy="6858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13.  melléklet a 10/2012. (IV.  27.) önkormányzati 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MÉRLEG
</a:t>
          </a:r>
          <a:r>
            <a:rPr lang="en-US" cap="none" sz="800" b="1" i="0" u="none" baseline="0">
              <a:solidFill>
                <a:srgbClr val="000000"/>
              </a:solidFill>
            </a:rPr>
            <a:t>2011.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5</xdr:col>
      <xdr:colOff>333375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76200" y="38100"/>
          <a:ext cx="5972175" cy="5429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kimutatás
</a:t>
          </a:r>
          <a:r>
            <a:rPr lang="en-US" cap="none" sz="1000" b="0" i="0" u="none" baseline="0">
              <a:solidFill>
                <a:srgbClr val="000000"/>
              </a:solidFill>
            </a:rPr>
            <a:t>Kimutatás a 2011. évi pénzmaradvány megállapításáról és felhasználásáról, valamint az előző évben képzett tartalék maradványáról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76200</xdr:rowOff>
    </xdr:from>
    <xdr:to>
      <xdr:col>3</xdr:col>
      <xdr:colOff>0</xdr:colOff>
      <xdr:row>3</xdr:row>
      <xdr:rowOff>95250</xdr:rowOff>
    </xdr:to>
    <xdr:sp>
      <xdr:nvSpPr>
        <xdr:cNvPr id="1" name="Szöveg 1" descr="5%-os"/>
        <xdr:cNvSpPr>
          <a:spLocks/>
        </xdr:cNvSpPr>
      </xdr:nvSpPr>
      <xdr:spPr>
        <a:xfrm>
          <a:off x="1333500" y="66675"/>
          <a:ext cx="3714750" cy="504825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14.  melléklet a 10/2012. (IV. 27.) önkormányzati 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ÉVES PÉNZFORGALMI JELENTÉS
</a:t>
          </a:r>
          <a:r>
            <a:rPr lang="en-US" cap="none" sz="800" b="1" i="0" u="none" baseline="0">
              <a:solidFill>
                <a:srgbClr val="000000"/>
              </a:solidFill>
            </a:rPr>
            <a:t>2011.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28575</xdr:rowOff>
    </xdr:from>
    <xdr:to>
      <xdr:col>7</xdr:col>
      <xdr:colOff>76200</xdr:colOff>
      <xdr:row>6</xdr:row>
      <xdr:rowOff>0</xdr:rowOff>
    </xdr:to>
    <xdr:sp>
      <xdr:nvSpPr>
        <xdr:cNvPr id="1" name="Szöveg 1" descr="5%-os"/>
        <xdr:cNvSpPr>
          <a:spLocks/>
        </xdr:cNvSpPr>
      </xdr:nvSpPr>
      <xdr:spPr>
        <a:xfrm>
          <a:off x="542925" y="180975"/>
          <a:ext cx="5114925" cy="771525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15.  melléklet a 10/ 2012. (IV. 27.) önkormányzati  rendelethez
</a:t>
          </a:r>
          <a:r>
            <a:rPr lang="en-US" cap="none" sz="800" b="1" i="0" u="none" baseline="0">
              <a:solidFill>
                <a:srgbClr val="000000"/>
              </a:solidFill>
            </a:rPr>
            <a:t>EGYSZERŰSÍTETT PÉNZMARADVÁNY-KIMUTATÁS
</a:t>
          </a:r>
          <a:r>
            <a:rPr lang="en-US" cap="none" sz="800" b="1" i="0" u="none" baseline="0">
              <a:solidFill>
                <a:srgbClr val="000000"/>
              </a:solidFill>
            </a:rPr>
            <a:t>2011. december 31.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9525</xdr:rowOff>
    </xdr:from>
    <xdr:to>
      <xdr:col>6</xdr:col>
      <xdr:colOff>742950</xdr:colOff>
      <xdr:row>3</xdr:row>
      <xdr:rowOff>152400</xdr:rowOff>
    </xdr:to>
    <xdr:sp>
      <xdr:nvSpPr>
        <xdr:cNvPr id="1" name="Szöveg 1"/>
        <xdr:cNvSpPr>
          <a:spLocks/>
        </xdr:cNvSpPr>
      </xdr:nvSpPr>
      <xdr:spPr>
        <a:xfrm>
          <a:off x="1362075" y="9525"/>
          <a:ext cx="64770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16. melléklet a 10/2012. (IV. 27.) önkormányzati rendelethez
</a:t>
          </a:r>
          <a:r>
            <a:rPr lang="en-US" cap="none" sz="1000" b="1" i="0" u="none" baseline="0">
              <a:solidFill>
                <a:srgbClr val="000000"/>
              </a:solidFill>
            </a:rPr>
            <a:t>EGYSZERŰSÍTETT VÁLLALKOZÁSI MARADVÁNY-KIMUTATÁS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2011. december 31.</a:t>
          </a:r>
        </a:p>
      </xdr:txBody>
    </xdr:sp>
    <xdr:clientData/>
  </xdr:twoCellAnchor>
  <xdr:twoCellAnchor>
    <xdr:from>
      <xdr:col>3</xdr:col>
      <xdr:colOff>381000</xdr:colOff>
      <xdr:row>6</xdr:row>
      <xdr:rowOff>114300</xdr:rowOff>
    </xdr:from>
    <xdr:to>
      <xdr:col>4</xdr:col>
      <xdr:colOff>57150</xdr:colOff>
      <xdr:row>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62525" y="981075"/>
          <a:ext cx="3714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6</xdr:col>
      <xdr:colOff>342900</xdr:colOff>
      <xdr:row>6</xdr:row>
      <xdr:rowOff>76200</xdr:rowOff>
    </xdr:from>
    <xdr:to>
      <xdr:col>7</xdr:col>
      <xdr:colOff>142875</xdr:colOff>
      <xdr:row>7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39025" y="94297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0</xdr:row>
      <xdr:rowOff>19050</xdr:rowOff>
    </xdr:from>
    <xdr:to>
      <xdr:col>4</xdr:col>
      <xdr:colOff>228600</xdr:colOff>
      <xdr:row>2</xdr:row>
      <xdr:rowOff>9525</xdr:rowOff>
    </xdr:to>
    <xdr:sp>
      <xdr:nvSpPr>
        <xdr:cNvPr id="1" name="Szöveg 1" descr="5%-os"/>
        <xdr:cNvSpPr>
          <a:spLocks/>
        </xdr:cNvSpPr>
      </xdr:nvSpPr>
      <xdr:spPr>
        <a:xfrm>
          <a:off x="1990725" y="19050"/>
          <a:ext cx="3400425" cy="304800"/>
        </a:xfrm>
        <a:prstGeom prst="round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17. melléklet a 10/ 2012. (IV. 27.) önkormányzati  rendelethez
</a:t>
          </a:r>
          <a:r>
            <a:rPr lang="en-US" cap="none" sz="800" b="0" i="0" u="none" baseline="0">
              <a:solidFill>
                <a:srgbClr val="000000"/>
              </a:solidFill>
            </a:rPr>
            <a:t>Önkormányzat vagyonkimutatása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0</xdr:rowOff>
    </xdr:from>
    <xdr:to>
      <xdr:col>7</xdr:col>
      <xdr:colOff>790575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42975" y="142875"/>
          <a:ext cx="8610600" cy="1009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18. melléklet a 10/2012. (IV. 27.)  önk rendelethez
</a:t>
          </a:r>
          <a:r>
            <a:rPr lang="en-US" cap="none" sz="10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1000" b="1" i="0" u="none" baseline="0">
              <a:solidFill>
                <a:srgbClr val="000000"/>
              </a:solidFill>
            </a:rPr>
            <a:t>Az Önkományzat adósságot keletkeztető fejlesztési célja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0</xdr:row>
      <xdr:rowOff>47625</xdr:rowOff>
    </xdr:from>
    <xdr:to>
      <xdr:col>8</xdr:col>
      <xdr:colOff>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885950" y="47625"/>
          <a:ext cx="7172325" cy="41910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4. kimutatás
</a:t>
          </a:r>
          <a:r>
            <a:rPr lang="en-US" cap="none" sz="700" b="0" i="0" u="none" baseline="0">
              <a:solidFill>
                <a:srgbClr val="000000"/>
              </a:solidFill>
            </a:rPr>
            <a:t>2011. évi</a:t>
          </a:r>
          <a:r>
            <a:rPr lang="en-US" cap="none" sz="700" b="1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 ÁLTALÁNOS ÉS CÉLTARTALÉKOK alakulása célonkénti bontásban</a:t>
          </a:r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124450" y="8115300"/>
          <a:ext cx="3933825" cy="0"/>
        </a:xfrm>
        <a:prstGeom prst="flowChartAlternate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1. sz. kimutatás
</a:t>
          </a:r>
          <a:r>
            <a:rPr lang="en-US" cap="none" sz="800" b="0" i="0" u="none" baseline="0">
              <a:solidFill>
                <a:srgbClr val="000000"/>
              </a:solidFill>
            </a:rPr>
            <a:t>2004. évi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 ÁLTALÁNOS ÉS CÉLTARTALÉKOK alakulása célonkénti bontásban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0</xdr:row>
      <xdr:rowOff>76200</xdr:rowOff>
    </xdr:from>
    <xdr:to>
      <xdr:col>9</xdr:col>
      <xdr:colOff>561975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124075" y="76200"/>
          <a:ext cx="4829175" cy="4476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1. melléklet a 10/2012 (IV. 27.) önkormányzati rendelethez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2011. évben)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9525</xdr:rowOff>
    </xdr:from>
    <xdr:to>
      <xdr:col>3</xdr:col>
      <xdr:colOff>600075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485900" y="9525"/>
          <a:ext cx="3381375" cy="3429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2./A . melléklet  a 10/2012. (IV. 27.) önkormányzati rendelethez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NÉMET KISEBBSÉGI ÖNKORMÁNYZAT 2011.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9525</xdr:rowOff>
    </xdr:from>
    <xdr:to>
      <xdr:col>3</xdr:col>
      <xdr:colOff>600075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447800" y="9525"/>
          <a:ext cx="3476625" cy="3905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2./C. melléklet  a 10/2012. (IV. 27.) önkormányzati rendelethez 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CIGÁNY KISEBBSÉGI ÖNKORMÁNYZAT 2011.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9525</xdr:rowOff>
    </xdr:from>
    <xdr:to>
      <xdr:col>4</xdr:col>
      <xdr:colOff>95250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800100" y="9525"/>
          <a:ext cx="4352925" cy="371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2./B.  melléklet  a 10/2012.(IV. 27.) önkormányzati rendelehthez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SZLOVÁK KISEBBSÉGI ÖNKORMÁNYZAT 2011. ÉVI KÖLTSÉGVETÉSÉNEK
</a:t>
          </a:r>
          <a:r>
            <a:rPr lang="en-US" cap="none" sz="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9525</xdr:rowOff>
    </xdr:from>
    <xdr:to>
      <xdr:col>3</xdr:col>
      <xdr:colOff>571500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447800" y="9525"/>
          <a:ext cx="3181350" cy="4953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 melléklet  a 10/2012.(IV. 27.) önkormányzati rendelethez 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2011.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ÖSSZEVONT MÉRLEGE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4</xdr:col>
      <xdr:colOff>647700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33475" y="0"/>
          <a:ext cx="3952875" cy="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sz. melléklet a  /2007.(      ) önk. rendelethez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 sz. melléklet az  5/2007. (III.1.) önk.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2007.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BEVÉTELEI ÉS KIADÁSAI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2</xdr:col>
      <xdr:colOff>600075</xdr:colOff>
      <xdr:row>0</xdr:row>
      <xdr:rowOff>47625</xdr:rowOff>
    </xdr:from>
    <xdr:to>
      <xdr:col>4</xdr:col>
      <xdr:colOff>647700</xdr:colOff>
      <xdr:row>3</xdr:row>
      <xdr:rowOff>76200</xdr:rowOff>
    </xdr:to>
    <xdr:sp>
      <xdr:nvSpPr>
        <xdr:cNvPr id="2" name="AutoShape 6"/>
        <xdr:cNvSpPr>
          <a:spLocks/>
        </xdr:cNvSpPr>
      </xdr:nvSpPr>
      <xdr:spPr>
        <a:xfrm>
          <a:off x="1133475" y="47625"/>
          <a:ext cx="3952875" cy="5143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melléklet a 10/2012. (IV. 27.) önkormányzati rendelethez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KISKŐRÖS VÁROS 2011. ÉVI KÖLTSÉGVETÉSÉNEK
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BEVÉTELEI ÉS KIADÁSAI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lnarEva\Dokumentumok\2009\I.%20f&#233;l&#233;vi%20besz&#225;mol&#243;\besz%20f&#233;l&#233;v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lnarEva\Dokumentumok\2009\z&#225;rsz&#225;m\test&#252;let\z&#225;rsz%202009%20m&#243;d%20&#225;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lnarEva\Dokumentumok\2009\z&#225;rsz&#225;m\test&#252;let\z&#225;rsz&#225;m2007.v&#233;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zlovák"/>
      <sheetName val="cigány"/>
      <sheetName val="német"/>
      <sheetName val="2"/>
      <sheetName val="3"/>
      <sheetName val="4"/>
      <sheetName val="5"/>
      <sheetName val="Beruh.,felúj. (6)"/>
      <sheetName val="7"/>
    </sheetNames>
    <sheetDataSet>
      <sheetData sheetId="7">
        <row r="591">
          <cell r="G591">
            <v>0</v>
          </cell>
        </row>
        <row r="592">
          <cell r="D592">
            <v>0</v>
          </cell>
          <cell r="H5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kim.közv tám"/>
      <sheetName val="2.ak"/>
      <sheetName val="2.bk"/>
      <sheetName val="3.k"/>
      <sheetName val="céltart"/>
      <sheetName val="1"/>
      <sheetName val="ném"/>
      <sheetName val="szlo"/>
      <sheetName val="cig"/>
      <sheetName val="2"/>
      <sheetName val="4"/>
      <sheetName val="3"/>
      <sheetName val="5"/>
      <sheetName val="6"/>
      <sheetName val="7"/>
      <sheetName val="8"/>
      <sheetName val="9 G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12"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3">
          <cell r="L13">
            <v>0</v>
          </cell>
        </row>
        <row r="14">
          <cell r="L14">
            <v>0</v>
          </cell>
        </row>
        <row r="17">
          <cell r="K17">
            <v>350</v>
          </cell>
          <cell r="L17">
            <v>0</v>
          </cell>
        </row>
        <row r="18">
          <cell r="K18">
            <v>350</v>
          </cell>
          <cell r="L18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5">
          <cell r="K25">
            <v>150</v>
          </cell>
          <cell r="L25">
            <v>0</v>
          </cell>
        </row>
        <row r="26">
          <cell r="K26">
            <v>150</v>
          </cell>
          <cell r="L26">
            <v>0</v>
          </cell>
        </row>
        <row r="29">
          <cell r="L29">
            <v>0</v>
          </cell>
        </row>
        <row r="30">
          <cell r="L30">
            <v>0</v>
          </cell>
        </row>
        <row r="33">
          <cell r="L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kim"/>
      <sheetName val="2.a ki"/>
      <sheetName val="2.b kim"/>
      <sheetName val="3.kim"/>
      <sheetName val="4 ki"/>
      <sheetName val="Ef.1"/>
      <sheetName val="szlk"/>
      <sheetName val="cig"/>
      <sheetName val="ném"/>
      <sheetName val="össz 2"/>
      <sheetName val="(3)"/>
      <sheetName val="(4)"/>
      <sheetName val="(5)"/>
      <sheetName val="(6)"/>
      <sheetName val="(7)"/>
      <sheetName val="8."/>
      <sheetName val="9."/>
      <sheetName val="10l"/>
      <sheetName val="11."/>
      <sheetName val="12l"/>
      <sheetName val="13.mell"/>
      <sheetName val="14.mell"/>
      <sheetName val="15.mell"/>
      <sheetName val="16.mell"/>
      <sheetName val="17.mell"/>
    </sheetNames>
    <sheetDataSet>
      <sheetData sheetId="12"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687">
          <cell r="G687">
            <v>0</v>
          </cell>
        </row>
        <row r="688">
          <cell r="G6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.75390625" style="1216" customWidth="1"/>
    <col min="2" max="2" width="61.625" style="1217" customWidth="1"/>
    <col min="3" max="3" width="15.25390625" style="1213" customWidth="1"/>
    <col min="4" max="4" width="12.125" style="1213" customWidth="1"/>
    <col min="5" max="16384" width="9.125" style="1163" customWidth="1"/>
  </cols>
  <sheetData>
    <row r="1" spans="1:4" ht="13.5" customHeight="1">
      <c r="A1" s="1790" t="s">
        <v>358</v>
      </c>
      <c r="B1" s="1791"/>
      <c r="C1" s="1798" t="s">
        <v>10</v>
      </c>
      <c r="D1" s="1799"/>
    </row>
    <row r="2" spans="1:4" ht="12.75" customHeight="1">
      <c r="A2" s="1792"/>
      <c r="B2" s="1793"/>
      <c r="C2" s="1164" t="s">
        <v>646</v>
      </c>
      <c r="D2" s="1165" t="s">
        <v>647</v>
      </c>
    </row>
    <row r="3" spans="1:4" ht="25.5">
      <c r="A3" s="1166" t="s">
        <v>648</v>
      </c>
      <c r="B3" s="1167" t="s">
        <v>679</v>
      </c>
      <c r="C3" s="1569">
        <f>C4</f>
        <v>8</v>
      </c>
      <c r="D3" s="1570">
        <f>D4</f>
        <v>325122</v>
      </c>
    </row>
    <row r="4" spans="1:4" ht="12.75">
      <c r="A4" s="1168"/>
      <c r="B4" s="1169" t="s">
        <v>649</v>
      </c>
      <c r="C4" s="1571">
        <v>8</v>
      </c>
      <c r="D4" s="1572">
        <f>325122</f>
        <v>325122</v>
      </c>
    </row>
    <row r="5" spans="1:4" ht="14.25" customHeight="1">
      <c r="A5" s="1166" t="s">
        <v>650</v>
      </c>
      <c r="B5" s="1167" t="s">
        <v>651</v>
      </c>
      <c r="C5" s="1573">
        <v>0</v>
      </c>
      <c r="D5" s="1574">
        <v>0</v>
      </c>
    </row>
    <row r="6" spans="1:4" ht="24">
      <c r="A6" s="1166" t="s">
        <v>652</v>
      </c>
      <c r="B6" s="1170" t="s">
        <v>653</v>
      </c>
      <c r="C6" s="1575">
        <f>C12+C17+C18</f>
        <v>3113</v>
      </c>
      <c r="D6" s="1576">
        <f>D12+D17+D18</f>
        <v>15865182</v>
      </c>
    </row>
    <row r="7" spans="1:4" ht="12.75" customHeight="1">
      <c r="A7" s="1171" t="s">
        <v>312</v>
      </c>
      <c r="B7" s="1172" t="s">
        <v>680</v>
      </c>
      <c r="C7" s="1218"/>
      <c r="D7" s="1219"/>
    </row>
    <row r="8" spans="1:4" ht="12.75" customHeight="1">
      <c r="A8" s="1173"/>
      <c r="B8" s="1174" t="s">
        <v>395</v>
      </c>
      <c r="C8" s="1471">
        <v>5</v>
      </c>
      <c r="D8" s="1472">
        <v>118480</v>
      </c>
    </row>
    <row r="9" spans="1:4" ht="12.75" customHeight="1">
      <c r="A9" s="1173"/>
      <c r="B9" s="1174" t="s">
        <v>654</v>
      </c>
      <c r="C9" s="1471">
        <v>3</v>
      </c>
      <c r="D9" s="1472">
        <v>13000</v>
      </c>
    </row>
    <row r="10" spans="1:4" ht="12.75">
      <c r="A10" s="1173"/>
      <c r="B10" s="1174" t="s">
        <v>543</v>
      </c>
      <c r="C10" s="1471">
        <v>147</v>
      </c>
      <c r="D10" s="1472">
        <v>1485343</v>
      </c>
    </row>
    <row r="11" spans="1:4" ht="12.75">
      <c r="A11" s="1175"/>
      <c r="B11" s="1176" t="s">
        <v>655</v>
      </c>
      <c r="C11" s="1180">
        <v>33</v>
      </c>
      <c r="D11" s="1181">
        <v>272137</v>
      </c>
    </row>
    <row r="12" spans="1:4" ht="15" customHeight="1">
      <c r="A12" s="1177"/>
      <c r="B12" s="1178" t="s">
        <v>656</v>
      </c>
      <c r="C12" s="1473">
        <f>SUM(C8:C11)</f>
        <v>188</v>
      </c>
      <c r="D12" s="1458">
        <f>SUM(D8:D11)</f>
        <v>1888960</v>
      </c>
    </row>
    <row r="13" spans="1:4" ht="13.5">
      <c r="A13" s="1175" t="s">
        <v>314</v>
      </c>
      <c r="B13" s="1172" t="s">
        <v>681</v>
      </c>
      <c r="C13" s="1218"/>
      <c r="D13" s="1219"/>
    </row>
    <row r="14" spans="1:4" ht="12.75">
      <c r="A14" s="1175"/>
      <c r="B14" s="1476" t="s">
        <v>780</v>
      </c>
      <c r="C14" s="1471">
        <v>1060</v>
      </c>
      <c r="D14" s="1472">
        <v>6191461</v>
      </c>
    </row>
    <row r="15" spans="1:4" ht="12.75">
      <c r="A15" s="1175"/>
      <c r="B15" s="1179" t="s">
        <v>657</v>
      </c>
      <c r="C15" s="1180"/>
      <c r="D15" s="1181"/>
    </row>
    <row r="16" spans="1:4" ht="12.75">
      <c r="A16" s="1175"/>
      <c r="B16" s="1176" t="s">
        <v>658</v>
      </c>
      <c r="C16" s="1180">
        <v>1865</v>
      </c>
      <c r="D16" s="1181">
        <v>7784761</v>
      </c>
    </row>
    <row r="17" spans="1:4" ht="12.75">
      <c r="A17" s="1175"/>
      <c r="B17" s="1178" t="s">
        <v>659</v>
      </c>
      <c r="C17" s="1473">
        <f>C14+C16</f>
        <v>2925</v>
      </c>
      <c r="D17" s="1458">
        <f>D14+D16</f>
        <v>13976222</v>
      </c>
    </row>
    <row r="18" spans="1:4" ht="13.5">
      <c r="A18" s="1182" t="s">
        <v>316</v>
      </c>
      <c r="B18" s="1183" t="s">
        <v>682</v>
      </c>
      <c r="C18" s="1474">
        <v>0</v>
      </c>
      <c r="D18" s="1475">
        <v>0</v>
      </c>
    </row>
    <row r="19" spans="1:4" ht="24">
      <c r="A19" s="1184" t="s">
        <v>660</v>
      </c>
      <c r="B19" s="1185" t="s">
        <v>661</v>
      </c>
      <c r="C19" s="1186" t="s">
        <v>662</v>
      </c>
      <c r="D19" s="1187" t="s">
        <v>647</v>
      </c>
    </row>
    <row r="20" spans="1:4" ht="12" customHeight="1">
      <c r="A20" s="1175" t="s">
        <v>312</v>
      </c>
      <c r="B20" s="1188" t="s">
        <v>683</v>
      </c>
      <c r="C20" s="1189" t="s">
        <v>465</v>
      </c>
      <c r="D20" s="1190" t="s">
        <v>465</v>
      </c>
    </row>
    <row r="21" spans="1:4" ht="12.75">
      <c r="A21" s="1175"/>
      <c r="B21" s="1191" t="s">
        <v>663</v>
      </c>
      <c r="C21" s="1189">
        <v>540</v>
      </c>
      <c r="D21" s="1190">
        <v>3888000</v>
      </c>
    </row>
    <row r="22" spans="1:4" ht="12.75">
      <c r="A22" s="1175"/>
      <c r="B22" s="1191" t="s">
        <v>664</v>
      </c>
      <c r="C22" s="1189">
        <v>200</v>
      </c>
      <c r="D22" s="1190">
        <v>720000</v>
      </c>
    </row>
    <row r="23" spans="1:4" ht="12.75">
      <c r="A23" s="1175"/>
      <c r="B23" s="1191" t="s">
        <v>665</v>
      </c>
      <c r="C23" s="1189">
        <v>300</v>
      </c>
      <c r="D23" s="1190">
        <v>1620000</v>
      </c>
    </row>
    <row r="24" spans="1:4" ht="12.75">
      <c r="A24" s="1175"/>
      <c r="B24" s="1191" t="s">
        <v>666</v>
      </c>
      <c r="C24" s="1189">
        <v>180</v>
      </c>
      <c r="D24" s="1190">
        <v>972000</v>
      </c>
    </row>
    <row r="25" spans="1:5" ht="12.75">
      <c r="A25" s="1175"/>
      <c r="B25" s="1191" t="s">
        <v>667</v>
      </c>
      <c r="C25" s="1189">
        <v>40</v>
      </c>
      <c r="D25" s="1190">
        <v>216000</v>
      </c>
      <c r="E25" s="1192" t="s">
        <v>465</v>
      </c>
    </row>
    <row r="26" spans="1:4" ht="13.5">
      <c r="A26" s="1175" t="s">
        <v>314</v>
      </c>
      <c r="B26" s="1188" t="s">
        <v>684</v>
      </c>
      <c r="C26" s="1180">
        <v>1200</v>
      </c>
      <c r="D26" s="1181">
        <v>4800000</v>
      </c>
    </row>
    <row r="27" spans="1:4" ht="13.5">
      <c r="A27" s="1193" t="s">
        <v>316</v>
      </c>
      <c r="B27" s="1194" t="s">
        <v>685</v>
      </c>
      <c r="C27" s="1455">
        <v>1200</v>
      </c>
      <c r="D27" s="1456">
        <v>4500000</v>
      </c>
    </row>
    <row r="28" spans="1:4" ht="12.75">
      <c r="A28" s="1195"/>
      <c r="B28" s="1178" t="s">
        <v>668</v>
      </c>
      <c r="C28" s="1457">
        <f>SUM(C21:C27)</f>
        <v>3660</v>
      </c>
      <c r="D28" s="1458">
        <f>SUM(D21:D27)</f>
        <v>16716000</v>
      </c>
    </row>
    <row r="29" spans="1:4" ht="15.75" customHeight="1">
      <c r="A29" s="1166" t="s">
        <v>669</v>
      </c>
      <c r="B29" s="1170" t="s">
        <v>670</v>
      </c>
      <c r="C29" s="1196" t="s">
        <v>671</v>
      </c>
      <c r="D29" s="1197" t="s">
        <v>647</v>
      </c>
    </row>
    <row r="30" spans="1:4" ht="15.75" customHeight="1">
      <c r="A30" s="1198" t="s">
        <v>312</v>
      </c>
      <c r="B30" s="1199" t="s">
        <v>686</v>
      </c>
      <c r="C30" s="1200"/>
      <c r="D30" s="1201"/>
    </row>
    <row r="31" spans="1:4" ht="15.75" customHeight="1">
      <c r="A31" s="1202" t="s">
        <v>465</v>
      </c>
      <c r="B31" s="1203" t="s">
        <v>672</v>
      </c>
      <c r="C31" s="1222">
        <v>10013</v>
      </c>
      <c r="D31" s="1223">
        <v>2503250</v>
      </c>
    </row>
    <row r="32" spans="1:4" ht="15.75" customHeight="1">
      <c r="A32" s="1204" t="s">
        <v>465</v>
      </c>
      <c r="B32" s="1205" t="s">
        <v>673</v>
      </c>
      <c r="C32" s="1224">
        <v>8964</v>
      </c>
      <c r="D32" s="1225">
        <v>4482000</v>
      </c>
    </row>
    <row r="33" spans="1:4" ht="13.5" customHeight="1">
      <c r="A33" s="1193" t="s">
        <v>314</v>
      </c>
      <c r="B33" s="1206" t="s">
        <v>687</v>
      </c>
      <c r="C33" s="1207">
        <v>85</v>
      </c>
      <c r="D33" s="1208">
        <v>1295575</v>
      </c>
    </row>
    <row r="34" spans="1:4" ht="14.25" customHeight="1">
      <c r="A34" s="1204" t="s">
        <v>316</v>
      </c>
      <c r="B34" s="1206" t="s">
        <v>674</v>
      </c>
      <c r="C34" s="1220"/>
      <c r="D34" s="1221"/>
    </row>
    <row r="35" spans="1:4" ht="12" customHeight="1">
      <c r="A35" s="1204"/>
      <c r="B35" s="1205" t="s">
        <v>675</v>
      </c>
      <c r="C35" s="1564">
        <v>678</v>
      </c>
      <c r="D35" s="1565">
        <f>C35*250</f>
        <v>169500</v>
      </c>
    </row>
    <row r="36" spans="1:4" ht="12" customHeight="1">
      <c r="A36" s="1204"/>
      <c r="B36" s="1205" t="s">
        <v>676</v>
      </c>
      <c r="C36" s="1564">
        <v>1614</v>
      </c>
      <c r="D36" s="1565">
        <f>C36*500</f>
        <v>807000</v>
      </c>
    </row>
    <row r="37" spans="1:4" ht="12.75" customHeight="1">
      <c r="A37" s="1209"/>
      <c r="B37" s="1210" t="s">
        <v>668</v>
      </c>
      <c r="C37" s="1566">
        <f>C31+C32+C33+C35+C36</f>
        <v>21354</v>
      </c>
      <c r="D37" s="1783">
        <f>D31+D32+D33+D35+D36</f>
        <v>9257325</v>
      </c>
    </row>
    <row r="38" spans="1:4" ht="13.5" thickBot="1">
      <c r="A38" s="1796" t="s">
        <v>677</v>
      </c>
      <c r="B38" s="1797"/>
      <c r="C38" s="1567">
        <f>C3+C5+C6+C28+C37</f>
        <v>28135</v>
      </c>
      <c r="D38" s="1568">
        <f>D3+D5+D6+D28+D37</f>
        <v>42163629</v>
      </c>
    </row>
    <row r="39" spans="1:2" ht="13.5" customHeight="1">
      <c r="A39" s="1211" t="s">
        <v>678</v>
      </c>
      <c r="B39" s="1212"/>
    </row>
    <row r="40" spans="1:4" ht="24" customHeight="1">
      <c r="A40" s="1802" t="s">
        <v>279</v>
      </c>
      <c r="B40" s="1803"/>
      <c r="C40" s="1803"/>
      <c r="D40" s="1803"/>
    </row>
    <row r="41" spans="1:5" ht="13.5" customHeight="1">
      <c r="A41" s="1794" t="s">
        <v>688</v>
      </c>
      <c r="B41" s="1795"/>
      <c r="C41" s="1795"/>
      <c r="D41" s="1795"/>
      <c r="E41" s="1214"/>
    </row>
    <row r="42" spans="1:5" ht="22.5" customHeight="1">
      <c r="A42" s="1794" t="s">
        <v>689</v>
      </c>
      <c r="B42" s="1795"/>
      <c r="C42" s="1795"/>
      <c r="D42" s="1795"/>
      <c r="E42" s="1214"/>
    </row>
    <row r="43" spans="1:5" ht="21.75" customHeight="1">
      <c r="A43" s="1794" t="s">
        <v>690</v>
      </c>
      <c r="B43" s="1795"/>
      <c r="C43" s="1795"/>
      <c r="D43" s="1795"/>
      <c r="E43" s="1215"/>
    </row>
    <row r="44" spans="1:5" ht="23.25" customHeight="1">
      <c r="A44" s="1794" t="s">
        <v>280</v>
      </c>
      <c r="B44" s="1795"/>
      <c r="C44" s="1795"/>
      <c r="D44" s="1795"/>
      <c r="E44" s="1214"/>
    </row>
    <row r="45" spans="1:5" ht="12" customHeight="1">
      <c r="A45" s="1794" t="s">
        <v>691</v>
      </c>
      <c r="B45" s="1800"/>
      <c r="C45" s="1800"/>
      <c r="D45" s="1800"/>
      <c r="E45" s="1214"/>
    </row>
    <row r="46" spans="1:4" ht="12" customHeight="1">
      <c r="A46" s="1794" t="s">
        <v>692</v>
      </c>
      <c r="B46" s="1795"/>
      <c r="C46" s="1795"/>
      <c r="D46" s="1795"/>
    </row>
    <row r="47" spans="1:4" ht="0.75" customHeight="1" hidden="1">
      <c r="A47" s="1795"/>
      <c r="B47" s="1795"/>
      <c r="C47" s="1795"/>
      <c r="D47" s="1795"/>
    </row>
    <row r="48" spans="1:4" ht="12.75" customHeight="1">
      <c r="A48" s="1794" t="s">
        <v>693</v>
      </c>
      <c r="B48" s="1801"/>
      <c r="C48" s="1801"/>
      <c r="D48" s="1801"/>
    </row>
  </sheetData>
  <sheetProtection/>
  <mergeCells count="11">
    <mergeCell ref="A45:D45"/>
    <mergeCell ref="A48:D48"/>
    <mergeCell ref="A40:D40"/>
    <mergeCell ref="A46:D47"/>
    <mergeCell ref="A1:B2"/>
    <mergeCell ref="A41:D41"/>
    <mergeCell ref="A43:D43"/>
    <mergeCell ref="A44:D44"/>
    <mergeCell ref="A38:B38"/>
    <mergeCell ref="A42:D42"/>
    <mergeCell ref="C1:D1"/>
  </mergeCells>
  <printOptions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  <headerFooter alignWithMargins="0">
    <oddHeader>&amp;C1. kimutatás: Az önkormányzat közvetett támogatásai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8"/>
  <sheetViews>
    <sheetView zoomScaleSheetLayoutView="100" zoomScalePageLayoutView="0" workbookViewId="0" topLeftCell="A1">
      <selection activeCell="J8" sqref="J8"/>
    </sheetView>
  </sheetViews>
  <sheetFormatPr defaultColWidth="9.00390625" defaultRowHeight="12" customHeight="1"/>
  <cols>
    <col min="1" max="1" width="3.125" style="40" customWidth="1"/>
    <col min="2" max="2" width="3.875" style="40" customWidth="1"/>
    <col min="3" max="3" width="41.00390625" style="230" customWidth="1"/>
    <col min="4" max="4" width="10.25390625" style="127" customWidth="1"/>
    <col min="5" max="5" width="10.75390625" style="127" customWidth="1"/>
    <col min="6" max="6" width="12.75390625" style="127" customWidth="1"/>
    <col min="7" max="16384" width="9.125" style="41" customWidth="1"/>
  </cols>
  <sheetData>
    <row r="1" spans="1:6" ht="12" customHeight="1">
      <c r="A1" s="52"/>
      <c r="B1" s="52"/>
      <c r="C1" s="219"/>
      <c r="D1" s="116"/>
      <c r="E1" s="116"/>
      <c r="F1" s="116"/>
    </row>
    <row r="2" spans="1:6" ht="12" customHeight="1">
      <c r="A2" s="52"/>
      <c r="B2" s="52"/>
      <c r="C2" s="219"/>
      <c r="D2" s="116"/>
      <c r="E2" s="116"/>
      <c r="F2" s="116"/>
    </row>
    <row r="3" spans="1:6" ht="14.25" customHeight="1">
      <c r="A3" s="52"/>
      <c r="B3" s="52"/>
      <c r="C3" s="219"/>
      <c r="D3" s="116"/>
      <c r="E3" s="116"/>
      <c r="F3" s="116"/>
    </row>
    <row r="4" spans="1:6" ht="9.75" customHeight="1">
      <c r="A4" s="52"/>
      <c r="B4" s="52"/>
      <c r="C4" s="219"/>
      <c r="D4" s="116"/>
      <c r="E4" s="116"/>
      <c r="F4" s="116"/>
    </row>
    <row r="5" spans="1:6" ht="13.5" customHeight="1" thickBot="1">
      <c r="A5" s="99"/>
      <c r="B5" s="99"/>
      <c r="C5" s="220"/>
      <c r="D5" s="117"/>
      <c r="E5" s="117"/>
      <c r="F5" s="117" t="s">
        <v>297</v>
      </c>
    </row>
    <row r="6" spans="1:6" ht="14.25" customHeight="1">
      <c r="A6" s="1979" t="s">
        <v>383</v>
      </c>
      <c r="B6" s="1980"/>
      <c r="C6" s="1980"/>
      <c r="D6" s="54" t="s">
        <v>359</v>
      </c>
      <c r="E6" s="54" t="s">
        <v>360</v>
      </c>
      <c r="F6" s="1983" t="s">
        <v>311</v>
      </c>
    </row>
    <row r="7" spans="1:6" ht="12" customHeight="1" thickBot="1">
      <c r="A7" s="1981"/>
      <c r="B7" s="1982"/>
      <c r="C7" s="1982"/>
      <c r="D7" s="217" t="s">
        <v>362</v>
      </c>
      <c r="E7" s="217" t="s">
        <v>362</v>
      </c>
      <c r="F7" s="1984"/>
    </row>
    <row r="8" spans="1:6" ht="21" customHeight="1" thickBot="1">
      <c r="A8" s="1973" t="s">
        <v>384</v>
      </c>
      <c r="B8" s="1974"/>
      <c r="C8" s="1974"/>
      <c r="D8" s="1974"/>
      <c r="E8" s="1974"/>
      <c r="F8" s="1975"/>
    </row>
    <row r="9" spans="1:6" s="46" customFormat="1" ht="12" customHeight="1">
      <c r="A9" s="44" t="s">
        <v>385</v>
      </c>
      <c r="B9" s="45"/>
      <c r="C9" s="221" t="s">
        <v>386</v>
      </c>
      <c r="D9" s="119"/>
      <c r="E9" s="119"/>
      <c r="F9" s="120"/>
    </row>
    <row r="10" spans="1:6" ht="6.75" customHeight="1">
      <c r="A10" s="42"/>
      <c r="B10" s="43"/>
      <c r="C10" s="222"/>
      <c r="D10" s="121"/>
      <c r="E10" s="121"/>
      <c r="F10" s="122"/>
    </row>
    <row r="11" spans="1:6" ht="10.5" customHeight="1">
      <c r="A11" s="42"/>
      <c r="B11" s="43" t="s">
        <v>312</v>
      </c>
      <c r="C11" s="413" t="s">
        <v>387</v>
      </c>
      <c r="D11" s="414"/>
      <c r="E11" s="414"/>
      <c r="F11" s="132"/>
    </row>
    <row r="12" spans="1:6" ht="10.5" customHeight="1">
      <c r="A12" s="42"/>
      <c r="B12" s="43"/>
      <c r="C12" s="287" t="s">
        <v>623</v>
      </c>
      <c r="D12" s="345">
        <f>'4 '!C36</f>
        <v>38466</v>
      </c>
      <c r="E12" s="345">
        <f>'4 '!H36</f>
        <v>0</v>
      </c>
      <c r="F12" s="357">
        <f>E12+D12</f>
        <v>38466</v>
      </c>
    </row>
    <row r="13" spans="1:6" ht="10.5" customHeight="1">
      <c r="A13" s="42"/>
      <c r="B13" s="43"/>
      <c r="C13" s="287" t="s">
        <v>624</v>
      </c>
      <c r="D13" s="345">
        <f>'4 '!C37+'4 '!E37-'4 '!F37+'4 '!G37</f>
        <v>65059</v>
      </c>
      <c r="E13" s="345">
        <f>'4 '!H37</f>
        <v>0</v>
      </c>
      <c r="F13" s="357">
        <f aca="true" t="shared" si="0" ref="F13:F21">E13+D13</f>
        <v>65059</v>
      </c>
    </row>
    <row r="14" spans="1:6" ht="10.5" customHeight="1">
      <c r="A14" s="42"/>
      <c r="B14" s="43"/>
      <c r="C14" s="299" t="s">
        <v>625</v>
      </c>
      <c r="D14" s="345">
        <f>'4 '!C38+'4 '!G38</f>
        <v>35948</v>
      </c>
      <c r="E14" s="345">
        <f>'4 '!H38</f>
        <v>0</v>
      </c>
      <c r="F14" s="357">
        <f t="shared" si="0"/>
        <v>35948</v>
      </c>
    </row>
    <row r="15" spans="1:6" ht="10.5" customHeight="1">
      <c r="A15" s="42"/>
      <c r="B15" s="43" t="s">
        <v>314</v>
      </c>
      <c r="C15" s="223" t="s">
        <v>630</v>
      </c>
      <c r="D15" s="345"/>
      <c r="E15" s="345"/>
      <c r="F15" s="357"/>
    </row>
    <row r="16" spans="1:6" ht="10.5" customHeight="1">
      <c r="A16" s="42"/>
      <c r="B16" s="43"/>
      <c r="C16" s="287" t="s">
        <v>623</v>
      </c>
      <c r="D16" s="345">
        <f>'4 '!E36</f>
        <v>33660</v>
      </c>
      <c r="E16" s="345">
        <v>0</v>
      </c>
      <c r="F16" s="357">
        <f t="shared" si="0"/>
        <v>33660</v>
      </c>
    </row>
    <row r="17" spans="1:6" ht="10.5" customHeight="1">
      <c r="A17" s="42"/>
      <c r="B17" s="43"/>
      <c r="C17" s="287" t="s">
        <v>624</v>
      </c>
      <c r="D17" s="345">
        <f>'4 '!F37</f>
        <v>32650</v>
      </c>
      <c r="E17" s="345">
        <f>'4 '!D37</f>
        <v>400</v>
      </c>
      <c r="F17" s="357">
        <f t="shared" si="0"/>
        <v>33050</v>
      </c>
    </row>
    <row r="18" spans="1:6" ht="10.5" customHeight="1">
      <c r="A18" s="42"/>
      <c r="B18" s="43"/>
      <c r="C18" s="299" t="s">
        <v>625</v>
      </c>
      <c r="D18" s="345">
        <f>'4 '!E38</f>
        <v>64683</v>
      </c>
      <c r="E18" s="345">
        <f>'4 '!D38</f>
        <v>400</v>
      </c>
      <c r="F18" s="357">
        <f t="shared" si="0"/>
        <v>65083</v>
      </c>
    </row>
    <row r="19" spans="1:6" ht="10.5" customHeight="1">
      <c r="A19" s="42"/>
      <c r="B19" s="43" t="s">
        <v>316</v>
      </c>
      <c r="C19" s="222" t="s">
        <v>555</v>
      </c>
      <c r="D19" s="345"/>
      <c r="E19" s="345"/>
      <c r="F19" s="357"/>
    </row>
    <row r="20" spans="1:6" ht="10.5" customHeight="1">
      <c r="A20" s="42"/>
      <c r="B20" s="43"/>
      <c r="C20" s="287" t="s">
        <v>623</v>
      </c>
      <c r="D20" s="345">
        <f>'4 '!J36</f>
        <v>0</v>
      </c>
      <c r="E20" s="345">
        <f>'4 '!K36</f>
        <v>0</v>
      </c>
      <c r="F20" s="357">
        <f t="shared" si="0"/>
        <v>0</v>
      </c>
    </row>
    <row r="21" spans="1:6" ht="10.5" customHeight="1">
      <c r="A21" s="42"/>
      <c r="B21" s="43"/>
      <c r="C21" s="287" t="s">
        <v>624</v>
      </c>
      <c r="D21" s="345">
        <f>'4 '!J37</f>
        <v>11946</v>
      </c>
      <c r="E21" s="345">
        <f>'4 '!K37</f>
        <v>225</v>
      </c>
      <c r="F21" s="357">
        <f t="shared" si="0"/>
        <v>12171</v>
      </c>
    </row>
    <row r="22" spans="1:6" ht="10.5" customHeight="1">
      <c r="A22" s="42"/>
      <c r="B22" s="43"/>
      <c r="C22" s="299" t="s">
        <v>625</v>
      </c>
      <c r="D22" s="114">
        <f>'4 '!J38</f>
        <v>11892</v>
      </c>
      <c r="E22" s="114">
        <f>'4 '!K38</f>
        <v>225</v>
      </c>
      <c r="F22" s="128">
        <f>D22+E22</f>
        <v>12117</v>
      </c>
    </row>
    <row r="23" spans="1:6" ht="10.5" customHeight="1">
      <c r="A23" s="42"/>
      <c r="B23" s="43" t="s">
        <v>318</v>
      </c>
      <c r="C23" s="627" t="s">
        <v>1241</v>
      </c>
      <c r="D23" s="345"/>
      <c r="E23" s="345"/>
      <c r="F23" s="346"/>
    </row>
    <row r="24" spans="1:6" ht="10.5" customHeight="1">
      <c r="A24" s="42"/>
      <c r="B24" s="43"/>
      <c r="C24" s="287" t="s">
        <v>623</v>
      </c>
      <c r="D24" s="345">
        <v>0</v>
      </c>
      <c r="E24" s="345">
        <v>0</v>
      </c>
      <c r="F24" s="346">
        <v>0</v>
      </c>
    </row>
    <row r="25" spans="1:6" ht="10.5" customHeight="1">
      <c r="A25" s="42"/>
      <c r="B25" s="43"/>
      <c r="C25" s="287" t="s">
        <v>624</v>
      </c>
      <c r="D25" s="345">
        <v>399707</v>
      </c>
      <c r="E25" s="345">
        <v>0</v>
      </c>
      <c r="F25" s="346">
        <f>D25</f>
        <v>399707</v>
      </c>
    </row>
    <row r="26" spans="1:6" ht="10.5" customHeight="1" thickBot="1">
      <c r="A26" s="42"/>
      <c r="B26" s="43"/>
      <c r="C26" s="299" t="s">
        <v>625</v>
      </c>
      <c r="D26" s="114">
        <f>'4 '!I38</f>
        <v>399707</v>
      </c>
      <c r="E26" s="114">
        <v>0</v>
      </c>
      <c r="F26" s="128">
        <f>D26</f>
        <v>399707</v>
      </c>
    </row>
    <row r="27" spans="1:6" s="49" customFormat="1" ht="12" customHeight="1" thickBot="1" thickTop="1">
      <c r="A27" s="47"/>
      <c r="B27" s="48"/>
      <c r="C27" s="224" t="s">
        <v>361</v>
      </c>
      <c r="D27" s="115"/>
      <c r="E27" s="115"/>
      <c r="F27" s="129"/>
    </row>
    <row r="28" spans="1:6" s="49" customFormat="1" ht="12" customHeight="1" thickTop="1">
      <c r="A28" s="359"/>
      <c r="B28" s="384"/>
      <c r="C28" s="353" t="s">
        <v>623</v>
      </c>
      <c r="D28" s="355">
        <f aca="true" t="shared" si="1" ref="D28:E30">D12+D16+D20</f>
        <v>72126</v>
      </c>
      <c r="E28" s="355">
        <f t="shared" si="1"/>
        <v>0</v>
      </c>
      <c r="F28" s="382">
        <f>D28+E28</f>
        <v>72126</v>
      </c>
    </row>
    <row r="29" spans="1:6" s="49" customFormat="1" ht="12" customHeight="1">
      <c r="A29" s="50"/>
      <c r="B29" s="51"/>
      <c r="C29" s="287" t="s">
        <v>624</v>
      </c>
      <c r="D29" s="349">
        <f>D13+D17+D21+D25</f>
        <v>509362</v>
      </c>
      <c r="E29" s="349">
        <f t="shared" si="1"/>
        <v>625</v>
      </c>
      <c r="F29" s="357">
        <f>E29+D29</f>
        <v>509987</v>
      </c>
    </row>
    <row r="30" spans="1:6" s="49" customFormat="1" ht="12" customHeight="1" thickBot="1">
      <c r="A30" s="385"/>
      <c r="B30" s="386"/>
      <c r="C30" s="354" t="s">
        <v>625</v>
      </c>
      <c r="D30" s="351">
        <f>D14+D18+D22+D26</f>
        <v>512230</v>
      </c>
      <c r="E30" s="351">
        <f t="shared" si="1"/>
        <v>625</v>
      </c>
      <c r="F30" s="383">
        <f>E30+D30</f>
        <v>512855</v>
      </c>
    </row>
    <row r="31" spans="1:6" ht="7.5" customHeight="1" thickTop="1">
      <c r="A31" s="42"/>
      <c r="B31" s="43"/>
      <c r="C31" s="222"/>
      <c r="D31" s="121"/>
      <c r="E31" s="121"/>
      <c r="F31" s="122"/>
    </row>
    <row r="32" spans="1:6" s="46" customFormat="1" ht="12" customHeight="1">
      <c r="A32" s="44" t="s">
        <v>388</v>
      </c>
      <c r="B32" s="45"/>
      <c r="C32" s="221" t="s">
        <v>389</v>
      </c>
      <c r="D32" s="119"/>
      <c r="E32" s="119"/>
      <c r="F32" s="123"/>
    </row>
    <row r="33" spans="1:6" ht="6.75" customHeight="1">
      <c r="A33" s="42"/>
      <c r="B33" s="43"/>
      <c r="C33" s="222"/>
      <c r="D33" s="121"/>
      <c r="E33" s="121"/>
      <c r="F33" s="122"/>
    </row>
    <row r="34" spans="1:6" s="49" customFormat="1" ht="12" customHeight="1">
      <c r="A34" s="50" t="s">
        <v>312</v>
      </c>
      <c r="B34" s="51"/>
      <c r="C34" s="225" t="s">
        <v>723</v>
      </c>
      <c r="D34" s="124"/>
      <c r="E34" s="124"/>
      <c r="F34" s="125"/>
    </row>
    <row r="35" spans="1:6" s="49" customFormat="1" ht="9.75" customHeight="1">
      <c r="A35" s="50"/>
      <c r="B35" s="1346" t="s">
        <v>312</v>
      </c>
      <c r="C35" s="347" t="s">
        <v>724</v>
      </c>
      <c r="D35" s="407"/>
      <c r="E35" s="407"/>
      <c r="F35" s="683"/>
    </row>
    <row r="36" spans="1:6" s="49" customFormat="1" ht="9.75" customHeight="1">
      <c r="A36" s="50"/>
      <c r="B36" s="1346"/>
      <c r="C36" s="287" t="s">
        <v>623</v>
      </c>
      <c r="D36" s="407">
        <v>11500</v>
      </c>
      <c r="E36" s="407"/>
      <c r="F36" s="683">
        <f>D36+E36</f>
        <v>11500</v>
      </c>
    </row>
    <row r="37" spans="1:6" s="49" customFormat="1" ht="9.75" customHeight="1">
      <c r="A37" s="50"/>
      <c r="B37" s="1346"/>
      <c r="C37" s="287" t="s">
        <v>624</v>
      </c>
      <c r="D37" s="407">
        <v>12000</v>
      </c>
      <c r="E37" s="407"/>
      <c r="F37" s="683">
        <f aca="true" t="shared" si="2" ref="F37:F54">D37+E37</f>
        <v>12000</v>
      </c>
    </row>
    <row r="38" spans="1:6" s="49" customFormat="1" ht="9.75" customHeight="1">
      <c r="A38" s="50"/>
      <c r="B38" s="1346"/>
      <c r="C38" s="287" t="s">
        <v>625</v>
      </c>
      <c r="D38" s="407">
        <f>1841-1300+70+13516-670</f>
        <v>13457</v>
      </c>
      <c r="E38" s="407"/>
      <c r="F38" s="683">
        <f t="shared" si="2"/>
        <v>13457</v>
      </c>
    </row>
    <row r="39" spans="1:6" s="49" customFormat="1" ht="9.75" customHeight="1">
      <c r="A39" s="50"/>
      <c r="B39" s="1346" t="s">
        <v>314</v>
      </c>
      <c r="C39" s="347" t="s">
        <v>533</v>
      </c>
      <c r="D39" s="407"/>
      <c r="E39" s="407"/>
      <c r="F39" s="683"/>
    </row>
    <row r="40" spans="1:6" s="49" customFormat="1" ht="9.75" customHeight="1">
      <c r="A40" s="50"/>
      <c r="B40" s="1346"/>
      <c r="C40" s="287" t="s">
        <v>623</v>
      </c>
      <c r="D40" s="407">
        <v>500</v>
      </c>
      <c r="E40" s="407"/>
      <c r="F40" s="683">
        <f t="shared" si="2"/>
        <v>500</v>
      </c>
    </row>
    <row r="41" spans="1:6" s="49" customFormat="1" ht="9.75" customHeight="1">
      <c r="A41" s="50"/>
      <c r="B41" s="1346"/>
      <c r="C41" s="287" t="s">
        <v>624</v>
      </c>
      <c r="D41" s="407">
        <v>500</v>
      </c>
      <c r="E41" s="407"/>
      <c r="F41" s="683">
        <f t="shared" si="2"/>
        <v>500</v>
      </c>
    </row>
    <row r="42" spans="1:6" s="49" customFormat="1" ht="9.75" customHeight="1">
      <c r="A42" s="50"/>
      <c r="B42" s="1346"/>
      <c r="C42" s="287" t="s">
        <v>625</v>
      </c>
      <c r="D42" s="407">
        <v>0</v>
      </c>
      <c r="E42" s="407"/>
      <c r="F42" s="683">
        <f t="shared" si="2"/>
        <v>0</v>
      </c>
    </row>
    <row r="43" spans="1:6" s="49" customFormat="1" ht="9.75" customHeight="1">
      <c r="A43" s="50"/>
      <c r="B43" s="1346" t="s">
        <v>316</v>
      </c>
      <c r="C43" s="347" t="s">
        <v>407</v>
      </c>
      <c r="D43" s="407"/>
      <c r="E43" s="407"/>
      <c r="F43" s="683"/>
    </row>
    <row r="44" spans="1:6" s="49" customFormat="1" ht="9.75" customHeight="1">
      <c r="A44" s="50"/>
      <c r="B44" s="1346"/>
      <c r="C44" s="287" t="s">
        <v>623</v>
      </c>
      <c r="D44" s="407">
        <v>300</v>
      </c>
      <c r="E44" s="407"/>
      <c r="F44" s="683">
        <f t="shared" si="2"/>
        <v>300</v>
      </c>
    </row>
    <row r="45" spans="1:6" s="49" customFormat="1" ht="9.75" customHeight="1">
      <c r="A45" s="50"/>
      <c r="B45" s="1346"/>
      <c r="C45" s="287" t="s">
        <v>624</v>
      </c>
      <c r="D45" s="407">
        <v>526</v>
      </c>
      <c r="E45" s="407"/>
      <c r="F45" s="683">
        <f t="shared" si="2"/>
        <v>526</v>
      </c>
    </row>
    <row r="46" spans="1:6" s="49" customFormat="1" ht="9.75" customHeight="1">
      <c r="A46" s="50"/>
      <c r="B46" s="1346"/>
      <c r="C46" s="287" t="s">
        <v>625</v>
      </c>
      <c r="D46" s="407">
        <v>524</v>
      </c>
      <c r="E46" s="407"/>
      <c r="F46" s="683">
        <f t="shared" si="2"/>
        <v>524</v>
      </c>
    </row>
    <row r="47" spans="1:6" s="49" customFormat="1" ht="9.75" customHeight="1">
      <c r="A47" s="50"/>
      <c r="B47" s="1346" t="s">
        <v>318</v>
      </c>
      <c r="C47" s="347" t="s">
        <v>725</v>
      </c>
      <c r="D47" s="407"/>
      <c r="E47" s="407"/>
      <c r="F47" s="683"/>
    </row>
    <row r="48" spans="1:6" s="49" customFormat="1" ht="9.75" customHeight="1">
      <c r="A48" s="50"/>
      <c r="B48" s="1346"/>
      <c r="C48" s="287" t="s">
        <v>623</v>
      </c>
      <c r="D48" s="407">
        <v>1738</v>
      </c>
      <c r="E48" s="407"/>
      <c r="F48" s="683">
        <f t="shared" si="2"/>
        <v>1738</v>
      </c>
    </row>
    <row r="49" spans="1:6" s="49" customFormat="1" ht="9.75" customHeight="1">
      <c r="A49" s="50"/>
      <c r="B49" s="1346"/>
      <c r="C49" s="287" t="s">
        <v>624</v>
      </c>
      <c r="D49" s="407">
        <v>1738</v>
      </c>
      <c r="E49" s="407"/>
      <c r="F49" s="683">
        <f t="shared" si="2"/>
        <v>1738</v>
      </c>
    </row>
    <row r="50" spans="1:6" s="49" customFormat="1" ht="9.75" customHeight="1">
      <c r="A50" s="50"/>
      <c r="B50" s="1346"/>
      <c r="C50" s="287" t="s">
        <v>625</v>
      </c>
      <c r="D50" s="407">
        <f>305+348+101+200+254+92</f>
        <v>1300</v>
      </c>
      <c r="E50" s="407"/>
      <c r="F50" s="683">
        <f t="shared" si="2"/>
        <v>1300</v>
      </c>
    </row>
    <row r="51" spans="1:6" s="49" customFormat="1" ht="9.75" customHeight="1">
      <c r="A51" s="50"/>
      <c r="B51" s="1346" t="s">
        <v>320</v>
      </c>
      <c r="C51" s="347" t="s">
        <v>726</v>
      </c>
      <c r="D51" s="407"/>
      <c r="E51" s="407"/>
      <c r="F51" s="683"/>
    </row>
    <row r="52" spans="1:6" s="49" customFormat="1" ht="9.75" customHeight="1">
      <c r="A52" s="50"/>
      <c r="B52" s="51"/>
      <c r="C52" s="287" t="s">
        <v>623</v>
      </c>
      <c r="D52" s="407">
        <v>600</v>
      </c>
      <c r="E52" s="407"/>
      <c r="F52" s="683">
        <f t="shared" si="2"/>
        <v>600</v>
      </c>
    </row>
    <row r="53" spans="1:6" s="49" customFormat="1" ht="9.75" customHeight="1">
      <c r="A53" s="50"/>
      <c r="B53" s="51"/>
      <c r="C53" s="287" t="s">
        <v>624</v>
      </c>
      <c r="D53" s="407">
        <v>600</v>
      </c>
      <c r="E53" s="407"/>
      <c r="F53" s="683">
        <f t="shared" si="2"/>
        <v>600</v>
      </c>
    </row>
    <row r="54" spans="1:6" s="49" customFormat="1" ht="9.75" customHeight="1">
      <c r="A54" s="50"/>
      <c r="B54" s="51"/>
      <c r="C54" s="287" t="s">
        <v>625</v>
      </c>
      <c r="D54" s="407">
        <v>670</v>
      </c>
      <c r="E54" s="407"/>
      <c r="F54" s="683">
        <f t="shared" si="2"/>
        <v>670</v>
      </c>
    </row>
    <row r="55" spans="1:6" s="49" customFormat="1" ht="9.75" customHeight="1">
      <c r="A55" s="50" t="s">
        <v>314</v>
      </c>
      <c r="B55" s="51"/>
      <c r="C55" s="225" t="s">
        <v>313</v>
      </c>
      <c r="D55" s="124"/>
      <c r="E55" s="124"/>
      <c r="F55" s="683"/>
    </row>
    <row r="56" spans="1:6" ht="10.5" customHeight="1">
      <c r="A56" s="42"/>
      <c r="B56" s="43" t="s">
        <v>312</v>
      </c>
      <c r="C56" s="347" t="s">
        <v>390</v>
      </c>
      <c r="D56" s="345"/>
      <c r="E56" s="345"/>
      <c r="F56" s="357"/>
    </row>
    <row r="57" spans="1:6" ht="10.5" customHeight="1">
      <c r="A57" s="42"/>
      <c r="B57" s="43"/>
      <c r="C57" s="287" t="s">
        <v>623</v>
      </c>
      <c r="D57" s="345">
        <v>3691</v>
      </c>
      <c r="E57" s="345"/>
      <c r="F57" s="357">
        <f>D57+E57</f>
        <v>3691</v>
      </c>
    </row>
    <row r="58" spans="1:6" ht="10.5" customHeight="1">
      <c r="A58" s="42"/>
      <c r="B58" s="43"/>
      <c r="C58" s="287" t="s">
        <v>624</v>
      </c>
      <c r="D58" s="345">
        <v>3691</v>
      </c>
      <c r="E58" s="345"/>
      <c r="F58" s="357">
        <f aca="true" t="shared" si="3" ref="F58:F94">D58+E58</f>
        <v>3691</v>
      </c>
    </row>
    <row r="59" spans="1:6" ht="10.5" customHeight="1">
      <c r="A59" s="42"/>
      <c r="B59" s="43"/>
      <c r="C59" s="287" t="s">
        <v>625</v>
      </c>
      <c r="D59" s="345">
        <v>3859</v>
      </c>
      <c r="E59" s="345"/>
      <c r="F59" s="357">
        <f t="shared" si="3"/>
        <v>3859</v>
      </c>
    </row>
    <row r="60" spans="1:6" ht="10.5" customHeight="1">
      <c r="A60" s="42"/>
      <c r="B60" s="43" t="s">
        <v>314</v>
      </c>
      <c r="C60" s="347" t="s">
        <v>391</v>
      </c>
      <c r="D60" s="345"/>
      <c r="E60" s="345"/>
      <c r="F60" s="357"/>
    </row>
    <row r="61" spans="1:6" ht="10.5" customHeight="1">
      <c r="A61" s="42"/>
      <c r="B61" s="43"/>
      <c r="C61" s="287" t="s">
        <v>623</v>
      </c>
      <c r="D61" s="345">
        <v>31214</v>
      </c>
      <c r="E61" s="345"/>
      <c r="F61" s="357">
        <f t="shared" si="3"/>
        <v>31214</v>
      </c>
    </row>
    <row r="62" spans="1:6" ht="10.5" customHeight="1">
      <c r="A62" s="42"/>
      <c r="B62" s="43"/>
      <c r="C62" s="287" t="s">
        <v>624</v>
      </c>
      <c r="D62" s="345">
        <v>30852</v>
      </c>
      <c r="E62" s="345"/>
      <c r="F62" s="357">
        <f t="shared" si="3"/>
        <v>30852</v>
      </c>
    </row>
    <row r="63" spans="1:6" ht="10.5" customHeight="1">
      <c r="A63" s="42"/>
      <c r="B63" s="43"/>
      <c r="C63" s="287" t="s">
        <v>625</v>
      </c>
      <c r="D63" s="345">
        <v>31844</v>
      </c>
      <c r="E63" s="345"/>
      <c r="F63" s="357">
        <f t="shared" si="3"/>
        <v>31844</v>
      </c>
    </row>
    <row r="64" spans="1:6" ht="10.5" customHeight="1">
      <c r="A64" s="42"/>
      <c r="B64" s="43" t="s">
        <v>316</v>
      </c>
      <c r="C64" s="347" t="s">
        <v>392</v>
      </c>
      <c r="D64" s="345"/>
      <c r="E64" s="345"/>
      <c r="F64" s="357"/>
    </row>
    <row r="65" spans="1:6" ht="10.5" customHeight="1">
      <c r="A65" s="42"/>
      <c r="B65" s="43"/>
      <c r="C65" s="287" t="s">
        <v>623</v>
      </c>
      <c r="D65" s="345">
        <v>11025</v>
      </c>
      <c r="E65" s="345"/>
      <c r="F65" s="357">
        <f t="shared" si="3"/>
        <v>11025</v>
      </c>
    </row>
    <row r="66" spans="1:6" ht="10.5" customHeight="1">
      <c r="A66" s="42"/>
      <c r="B66" s="43"/>
      <c r="C66" s="287" t="s">
        <v>624</v>
      </c>
      <c r="D66" s="345">
        <v>11025</v>
      </c>
      <c r="E66" s="345"/>
      <c r="F66" s="357">
        <f t="shared" si="3"/>
        <v>11025</v>
      </c>
    </row>
    <row r="67" spans="1:6" ht="10.5" customHeight="1">
      <c r="A67" s="42"/>
      <c r="B67" s="43"/>
      <c r="C67" s="287" t="s">
        <v>625</v>
      </c>
      <c r="D67" s="345">
        <f>104+133+8692</f>
        <v>8929</v>
      </c>
      <c r="E67" s="345"/>
      <c r="F67" s="357">
        <f t="shared" si="3"/>
        <v>8929</v>
      </c>
    </row>
    <row r="68" spans="1:6" ht="10.5" customHeight="1">
      <c r="A68" s="42"/>
      <c r="B68" s="43" t="s">
        <v>318</v>
      </c>
      <c r="C68" s="347" t="s">
        <v>727</v>
      </c>
      <c r="D68" s="345"/>
      <c r="E68" s="345"/>
      <c r="F68" s="357"/>
    </row>
    <row r="69" spans="1:6" ht="10.5" customHeight="1">
      <c r="A69" s="42"/>
      <c r="B69" s="43"/>
      <c r="C69" s="287" t="s">
        <v>623</v>
      </c>
      <c r="D69" s="345">
        <v>5000</v>
      </c>
      <c r="E69" s="345"/>
      <c r="F69" s="357">
        <f t="shared" si="3"/>
        <v>5000</v>
      </c>
    </row>
    <row r="70" spans="1:6" ht="10.5" customHeight="1">
      <c r="A70" s="42"/>
      <c r="B70" s="43"/>
      <c r="C70" s="287" t="s">
        <v>624</v>
      </c>
      <c r="D70" s="345">
        <v>5000</v>
      </c>
      <c r="E70" s="345"/>
      <c r="F70" s="357">
        <f t="shared" si="3"/>
        <v>5000</v>
      </c>
    </row>
    <row r="71" spans="1:6" ht="10.5" customHeight="1">
      <c r="A71" s="42"/>
      <c r="B71" s="43"/>
      <c r="C71" s="287" t="s">
        <v>625</v>
      </c>
      <c r="D71" s="345">
        <v>5000</v>
      </c>
      <c r="E71" s="345"/>
      <c r="F71" s="357">
        <f t="shared" si="3"/>
        <v>5000</v>
      </c>
    </row>
    <row r="72" spans="1:6" ht="10.5" customHeight="1">
      <c r="A72" s="42"/>
      <c r="B72" s="43" t="s">
        <v>320</v>
      </c>
      <c r="C72" s="347" t="s">
        <v>525</v>
      </c>
      <c r="D72" s="345"/>
      <c r="E72" s="345"/>
      <c r="F72" s="357"/>
    </row>
    <row r="73" spans="1:6" ht="10.5" customHeight="1">
      <c r="A73" s="42"/>
      <c r="B73" s="43"/>
      <c r="C73" s="287" t="s">
        <v>623</v>
      </c>
      <c r="D73" s="345">
        <v>6090</v>
      </c>
      <c r="E73" s="345"/>
      <c r="F73" s="357">
        <f t="shared" si="3"/>
        <v>6090</v>
      </c>
    </row>
    <row r="74" spans="1:6" ht="10.5" customHeight="1">
      <c r="A74" s="42"/>
      <c r="B74" s="43"/>
      <c r="C74" s="287" t="s">
        <v>624</v>
      </c>
      <c r="D74" s="345">
        <v>6090</v>
      </c>
      <c r="E74" s="345"/>
      <c r="F74" s="357">
        <f t="shared" si="3"/>
        <v>6090</v>
      </c>
    </row>
    <row r="75" spans="1:6" ht="10.5" customHeight="1">
      <c r="A75" s="42"/>
      <c r="B75" s="43"/>
      <c r="C75" s="287" t="s">
        <v>625</v>
      </c>
      <c r="D75" s="345">
        <v>6142</v>
      </c>
      <c r="E75" s="345"/>
      <c r="F75" s="357">
        <f t="shared" si="3"/>
        <v>6142</v>
      </c>
    </row>
    <row r="76" spans="1:6" ht="10.5" customHeight="1">
      <c r="A76" s="42"/>
      <c r="B76" s="43" t="s">
        <v>322</v>
      </c>
      <c r="C76" s="347" t="s">
        <v>393</v>
      </c>
      <c r="D76" s="345"/>
      <c r="E76" s="345"/>
      <c r="F76" s="357"/>
    </row>
    <row r="77" spans="1:6" ht="10.5" customHeight="1">
      <c r="A77" s="42"/>
      <c r="B77" s="43"/>
      <c r="C77" s="287" t="s">
        <v>623</v>
      </c>
      <c r="D77" s="345">
        <v>187</v>
      </c>
      <c r="E77" s="345"/>
      <c r="F77" s="357">
        <f t="shared" si="3"/>
        <v>187</v>
      </c>
    </row>
    <row r="78" spans="1:6" ht="10.5" customHeight="1">
      <c r="A78" s="42"/>
      <c r="B78" s="43"/>
      <c r="C78" s="287" t="s">
        <v>624</v>
      </c>
      <c r="D78" s="345">
        <v>187</v>
      </c>
      <c r="E78" s="345"/>
      <c r="F78" s="357">
        <f t="shared" si="3"/>
        <v>187</v>
      </c>
    </row>
    <row r="79" spans="1:6" ht="10.5" customHeight="1">
      <c r="A79" s="42"/>
      <c r="B79" s="43"/>
      <c r="C79" s="287" t="s">
        <v>625</v>
      </c>
      <c r="D79" s="345">
        <v>251</v>
      </c>
      <c r="E79" s="345"/>
      <c r="F79" s="357">
        <f t="shared" si="3"/>
        <v>251</v>
      </c>
    </row>
    <row r="80" spans="1:6" ht="10.5" customHeight="1">
      <c r="A80" s="42"/>
      <c r="B80" s="43" t="s">
        <v>346</v>
      </c>
      <c r="C80" s="347" t="s">
        <v>507</v>
      </c>
      <c r="D80" s="345"/>
      <c r="E80" s="345"/>
      <c r="F80" s="357"/>
    </row>
    <row r="81" spans="1:6" ht="10.5" customHeight="1">
      <c r="A81" s="42"/>
      <c r="B81" s="43"/>
      <c r="C81" s="287" t="s">
        <v>623</v>
      </c>
      <c r="D81" s="345">
        <v>134</v>
      </c>
      <c r="E81" s="345"/>
      <c r="F81" s="357">
        <f t="shared" si="3"/>
        <v>134</v>
      </c>
    </row>
    <row r="82" spans="1:6" ht="10.5" customHeight="1">
      <c r="A82" s="42"/>
      <c r="B82" s="43"/>
      <c r="C82" s="287" t="s">
        <v>624</v>
      </c>
      <c r="D82" s="345">
        <v>134</v>
      </c>
      <c r="E82" s="345"/>
      <c r="F82" s="357">
        <f t="shared" si="3"/>
        <v>134</v>
      </c>
    </row>
    <row r="83" spans="1:6" ht="10.5" customHeight="1">
      <c r="A83" s="42"/>
      <c r="B83" s="43"/>
      <c r="C83" s="287" t="s">
        <v>625</v>
      </c>
      <c r="D83" s="345">
        <v>43</v>
      </c>
      <c r="E83" s="345"/>
      <c r="F83" s="357">
        <f t="shared" si="3"/>
        <v>43</v>
      </c>
    </row>
    <row r="84" spans="1:6" ht="10.5" customHeight="1">
      <c r="A84" s="42"/>
      <c r="B84" s="43" t="s">
        <v>347</v>
      </c>
      <c r="C84" s="347" t="s">
        <v>1297</v>
      </c>
      <c r="D84" s="345"/>
      <c r="E84" s="345"/>
      <c r="F84" s="357"/>
    </row>
    <row r="85" spans="1:6" ht="10.5" customHeight="1">
      <c r="A85" s="42"/>
      <c r="B85" s="43"/>
      <c r="C85" s="287" t="s">
        <v>623</v>
      </c>
      <c r="D85" s="345">
        <v>10000</v>
      </c>
      <c r="E85" s="345"/>
      <c r="F85" s="357">
        <f t="shared" si="3"/>
        <v>10000</v>
      </c>
    </row>
    <row r="86" spans="1:6" ht="10.5" customHeight="1">
      <c r="A86" s="42"/>
      <c r="B86" s="43"/>
      <c r="C86" s="287" t="s">
        <v>624</v>
      </c>
      <c r="D86" s="345">
        <v>27000</v>
      </c>
      <c r="E86" s="345"/>
      <c r="F86" s="357">
        <f t="shared" si="3"/>
        <v>27000</v>
      </c>
    </row>
    <row r="87" spans="1:6" ht="10.5" customHeight="1">
      <c r="A87" s="42"/>
      <c r="B87" s="43"/>
      <c r="C87" s="287" t="s">
        <v>625</v>
      </c>
      <c r="D87" s="345">
        <v>26191</v>
      </c>
      <c r="E87" s="345"/>
      <c r="F87" s="357">
        <f t="shared" si="3"/>
        <v>26191</v>
      </c>
    </row>
    <row r="88" spans="1:6" ht="10.5" customHeight="1">
      <c r="A88" s="42"/>
      <c r="B88" s="43" t="s">
        <v>349</v>
      </c>
      <c r="C88" s="347" t="s">
        <v>394</v>
      </c>
      <c r="D88" s="345"/>
      <c r="E88" s="345"/>
      <c r="F88" s="357"/>
    </row>
    <row r="89" spans="1:6" ht="10.5" customHeight="1">
      <c r="A89" s="42"/>
      <c r="B89" s="43"/>
      <c r="C89" s="287" t="s">
        <v>623</v>
      </c>
      <c r="D89" s="345">
        <v>5949</v>
      </c>
      <c r="E89" s="345"/>
      <c r="F89" s="357">
        <f t="shared" si="3"/>
        <v>5949</v>
      </c>
    </row>
    <row r="90" spans="1:6" ht="10.5" customHeight="1">
      <c r="A90" s="42"/>
      <c r="B90" s="43"/>
      <c r="C90" s="287" t="s">
        <v>624</v>
      </c>
      <c r="D90" s="345">
        <v>5949</v>
      </c>
      <c r="E90" s="345"/>
      <c r="F90" s="357">
        <f t="shared" si="3"/>
        <v>5949</v>
      </c>
    </row>
    <row r="91" spans="1:6" ht="10.5" customHeight="1">
      <c r="A91" s="42"/>
      <c r="B91" s="43"/>
      <c r="C91" s="287" t="s">
        <v>625</v>
      </c>
      <c r="D91" s="345">
        <f>54+3445+174</f>
        <v>3673</v>
      </c>
      <c r="E91" s="345"/>
      <c r="F91" s="357">
        <f t="shared" si="3"/>
        <v>3673</v>
      </c>
    </row>
    <row r="92" spans="1:6" ht="10.5" customHeight="1">
      <c r="A92" s="42"/>
      <c r="B92" s="43" t="s">
        <v>350</v>
      </c>
      <c r="C92" s="347" t="s">
        <v>923</v>
      </c>
      <c r="D92" s="345"/>
      <c r="E92" s="345"/>
      <c r="F92" s="357"/>
    </row>
    <row r="93" spans="1:6" ht="10.5" customHeight="1">
      <c r="A93" s="42"/>
      <c r="B93" s="43"/>
      <c r="C93" s="287" t="s">
        <v>623</v>
      </c>
      <c r="D93" s="345">
        <v>27000</v>
      </c>
      <c r="E93" s="345">
        <v>0</v>
      </c>
      <c r="F93" s="357">
        <f t="shared" si="3"/>
        <v>27000</v>
      </c>
    </row>
    <row r="94" spans="1:6" ht="10.5" customHeight="1">
      <c r="A94" s="42"/>
      <c r="B94" s="43"/>
      <c r="C94" s="287" t="s">
        <v>624</v>
      </c>
      <c r="D94" s="345">
        <v>33489</v>
      </c>
      <c r="E94" s="345">
        <v>0</v>
      </c>
      <c r="F94" s="357">
        <f t="shared" si="3"/>
        <v>33489</v>
      </c>
    </row>
    <row r="95" spans="1:6" ht="10.5" customHeight="1">
      <c r="A95" s="42"/>
      <c r="B95" s="43"/>
      <c r="C95" s="299" t="s">
        <v>625</v>
      </c>
      <c r="D95" s="114">
        <f>50970-8137+11100</f>
        <v>53933</v>
      </c>
      <c r="E95" s="114">
        <v>8137</v>
      </c>
      <c r="F95" s="128">
        <f>D95+E95</f>
        <v>62070</v>
      </c>
    </row>
    <row r="96" spans="1:6" ht="10.5" customHeight="1">
      <c r="A96" s="42"/>
      <c r="B96" s="43" t="s">
        <v>351</v>
      </c>
      <c r="C96" s="627" t="s">
        <v>643</v>
      </c>
      <c r="D96" s="345"/>
      <c r="E96" s="345"/>
      <c r="F96" s="346"/>
    </row>
    <row r="97" spans="1:6" ht="10.5" customHeight="1">
      <c r="A97" s="42"/>
      <c r="B97" s="43"/>
      <c r="C97" s="287" t="s">
        <v>623</v>
      </c>
      <c r="D97" s="345">
        <v>0</v>
      </c>
      <c r="E97" s="345"/>
      <c r="F97" s="346">
        <f>D97+E97</f>
        <v>0</v>
      </c>
    </row>
    <row r="98" spans="1:6" ht="10.5" customHeight="1">
      <c r="A98" s="42"/>
      <c r="B98" s="43"/>
      <c r="C98" s="287" t="s">
        <v>624</v>
      </c>
      <c r="D98" s="345">
        <v>1025</v>
      </c>
      <c r="E98" s="345">
        <v>3720</v>
      </c>
      <c r="F98" s="346">
        <f>D98+E98</f>
        <v>4745</v>
      </c>
    </row>
    <row r="99" spans="1:6" ht="10.5" customHeight="1">
      <c r="A99" s="42"/>
      <c r="B99" s="43"/>
      <c r="C99" s="299" t="s">
        <v>625</v>
      </c>
      <c r="D99" s="114">
        <f>1379+244+3097+2015+2780+2+3+31+4+1+145</f>
        <v>9701</v>
      </c>
      <c r="E99" s="114">
        <v>0</v>
      </c>
      <c r="F99" s="346">
        <f>D99+E99</f>
        <v>9701</v>
      </c>
    </row>
    <row r="100" spans="1:6" ht="10.5" customHeight="1">
      <c r="A100" s="42"/>
      <c r="B100" s="43" t="s">
        <v>415</v>
      </c>
      <c r="C100" s="627" t="s">
        <v>722</v>
      </c>
      <c r="D100" s="345"/>
      <c r="E100" s="345"/>
      <c r="F100" s="357"/>
    </row>
    <row r="101" spans="1:6" ht="10.5" customHeight="1">
      <c r="A101" s="42"/>
      <c r="B101" s="43"/>
      <c r="C101" s="287" t="s">
        <v>623</v>
      </c>
      <c r="D101" s="345">
        <v>0</v>
      </c>
      <c r="E101" s="345">
        <v>0</v>
      </c>
      <c r="F101" s="357">
        <v>0</v>
      </c>
    </row>
    <row r="102" spans="1:6" ht="10.5" customHeight="1">
      <c r="A102" s="42"/>
      <c r="B102" s="43"/>
      <c r="C102" s="288" t="s">
        <v>624</v>
      </c>
      <c r="D102" s="414">
        <v>120</v>
      </c>
      <c r="E102" s="414">
        <v>0</v>
      </c>
      <c r="F102" s="628">
        <f>D102</f>
        <v>120</v>
      </c>
    </row>
    <row r="103" spans="1:6" ht="10.5" customHeight="1" thickBot="1">
      <c r="A103" s="633"/>
      <c r="B103" s="634"/>
      <c r="C103" s="354" t="s">
        <v>625</v>
      </c>
      <c r="D103" s="632">
        <v>120</v>
      </c>
      <c r="E103" s="632">
        <v>0</v>
      </c>
      <c r="F103" s="352">
        <f>D103+E103</f>
        <v>120</v>
      </c>
    </row>
    <row r="104" spans="1:6" s="49" customFormat="1" ht="12" customHeight="1" thickBot="1" thickTop="1">
      <c r="A104" s="47" t="s">
        <v>508</v>
      </c>
      <c r="B104" s="48"/>
      <c r="C104" s="224" t="s">
        <v>529</v>
      </c>
      <c r="D104" s="115"/>
      <c r="E104" s="115"/>
      <c r="F104" s="129"/>
    </row>
    <row r="105" spans="1:6" s="49" customFormat="1" ht="11.25" customHeight="1" thickTop="1">
      <c r="A105" s="359"/>
      <c r="B105" s="384"/>
      <c r="C105" s="353" t="s">
        <v>623</v>
      </c>
      <c r="D105" s="358">
        <f>D57+D61+D65+D69+D73+D77+D81+D85+D89+D93+D36+D40+D44+D48+D52+D97+D101</f>
        <v>114928</v>
      </c>
      <c r="E105" s="358">
        <f>E57+E61+E65+E69+E73+E77+E81+E85+E89+E93+E36+E40+E44+E48+E52+E97+E101</f>
        <v>0</v>
      </c>
      <c r="F105" s="382">
        <f>F57+F61+F65+F69+F73+F77+F81+F85+F89+F93+F36+F40+F44+F48+F52+F97+F101</f>
        <v>114928</v>
      </c>
    </row>
    <row r="106" spans="1:6" s="49" customFormat="1" ht="11.25" customHeight="1">
      <c r="A106" s="50"/>
      <c r="B106" s="51"/>
      <c r="C106" s="287" t="s">
        <v>624</v>
      </c>
      <c r="D106" s="349">
        <f aca="true" t="shared" si="4" ref="D106:F107">D58+D62+D66+D70+D74+D78+D82+D86+D90+D94+D37+D41+D45+D49+D53+D98+D102</f>
        <v>139926</v>
      </c>
      <c r="E106" s="349">
        <f t="shared" si="4"/>
        <v>3720</v>
      </c>
      <c r="F106" s="357">
        <f t="shared" si="4"/>
        <v>143646</v>
      </c>
    </row>
    <row r="107" spans="1:6" s="49" customFormat="1" ht="11.25" customHeight="1" thickBot="1">
      <c r="A107" s="385"/>
      <c r="B107" s="386"/>
      <c r="C107" s="354" t="s">
        <v>625</v>
      </c>
      <c r="D107" s="351">
        <f>D59+D63+D67+D71+D75+D79+D83+D87+D91+D95+D38+D42+D46+D50+D54+D99+D103</f>
        <v>165637</v>
      </c>
      <c r="E107" s="351">
        <f t="shared" si="4"/>
        <v>8137</v>
      </c>
      <c r="F107" s="383">
        <f t="shared" si="4"/>
        <v>173774</v>
      </c>
    </row>
    <row r="108" spans="1:6" ht="5.25" customHeight="1" thickTop="1">
      <c r="A108" s="42"/>
      <c r="B108" s="43"/>
      <c r="C108" s="222"/>
      <c r="D108" s="121"/>
      <c r="E108" s="121"/>
      <c r="F108" s="122"/>
    </row>
    <row r="109" spans="1:6" s="49" customFormat="1" ht="12" customHeight="1">
      <c r="A109" s="50" t="s">
        <v>366</v>
      </c>
      <c r="B109" s="51"/>
      <c r="C109" s="225" t="s">
        <v>530</v>
      </c>
      <c r="D109" s="124"/>
      <c r="E109" s="124"/>
      <c r="F109" s="125"/>
    </row>
    <row r="110" spans="1:6" ht="7.5" customHeight="1">
      <c r="A110" s="42"/>
      <c r="B110" s="43" t="s">
        <v>465</v>
      </c>
      <c r="C110" s="365" t="s">
        <v>465</v>
      </c>
      <c r="D110" s="121"/>
      <c r="E110" s="121"/>
      <c r="F110" s="125"/>
    </row>
    <row r="111" spans="1:6" ht="10.5" customHeight="1">
      <c r="A111" s="42"/>
      <c r="B111" s="43" t="s">
        <v>312</v>
      </c>
      <c r="C111" s="347" t="s">
        <v>542</v>
      </c>
      <c r="D111" s="345"/>
      <c r="E111" s="397"/>
      <c r="F111" s="357"/>
    </row>
    <row r="112" spans="1:6" ht="10.5" customHeight="1">
      <c r="A112" s="42"/>
      <c r="B112" s="43"/>
      <c r="C112" s="287" t="s">
        <v>623</v>
      </c>
      <c r="D112" s="345">
        <v>400000</v>
      </c>
      <c r="E112" s="397"/>
      <c r="F112" s="357">
        <f>D112+E112</f>
        <v>400000</v>
      </c>
    </row>
    <row r="113" spans="1:6" ht="10.5" customHeight="1">
      <c r="A113" s="42"/>
      <c r="B113" s="43"/>
      <c r="C113" s="287" t="s">
        <v>624</v>
      </c>
      <c r="D113" s="345">
        <v>410000</v>
      </c>
      <c r="E113" s="397"/>
      <c r="F113" s="357">
        <f aca="true" t="shared" si="5" ref="F113:F142">D113+E113</f>
        <v>410000</v>
      </c>
    </row>
    <row r="114" spans="1:7" ht="10.5" customHeight="1">
      <c r="A114" s="42"/>
      <c r="B114" s="43"/>
      <c r="C114" s="287" t="s">
        <v>625</v>
      </c>
      <c r="D114" s="345">
        <v>470238</v>
      </c>
      <c r="E114" s="397"/>
      <c r="F114" s="357">
        <f t="shared" si="5"/>
        <v>470238</v>
      </c>
      <c r="G114" s="41" t="s">
        <v>465</v>
      </c>
    </row>
    <row r="115" spans="1:6" ht="10.5" customHeight="1">
      <c r="A115" s="42"/>
      <c r="B115" s="43" t="s">
        <v>314</v>
      </c>
      <c r="C115" s="347" t="s">
        <v>543</v>
      </c>
      <c r="D115" s="397"/>
      <c r="E115" s="345"/>
      <c r="F115" s="357"/>
    </row>
    <row r="116" spans="1:6" ht="10.5" customHeight="1">
      <c r="A116" s="42"/>
      <c r="B116" s="43"/>
      <c r="C116" s="287" t="s">
        <v>623</v>
      </c>
      <c r="D116" s="397"/>
      <c r="E116" s="345">
        <v>50000</v>
      </c>
      <c r="F116" s="357">
        <f t="shared" si="5"/>
        <v>50000</v>
      </c>
    </row>
    <row r="117" spans="1:6" ht="10.5" customHeight="1">
      <c r="A117" s="42"/>
      <c r="B117" s="43"/>
      <c r="C117" s="287" t="s">
        <v>624</v>
      </c>
      <c r="D117" s="397"/>
      <c r="E117" s="345">
        <v>50000</v>
      </c>
      <c r="F117" s="357">
        <f t="shared" si="5"/>
        <v>50000</v>
      </c>
    </row>
    <row r="118" spans="1:6" ht="10.5" customHeight="1">
      <c r="A118" s="42"/>
      <c r="B118" s="43"/>
      <c r="C118" s="287" t="s">
        <v>625</v>
      </c>
      <c r="D118" s="397"/>
      <c r="E118" s="345">
        <v>50811</v>
      </c>
      <c r="F118" s="357">
        <f t="shared" si="5"/>
        <v>50811</v>
      </c>
    </row>
    <row r="119" spans="1:6" ht="10.5" customHeight="1">
      <c r="A119" s="42"/>
      <c r="B119" s="43" t="s">
        <v>316</v>
      </c>
      <c r="C119" s="347" t="s">
        <v>395</v>
      </c>
      <c r="D119" s="345"/>
      <c r="E119" s="397"/>
      <c r="F119" s="357"/>
    </row>
    <row r="120" spans="1:6" ht="10.5" customHeight="1">
      <c r="A120" s="42"/>
      <c r="B120" s="43"/>
      <c r="C120" s="287" t="s">
        <v>623</v>
      </c>
      <c r="D120" s="345">
        <v>135000</v>
      </c>
      <c r="E120" s="397"/>
      <c r="F120" s="357">
        <f t="shared" si="5"/>
        <v>135000</v>
      </c>
    </row>
    <row r="121" spans="1:6" ht="10.5" customHeight="1">
      <c r="A121" s="42"/>
      <c r="B121" s="43"/>
      <c r="C121" s="287" t="s">
        <v>624</v>
      </c>
      <c r="D121" s="345">
        <v>159000</v>
      </c>
      <c r="E121" s="397"/>
      <c r="F121" s="357">
        <f t="shared" si="5"/>
        <v>159000</v>
      </c>
    </row>
    <row r="122" spans="1:6" ht="10.5" customHeight="1">
      <c r="A122" s="42"/>
      <c r="B122" s="43"/>
      <c r="C122" s="287" t="s">
        <v>625</v>
      </c>
      <c r="D122" s="345">
        <v>164034</v>
      </c>
      <c r="E122" s="397"/>
      <c r="F122" s="357">
        <f t="shared" si="5"/>
        <v>164034</v>
      </c>
    </row>
    <row r="123" spans="1:6" ht="10.5" customHeight="1">
      <c r="A123" s="42"/>
      <c r="B123" s="43" t="s">
        <v>318</v>
      </c>
      <c r="C123" s="347" t="s">
        <v>405</v>
      </c>
      <c r="D123" s="345"/>
      <c r="E123" s="397"/>
      <c r="F123" s="357"/>
    </row>
    <row r="124" spans="1:6" ht="10.5" customHeight="1">
      <c r="A124" s="42"/>
      <c r="B124" s="43"/>
      <c r="C124" s="287" t="s">
        <v>623</v>
      </c>
      <c r="D124" s="345">
        <v>2500</v>
      </c>
      <c r="E124" s="397"/>
      <c r="F124" s="357">
        <f t="shared" si="5"/>
        <v>2500</v>
      </c>
    </row>
    <row r="125" spans="1:6" ht="10.5" customHeight="1">
      <c r="A125" s="42"/>
      <c r="B125" s="43"/>
      <c r="C125" s="287" t="s">
        <v>624</v>
      </c>
      <c r="D125" s="345">
        <v>2600</v>
      </c>
      <c r="E125" s="397"/>
      <c r="F125" s="357">
        <f t="shared" si="5"/>
        <v>2600</v>
      </c>
    </row>
    <row r="126" spans="1:6" ht="10.5" customHeight="1">
      <c r="A126" s="42"/>
      <c r="B126" s="43"/>
      <c r="C126" s="287" t="s">
        <v>625</v>
      </c>
      <c r="D126" s="345">
        <v>2718</v>
      </c>
      <c r="E126" s="397"/>
      <c r="F126" s="357">
        <f t="shared" si="5"/>
        <v>2718</v>
      </c>
    </row>
    <row r="127" spans="1:6" ht="10.5" customHeight="1">
      <c r="A127" s="42"/>
      <c r="B127" s="43" t="s">
        <v>320</v>
      </c>
      <c r="C127" s="347" t="s">
        <v>406</v>
      </c>
      <c r="D127" s="345"/>
      <c r="E127" s="345"/>
      <c r="F127" s="357"/>
    </row>
    <row r="128" spans="1:6" ht="10.5" customHeight="1">
      <c r="A128" s="42"/>
      <c r="B128" s="43"/>
      <c r="C128" s="287" t="s">
        <v>623</v>
      </c>
      <c r="D128" s="345">
        <v>109441</v>
      </c>
      <c r="E128" s="345"/>
      <c r="F128" s="357">
        <f t="shared" si="5"/>
        <v>109441</v>
      </c>
    </row>
    <row r="129" spans="1:6" ht="10.5" customHeight="1">
      <c r="A129" s="42"/>
      <c r="B129" s="43"/>
      <c r="C129" s="287" t="s">
        <v>624</v>
      </c>
      <c r="D129" s="345">
        <v>109441</v>
      </c>
      <c r="E129" s="345"/>
      <c r="F129" s="357">
        <f t="shared" si="5"/>
        <v>109441</v>
      </c>
    </row>
    <row r="130" spans="1:6" ht="10.5" customHeight="1">
      <c r="A130" s="42"/>
      <c r="B130" s="43"/>
      <c r="C130" s="287" t="s">
        <v>625</v>
      </c>
      <c r="D130" s="345">
        <v>109441</v>
      </c>
      <c r="E130" s="345"/>
      <c r="F130" s="357">
        <f t="shared" si="5"/>
        <v>109441</v>
      </c>
    </row>
    <row r="131" spans="1:6" ht="10.5" customHeight="1">
      <c r="A131" s="42"/>
      <c r="B131" s="43" t="s">
        <v>322</v>
      </c>
      <c r="C131" s="347" t="s">
        <v>532</v>
      </c>
      <c r="D131" s="345"/>
      <c r="E131" s="345"/>
      <c r="F131" s="357"/>
    </row>
    <row r="132" spans="1:6" ht="10.5" customHeight="1">
      <c r="A132" s="42"/>
      <c r="B132" s="43"/>
      <c r="C132" s="287" t="s">
        <v>623</v>
      </c>
      <c r="D132" s="345">
        <v>204993</v>
      </c>
      <c r="E132" s="345"/>
      <c r="F132" s="357">
        <f t="shared" si="5"/>
        <v>204993</v>
      </c>
    </row>
    <row r="133" spans="1:6" ht="10.5" customHeight="1">
      <c r="A133" s="42"/>
      <c r="B133" s="43"/>
      <c r="C133" s="287" t="s">
        <v>624</v>
      </c>
      <c r="D133" s="345">
        <v>204993</v>
      </c>
      <c r="E133" s="345"/>
      <c r="F133" s="357">
        <f t="shared" si="5"/>
        <v>204993</v>
      </c>
    </row>
    <row r="134" spans="1:6" ht="10.5" customHeight="1">
      <c r="A134" s="42"/>
      <c r="B134" s="43"/>
      <c r="C134" s="287" t="s">
        <v>625</v>
      </c>
      <c r="D134" s="345">
        <v>204993</v>
      </c>
      <c r="E134" s="345"/>
      <c r="F134" s="357">
        <f t="shared" si="5"/>
        <v>204993</v>
      </c>
    </row>
    <row r="135" spans="1:6" ht="10.5" customHeight="1">
      <c r="A135" s="42"/>
      <c r="B135" s="43" t="s">
        <v>346</v>
      </c>
      <c r="C135" s="347" t="s">
        <v>534</v>
      </c>
      <c r="D135" s="345"/>
      <c r="E135" s="397"/>
      <c r="F135" s="357"/>
    </row>
    <row r="136" spans="1:6" ht="10.5" customHeight="1">
      <c r="A136" s="42"/>
      <c r="B136" s="43"/>
      <c r="C136" s="287" t="s">
        <v>623</v>
      </c>
      <c r="D136" s="345">
        <v>30</v>
      </c>
      <c r="E136" s="397"/>
      <c r="F136" s="357">
        <f t="shared" si="5"/>
        <v>30</v>
      </c>
    </row>
    <row r="137" spans="1:6" ht="10.5" customHeight="1">
      <c r="A137" s="42"/>
      <c r="B137" s="43"/>
      <c r="C137" s="287" t="s">
        <v>624</v>
      </c>
      <c r="D137" s="345">
        <v>30</v>
      </c>
      <c r="E137" s="397"/>
      <c r="F137" s="357">
        <f t="shared" si="5"/>
        <v>30</v>
      </c>
    </row>
    <row r="138" spans="1:6" ht="10.5" customHeight="1">
      <c r="A138" s="42"/>
      <c r="B138" s="43"/>
      <c r="C138" s="287" t="s">
        <v>625</v>
      </c>
      <c r="D138" s="345">
        <v>0</v>
      </c>
      <c r="E138" s="397"/>
      <c r="F138" s="357">
        <f t="shared" si="5"/>
        <v>0</v>
      </c>
    </row>
    <row r="139" spans="1:6" ht="24" customHeight="1">
      <c r="A139" s="42"/>
      <c r="B139" s="43" t="s">
        <v>347</v>
      </c>
      <c r="C139" s="400" t="s">
        <v>728</v>
      </c>
      <c r="D139" s="345"/>
      <c r="E139" s="345"/>
      <c r="F139" s="357"/>
    </row>
    <row r="140" spans="1:6" ht="10.5" customHeight="1">
      <c r="A140" s="42"/>
      <c r="B140" s="43"/>
      <c r="C140" s="287" t="s">
        <v>623</v>
      </c>
      <c r="D140" s="345">
        <v>0</v>
      </c>
      <c r="E140" s="345">
        <v>0</v>
      </c>
      <c r="F140" s="357">
        <f t="shared" si="5"/>
        <v>0</v>
      </c>
    </row>
    <row r="141" spans="1:6" ht="10.5" customHeight="1">
      <c r="A141" s="42"/>
      <c r="B141" s="43"/>
      <c r="C141" s="287" t="s">
        <v>624</v>
      </c>
      <c r="D141" s="345">
        <v>10832</v>
      </c>
      <c r="E141" s="345">
        <v>0</v>
      </c>
      <c r="F141" s="357">
        <f t="shared" si="5"/>
        <v>10832</v>
      </c>
    </row>
    <row r="142" spans="1:6" ht="10.5" customHeight="1" thickBot="1">
      <c r="A142" s="42"/>
      <c r="B142" s="43"/>
      <c r="C142" s="287" t="s">
        <v>625</v>
      </c>
      <c r="D142" s="345">
        <v>19096</v>
      </c>
      <c r="E142" s="345">
        <v>0</v>
      </c>
      <c r="F142" s="357">
        <f t="shared" si="5"/>
        <v>19096</v>
      </c>
    </row>
    <row r="143" spans="1:6" s="49" customFormat="1" ht="12" customHeight="1" thickBot="1" thickTop="1">
      <c r="A143" s="47" t="s">
        <v>366</v>
      </c>
      <c r="B143" s="48"/>
      <c r="C143" s="224" t="s">
        <v>531</v>
      </c>
      <c r="D143" s="115"/>
      <c r="E143" s="115"/>
      <c r="F143" s="133"/>
    </row>
    <row r="144" spans="1:6" s="49" customFormat="1" ht="12" customHeight="1" thickTop="1">
      <c r="A144" s="359"/>
      <c r="B144" s="384"/>
      <c r="C144" s="353" t="s">
        <v>623</v>
      </c>
      <c r="D144" s="358">
        <f aca="true" t="shared" si="6" ref="D144:E146">D112+D116+D120+D124+D128+D132+D136+D140</f>
        <v>851964</v>
      </c>
      <c r="E144" s="358">
        <f t="shared" si="6"/>
        <v>50000</v>
      </c>
      <c r="F144" s="396">
        <f>D144+E144</f>
        <v>901964</v>
      </c>
    </row>
    <row r="145" spans="1:6" s="49" customFormat="1" ht="12" customHeight="1">
      <c r="A145" s="50"/>
      <c r="B145" s="51"/>
      <c r="C145" s="287" t="s">
        <v>624</v>
      </c>
      <c r="D145" s="349">
        <f t="shared" si="6"/>
        <v>896896</v>
      </c>
      <c r="E145" s="349">
        <f t="shared" si="6"/>
        <v>50000</v>
      </c>
      <c r="F145" s="357">
        <f>D145+E145</f>
        <v>946896</v>
      </c>
    </row>
    <row r="146" spans="1:6" s="49" customFormat="1" ht="12" customHeight="1" thickBot="1">
      <c r="A146" s="385"/>
      <c r="B146" s="386"/>
      <c r="C146" s="354" t="s">
        <v>625</v>
      </c>
      <c r="D146" s="351">
        <f t="shared" si="6"/>
        <v>970520</v>
      </c>
      <c r="E146" s="351">
        <f t="shared" si="6"/>
        <v>50811</v>
      </c>
      <c r="F146" s="383">
        <f>D146+E146</f>
        <v>1021331</v>
      </c>
    </row>
    <row r="147" spans="1:6" ht="7.5" customHeight="1" thickTop="1">
      <c r="A147" s="42"/>
      <c r="B147" s="43"/>
      <c r="C147" s="222"/>
      <c r="D147" s="114"/>
      <c r="E147" s="114"/>
      <c r="F147" s="134"/>
    </row>
    <row r="148" spans="1:6" s="49" customFormat="1" ht="12" customHeight="1">
      <c r="A148" s="50" t="s">
        <v>378</v>
      </c>
      <c r="B148" s="51"/>
      <c r="C148" s="225" t="s">
        <v>369</v>
      </c>
      <c r="D148" s="124"/>
      <c r="E148" s="124"/>
      <c r="F148" s="125"/>
    </row>
    <row r="149" spans="1:6" s="49" customFormat="1" ht="7.5" customHeight="1">
      <c r="A149" s="50"/>
      <c r="B149" s="51"/>
      <c r="C149" s="225"/>
      <c r="D149" s="124"/>
      <c r="E149" s="124"/>
      <c r="F149" s="125"/>
    </row>
    <row r="150" spans="1:6" ht="10.5" customHeight="1">
      <c r="A150" s="42"/>
      <c r="B150" s="43" t="s">
        <v>312</v>
      </c>
      <c r="C150" s="347" t="s">
        <v>408</v>
      </c>
      <c r="D150" s="366"/>
      <c r="E150" s="345"/>
      <c r="F150" s="357"/>
    </row>
    <row r="151" spans="1:6" ht="10.5" customHeight="1">
      <c r="A151" s="42"/>
      <c r="B151" s="43"/>
      <c r="C151" s="287" t="s">
        <v>623</v>
      </c>
      <c r="D151" s="366"/>
      <c r="E151" s="345">
        <v>50</v>
      </c>
      <c r="F151" s="357">
        <f>E151</f>
        <v>50</v>
      </c>
    </row>
    <row r="152" spans="1:6" ht="10.5" customHeight="1">
      <c r="A152" s="42"/>
      <c r="B152" s="43"/>
      <c r="C152" s="287" t="s">
        <v>624</v>
      </c>
      <c r="D152" s="366"/>
      <c r="E152" s="345">
        <v>50</v>
      </c>
      <c r="F152" s="357">
        <f aca="true" t="shared" si="7" ref="F152:F161">E152</f>
        <v>50</v>
      </c>
    </row>
    <row r="153" spans="1:6" ht="10.5" customHeight="1">
      <c r="A153" s="42"/>
      <c r="B153" s="43"/>
      <c r="C153" s="287" t="s">
        <v>625</v>
      </c>
      <c r="D153" s="366"/>
      <c r="E153" s="345">
        <v>33</v>
      </c>
      <c r="F153" s="357">
        <f t="shared" si="7"/>
        <v>33</v>
      </c>
    </row>
    <row r="154" spans="1:6" ht="10.5" customHeight="1">
      <c r="A154" s="42"/>
      <c r="B154" s="43" t="s">
        <v>314</v>
      </c>
      <c r="C154" s="347" t="s">
        <v>729</v>
      </c>
      <c r="D154" s="366"/>
      <c r="E154" s="345"/>
      <c r="F154" s="357"/>
    </row>
    <row r="155" spans="1:6" ht="10.5" customHeight="1">
      <c r="A155" s="42"/>
      <c r="B155" s="43"/>
      <c r="C155" s="287" t="s">
        <v>623</v>
      </c>
      <c r="D155" s="366"/>
      <c r="E155" s="345">
        <v>523</v>
      </c>
      <c r="F155" s="357">
        <f t="shared" si="7"/>
        <v>523</v>
      </c>
    </row>
    <row r="156" spans="1:6" ht="10.5" customHeight="1">
      <c r="A156" s="42"/>
      <c r="B156" s="43"/>
      <c r="C156" s="287" t="s">
        <v>624</v>
      </c>
      <c r="D156" s="366"/>
      <c r="E156" s="345">
        <v>523</v>
      </c>
      <c r="F156" s="357">
        <f t="shared" si="7"/>
        <v>523</v>
      </c>
    </row>
    <row r="157" spans="1:6" ht="10.5" customHeight="1">
      <c r="A157" s="42"/>
      <c r="B157" s="43"/>
      <c r="C157" s="287" t="s">
        <v>625</v>
      </c>
      <c r="D157" s="366"/>
      <c r="E157" s="345">
        <v>523</v>
      </c>
      <c r="F157" s="357">
        <f t="shared" si="7"/>
        <v>523</v>
      </c>
    </row>
    <row r="158" spans="1:6" ht="10.5" customHeight="1">
      <c r="A158" s="42"/>
      <c r="B158" s="43" t="s">
        <v>316</v>
      </c>
      <c r="C158" s="347" t="s">
        <v>730</v>
      </c>
      <c r="D158" s="366"/>
      <c r="E158" s="345"/>
      <c r="F158" s="357"/>
    </row>
    <row r="159" spans="1:6" ht="10.5" customHeight="1">
      <c r="A159" s="42"/>
      <c r="B159" s="43"/>
      <c r="C159" s="287" t="s">
        <v>623</v>
      </c>
      <c r="D159" s="366"/>
      <c r="E159" s="345">
        <v>0</v>
      </c>
      <c r="F159" s="357">
        <f t="shared" si="7"/>
        <v>0</v>
      </c>
    </row>
    <row r="160" spans="1:6" ht="10.5" customHeight="1">
      <c r="A160" s="42"/>
      <c r="B160" s="43"/>
      <c r="C160" s="287" t="s">
        <v>624</v>
      </c>
      <c r="D160" s="366"/>
      <c r="E160" s="345">
        <v>1553</v>
      </c>
      <c r="F160" s="357">
        <f t="shared" si="7"/>
        <v>1553</v>
      </c>
    </row>
    <row r="161" spans="1:6" ht="10.5" customHeight="1">
      <c r="A161" s="42"/>
      <c r="B161" s="43"/>
      <c r="C161" s="287" t="s">
        <v>625</v>
      </c>
      <c r="D161" s="366"/>
      <c r="E161" s="345">
        <v>2027</v>
      </c>
      <c r="F161" s="346">
        <f t="shared" si="7"/>
        <v>2027</v>
      </c>
    </row>
    <row r="162" spans="1:6" ht="10.5" customHeight="1">
      <c r="A162" s="42"/>
      <c r="B162" s="43" t="s">
        <v>318</v>
      </c>
      <c r="C162" s="402" t="s">
        <v>704</v>
      </c>
      <c r="D162" s="366"/>
      <c r="E162" s="345"/>
      <c r="F162" s="346"/>
    </row>
    <row r="163" spans="1:6" ht="10.5" customHeight="1">
      <c r="A163" s="42"/>
      <c r="B163" s="43"/>
      <c r="C163" s="287" t="s">
        <v>623</v>
      </c>
      <c r="D163" s="366"/>
      <c r="E163" s="345">
        <v>0</v>
      </c>
      <c r="F163" s="346">
        <v>0</v>
      </c>
    </row>
    <row r="164" spans="1:6" ht="10.5" customHeight="1">
      <c r="A164" s="42"/>
      <c r="B164" s="43"/>
      <c r="C164" s="287" t="s">
        <v>624</v>
      </c>
      <c r="D164" s="366"/>
      <c r="E164" s="345">
        <v>0</v>
      </c>
      <c r="F164" s="346">
        <f>E164</f>
        <v>0</v>
      </c>
    </row>
    <row r="165" spans="1:6" ht="10.5" customHeight="1" thickBot="1">
      <c r="A165" s="42"/>
      <c r="B165" s="43"/>
      <c r="C165" s="288" t="s">
        <v>625</v>
      </c>
      <c r="D165" s="659"/>
      <c r="E165" s="414">
        <f>5825-523</f>
        <v>5302</v>
      </c>
      <c r="F165" s="132">
        <f>E165</f>
        <v>5302</v>
      </c>
    </row>
    <row r="166" spans="1:6" s="49" customFormat="1" ht="12" customHeight="1" thickBot="1" thickTop="1">
      <c r="A166" s="47" t="s">
        <v>378</v>
      </c>
      <c r="B166" s="48"/>
      <c r="C166" s="224" t="s">
        <v>509</v>
      </c>
      <c r="D166" s="115"/>
      <c r="E166" s="115"/>
      <c r="F166" s="129"/>
    </row>
    <row r="167" spans="1:6" s="49" customFormat="1" ht="12" customHeight="1" thickTop="1">
      <c r="A167" s="50"/>
      <c r="B167" s="51"/>
      <c r="C167" s="287" t="s">
        <v>623</v>
      </c>
      <c r="D167" s="355"/>
      <c r="E167" s="355">
        <f>E151+E155+E159</f>
        <v>573</v>
      </c>
      <c r="F167" s="382">
        <f>F151+F155+F159</f>
        <v>573</v>
      </c>
    </row>
    <row r="168" spans="1:6" s="49" customFormat="1" ht="12" customHeight="1">
      <c r="A168" s="50"/>
      <c r="B168" s="51"/>
      <c r="C168" s="287" t="s">
        <v>624</v>
      </c>
      <c r="D168" s="349"/>
      <c r="E168" s="349">
        <f>E152+E156+E160+E164</f>
        <v>2126</v>
      </c>
      <c r="F168" s="357">
        <f>F152+F156+F160+F164</f>
        <v>2126</v>
      </c>
    </row>
    <row r="169" spans="1:6" s="49" customFormat="1" ht="12" customHeight="1" thickBot="1">
      <c r="A169" s="385"/>
      <c r="B169" s="386"/>
      <c r="C169" s="398" t="s">
        <v>625</v>
      </c>
      <c r="D169" s="399"/>
      <c r="E169" s="399">
        <f>E165+E153+E157+E161</f>
        <v>7885</v>
      </c>
      <c r="F169" s="660">
        <f>E169</f>
        <v>7885</v>
      </c>
    </row>
    <row r="170" spans="1:6" s="49" customFormat="1" ht="12" customHeight="1" thickTop="1">
      <c r="A170" s="50" t="s">
        <v>409</v>
      </c>
      <c r="B170" s="51"/>
      <c r="C170" s="225" t="s">
        <v>479</v>
      </c>
      <c r="D170" s="124"/>
      <c r="E170" s="124"/>
      <c r="F170" s="661"/>
    </row>
    <row r="171" spans="1:6" ht="10.5" customHeight="1">
      <c r="A171" s="89" t="s">
        <v>312</v>
      </c>
      <c r="B171" s="43"/>
      <c r="C171" s="225" t="s">
        <v>485</v>
      </c>
      <c r="D171" s="121"/>
      <c r="E171" s="121"/>
      <c r="F171" s="662"/>
    </row>
    <row r="172" spans="1:6" ht="7.5" customHeight="1">
      <c r="A172" s="89"/>
      <c r="B172" s="43"/>
      <c r="C172" s="225"/>
      <c r="D172" s="121"/>
      <c r="E172" s="121"/>
      <c r="F172" s="122"/>
    </row>
    <row r="173" spans="1:6" ht="10.5" customHeight="1">
      <c r="A173" s="42"/>
      <c r="B173" s="96" t="s">
        <v>221</v>
      </c>
      <c r="C173" s="347" t="s">
        <v>410</v>
      </c>
      <c r="D173" s="345"/>
      <c r="E173" s="345"/>
      <c r="F173" s="357"/>
    </row>
    <row r="174" spans="1:6" ht="10.5" customHeight="1">
      <c r="A174" s="42"/>
      <c r="B174" s="96"/>
      <c r="C174" s="287" t="s">
        <v>623</v>
      </c>
      <c r="D174" s="345">
        <v>28750</v>
      </c>
      <c r="E174" s="345"/>
      <c r="F174" s="357">
        <f aca="true" t="shared" si="8" ref="F174:F264">SUM(D174:E174)</f>
        <v>28750</v>
      </c>
    </row>
    <row r="175" spans="1:6" ht="10.5" customHeight="1">
      <c r="A175" s="42"/>
      <c r="B175" s="96"/>
      <c r="C175" s="287" t="s">
        <v>624</v>
      </c>
      <c r="D175" s="345">
        <v>2129</v>
      </c>
      <c r="E175" s="345"/>
      <c r="F175" s="357">
        <f t="shared" si="8"/>
        <v>2129</v>
      </c>
    </row>
    <row r="176" spans="1:6" ht="10.5" customHeight="1">
      <c r="A176" s="42"/>
      <c r="B176" s="96"/>
      <c r="C176" s="287" t="s">
        <v>625</v>
      </c>
      <c r="D176" s="345">
        <v>0</v>
      </c>
      <c r="E176" s="345"/>
      <c r="F176" s="357">
        <f t="shared" si="8"/>
        <v>0</v>
      </c>
    </row>
    <row r="177" spans="1:6" ht="10.5" customHeight="1">
      <c r="A177" s="42"/>
      <c r="B177" s="96" t="s">
        <v>222</v>
      </c>
      <c r="C177" s="400" t="s">
        <v>731</v>
      </c>
      <c r="D177" s="345"/>
      <c r="E177" s="345"/>
      <c r="F177" s="357"/>
    </row>
    <row r="178" spans="1:6" ht="10.5" customHeight="1">
      <c r="A178" s="42"/>
      <c r="B178" s="96"/>
      <c r="C178" s="287" t="s">
        <v>623</v>
      </c>
      <c r="D178" s="345">
        <v>48000</v>
      </c>
      <c r="E178" s="345"/>
      <c r="F178" s="357">
        <f t="shared" si="8"/>
        <v>48000</v>
      </c>
    </row>
    <row r="179" spans="1:6" ht="10.5" customHeight="1">
      <c r="A179" s="42"/>
      <c r="B179" s="96"/>
      <c r="C179" s="287" t="s">
        <v>624</v>
      </c>
      <c r="D179" s="345">
        <v>18750</v>
      </c>
      <c r="E179" s="345"/>
      <c r="F179" s="357">
        <f t="shared" si="8"/>
        <v>18750</v>
      </c>
    </row>
    <row r="180" spans="1:6" ht="10.5" customHeight="1">
      <c r="A180" s="42"/>
      <c r="B180" s="96"/>
      <c r="C180" s="287" t="s">
        <v>625</v>
      </c>
      <c r="D180" s="345">
        <v>0</v>
      </c>
      <c r="E180" s="345"/>
      <c r="F180" s="357">
        <f t="shared" si="8"/>
        <v>0</v>
      </c>
    </row>
    <row r="181" spans="1:6" ht="9.75" customHeight="1">
      <c r="A181" s="42"/>
      <c r="B181" s="96" t="s">
        <v>223</v>
      </c>
      <c r="C181" s="400" t="s">
        <v>220</v>
      </c>
      <c r="D181" s="345"/>
      <c r="E181" s="345"/>
      <c r="F181" s="357"/>
    </row>
    <row r="182" spans="1:6" ht="9.75" customHeight="1">
      <c r="A182" s="42"/>
      <c r="B182" s="96"/>
      <c r="C182" s="287" t="s">
        <v>623</v>
      </c>
      <c r="D182" s="345">
        <v>11700</v>
      </c>
      <c r="E182" s="345"/>
      <c r="F182" s="357">
        <f t="shared" si="8"/>
        <v>11700</v>
      </c>
    </row>
    <row r="183" spans="1:6" ht="9.75" customHeight="1">
      <c r="A183" s="42"/>
      <c r="B183" s="96"/>
      <c r="C183" s="287" t="s">
        <v>624</v>
      </c>
      <c r="D183" s="345">
        <v>993</v>
      </c>
      <c r="E183" s="345"/>
      <c r="F183" s="357">
        <f t="shared" si="8"/>
        <v>993</v>
      </c>
    </row>
    <row r="184" spans="1:6" ht="9.75" customHeight="1">
      <c r="A184" s="42"/>
      <c r="B184" s="96"/>
      <c r="C184" s="287" t="s">
        <v>625</v>
      </c>
      <c r="D184" s="345">
        <v>0</v>
      </c>
      <c r="E184" s="345"/>
      <c r="F184" s="357">
        <f t="shared" si="8"/>
        <v>0</v>
      </c>
    </row>
    <row r="185" spans="1:6" ht="10.5" customHeight="1">
      <c r="A185" s="42"/>
      <c r="B185" s="96" t="s">
        <v>224</v>
      </c>
      <c r="C185" s="347" t="s">
        <v>411</v>
      </c>
      <c r="D185" s="345"/>
      <c r="E185" s="345"/>
      <c r="F185" s="357"/>
    </row>
    <row r="186" spans="1:6" ht="10.5" customHeight="1">
      <c r="A186" s="42"/>
      <c r="B186" s="96"/>
      <c r="C186" s="287" t="s">
        <v>623</v>
      </c>
      <c r="D186" s="345">
        <v>13500</v>
      </c>
      <c r="E186" s="345"/>
      <c r="F186" s="357">
        <f t="shared" si="8"/>
        <v>13500</v>
      </c>
    </row>
    <row r="187" spans="1:6" ht="10.5" customHeight="1">
      <c r="A187" s="42"/>
      <c r="B187" s="96"/>
      <c r="C187" s="287" t="s">
        <v>624</v>
      </c>
      <c r="D187" s="345">
        <v>238</v>
      </c>
      <c r="E187" s="345"/>
      <c r="F187" s="357">
        <f t="shared" si="8"/>
        <v>238</v>
      </c>
    </row>
    <row r="188" spans="1:6" ht="10.5" customHeight="1">
      <c r="A188" s="42"/>
      <c r="B188" s="96"/>
      <c r="C188" s="287" t="s">
        <v>625</v>
      </c>
      <c r="D188" s="345">
        <v>0</v>
      </c>
      <c r="E188" s="345"/>
      <c r="F188" s="357">
        <f t="shared" si="8"/>
        <v>0</v>
      </c>
    </row>
    <row r="189" spans="1:6" ht="10.5" customHeight="1">
      <c r="A189" s="42"/>
      <c r="B189" s="96" t="s">
        <v>225</v>
      </c>
      <c r="C189" s="347" t="s">
        <v>480</v>
      </c>
      <c r="D189" s="345"/>
      <c r="E189" s="345"/>
      <c r="F189" s="357"/>
    </row>
    <row r="190" spans="1:6" ht="10.5" customHeight="1">
      <c r="A190" s="42"/>
      <c r="B190" s="96"/>
      <c r="C190" s="287" t="s">
        <v>623</v>
      </c>
      <c r="D190" s="345">
        <v>7500</v>
      </c>
      <c r="E190" s="345"/>
      <c r="F190" s="357">
        <f t="shared" si="8"/>
        <v>7500</v>
      </c>
    </row>
    <row r="191" spans="1:6" ht="10.5" customHeight="1">
      <c r="A191" s="42"/>
      <c r="B191" s="96"/>
      <c r="C191" s="287" t="s">
        <v>624</v>
      </c>
      <c r="D191" s="345">
        <v>7500</v>
      </c>
      <c r="E191" s="345"/>
      <c r="F191" s="357">
        <f t="shared" si="8"/>
        <v>7500</v>
      </c>
    </row>
    <row r="192" spans="1:6" ht="10.5" customHeight="1">
      <c r="A192" s="42"/>
      <c r="B192" s="96"/>
      <c r="C192" s="287" t="s">
        <v>625</v>
      </c>
      <c r="D192" s="345">
        <f>3132+3091</f>
        <v>6223</v>
      </c>
      <c r="E192" s="345"/>
      <c r="F192" s="357">
        <f t="shared" si="8"/>
        <v>6223</v>
      </c>
    </row>
    <row r="193" spans="1:6" ht="10.5" customHeight="1">
      <c r="A193" s="42"/>
      <c r="B193" s="96" t="s">
        <v>226</v>
      </c>
      <c r="C193" s="347" t="s">
        <v>412</v>
      </c>
      <c r="D193" s="345"/>
      <c r="E193" s="345"/>
      <c r="F193" s="357"/>
    </row>
    <row r="194" spans="1:6" ht="10.5" customHeight="1">
      <c r="A194" s="42"/>
      <c r="B194" s="96"/>
      <c r="C194" s="287" t="s">
        <v>623</v>
      </c>
      <c r="D194" s="345">
        <v>18000</v>
      </c>
      <c r="E194" s="345"/>
      <c r="F194" s="357">
        <f t="shared" si="8"/>
        <v>18000</v>
      </c>
    </row>
    <row r="195" spans="1:6" ht="10.5" customHeight="1">
      <c r="A195" s="42"/>
      <c r="B195" s="96"/>
      <c r="C195" s="287" t="s">
        <v>624</v>
      </c>
      <c r="D195" s="345">
        <v>3671</v>
      </c>
      <c r="E195" s="345"/>
      <c r="F195" s="357">
        <f t="shared" si="8"/>
        <v>3671</v>
      </c>
    </row>
    <row r="196" spans="1:6" ht="10.5" customHeight="1">
      <c r="A196" s="42"/>
      <c r="B196" s="96"/>
      <c r="C196" s="287" t="s">
        <v>625</v>
      </c>
      <c r="D196" s="345">
        <v>0</v>
      </c>
      <c r="E196" s="345"/>
      <c r="F196" s="357">
        <f t="shared" si="8"/>
        <v>0</v>
      </c>
    </row>
    <row r="197" spans="1:6" ht="10.5" customHeight="1">
      <c r="A197" s="42"/>
      <c r="B197" s="96" t="s">
        <v>227</v>
      </c>
      <c r="C197" s="347" t="s">
        <v>488</v>
      </c>
      <c r="D197" s="345"/>
      <c r="E197" s="345"/>
      <c r="F197" s="357"/>
    </row>
    <row r="198" spans="1:6" ht="10.5" customHeight="1">
      <c r="A198" s="42"/>
      <c r="B198" s="96"/>
      <c r="C198" s="287" t="s">
        <v>623</v>
      </c>
      <c r="D198" s="345">
        <v>500</v>
      </c>
      <c r="E198" s="345"/>
      <c r="F198" s="357">
        <f t="shared" si="8"/>
        <v>500</v>
      </c>
    </row>
    <row r="199" spans="1:6" ht="10.5" customHeight="1">
      <c r="A199" s="42"/>
      <c r="B199" s="96"/>
      <c r="C199" s="287" t="s">
        <v>624</v>
      </c>
      <c r="D199" s="345">
        <v>500</v>
      </c>
      <c r="E199" s="345"/>
      <c r="F199" s="357">
        <f t="shared" si="8"/>
        <v>500</v>
      </c>
    </row>
    <row r="200" spans="1:6" ht="10.5" customHeight="1">
      <c r="A200" s="42"/>
      <c r="B200" s="96"/>
      <c r="C200" s="287" t="s">
        <v>625</v>
      </c>
      <c r="D200" s="345">
        <v>0</v>
      </c>
      <c r="E200" s="345"/>
      <c r="F200" s="357">
        <f t="shared" si="8"/>
        <v>0</v>
      </c>
    </row>
    <row r="201" spans="1:6" ht="10.5" customHeight="1">
      <c r="A201" s="42"/>
      <c r="B201" s="96" t="s">
        <v>228</v>
      </c>
      <c r="C201" s="347" t="s">
        <v>481</v>
      </c>
      <c r="D201" s="345"/>
      <c r="E201" s="345"/>
      <c r="F201" s="357"/>
    </row>
    <row r="202" spans="1:6" ht="10.5" customHeight="1">
      <c r="A202" s="42"/>
      <c r="B202" s="96"/>
      <c r="C202" s="287" t="s">
        <v>623</v>
      </c>
      <c r="D202" s="345">
        <v>600</v>
      </c>
      <c r="E202" s="345"/>
      <c r="F202" s="357">
        <f t="shared" si="8"/>
        <v>600</v>
      </c>
    </row>
    <row r="203" spans="1:6" ht="10.5" customHeight="1">
      <c r="A203" s="42"/>
      <c r="B203" s="96"/>
      <c r="C203" s="287" t="s">
        <v>624</v>
      </c>
      <c r="D203" s="345">
        <v>600</v>
      </c>
      <c r="E203" s="345"/>
      <c r="F203" s="357">
        <f t="shared" si="8"/>
        <v>600</v>
      </c>
    </row>
    <row r="204" spans="1:6" ht="10.5" customHeight="1">
      <c r="A204" s="42"/>
      <c r="B204" s="96"/>
      <c r="C204" s="287" t="s">
        <v>625</v>
      </c>
      <c r="D204" s="345">
        <v>0</v>
      </c>
      <c r="E204" s="345"/>
      <c r="F204" s="357">
        <f t="shared" si="8"/>
        <v>0</v>
      </c>
    </row>
    <row r="205" spans="1:6" ht="10.5" customHeight="1">
      <c r="A205" s="42"/>
      <c r="B205" s="96" t="s">
        <v>229</v>
      </c>
      <c r="C205" s="347" t="s">
        <v>413</v>
      </c>
      <c r="D205" s="345"/>
      <c r="E205" s="345"/>
      <c r="F205" s="357"/>
    </row>
    <row r="206" spans="1:6" ht="10.5" customHeight="1">
      <c r="A206" s="42"/>
      <c r="B206" s="96"/>
      <c r="C206" s="287" t="s">
        <v>623</v>
      </c>
      <c r="D206" s="345">
        <v>700</v>
      </c>
      <c r="E206" s="345"/>
      <c r="F206" s="357">
        <f t="shared" si="8"/>
        <v>700</v>
      </c>
    </row>
    <row r="207" spans="1:6" ht="10.5" customHeight="1">
      <c r="A207" s="42"/>
      <c r="B207" s="96"/>
      <c r="C207" s="287" t="s">
        <v>624</v>
      </c>
      <c r="D207" s="345">
        <v>700</v>
      </c>
      <c r="E207" s="345"/>
      <c r="F207" s="357">
        <f t="shared" si="8"/>
        <v>700</v>
      </c>
    </row>
    <row r="208" spans="1:6" ht="10.5" customHeight="1">
      <c r="A208" s="42"/>
      <c r="B208" s="96"/>
      <c r="C208" s="287" t="s">
        <v>625</v>
      </c>
      <c r="D208" s="345">
        <f>60+33+224+56+47+19+63+44+29+26+31+88</f>
        <v>720</v>
      </c>
      <c r="E208" s="345"/>
      <c r="F208" s="357">
        <f t="shared" si="8"/>
        <v>720</v>
      </c>
    </row>
    <row r="209" spans="1:6" ht="10.5" customHeight="1">
      <c r="A209" s="42"/>
      <c r="B209" s="96" t="s">
        <v>230</v>
      </c>
      <c r="C209" s="347" t="s">
        <v>732</v>
      </c>
      <c r="D209" s="345"/>
      <c r="E209" s="345"/>
      <c r="F209" s="357"/>
    </row>
    <row r="210" spans="1:6" ht="10.5" customHeight="1">
      <c r="A210" s="42"/>
      <c r="B210" s="96"/>
      <c r="C210" s="287" t="s">
        <v>623</v>
      </c>
      <c r="D210" s="345">
        <v>37064</v>
      </c>
      <c r="E210" s="345"/>
      <c r="F210" s="357">
        <f>SUM(D210:E210)</f>
        <v>37064</v>
      </c>
    </row>
    <row r="211" spans="1:6" ht="10.5" customHeight="1">
      <c r="A211" s="42"/>
      <c r="B211" s="96"/>
      <c r="C211" s="287" t="s">
        <v>624</v>
      </c>
      <c r="D211" s="345">
        <v>21165</v>
      </c>
      <c r="E211" s="345"/>
      <c r="F211" s="357">
        <f>SUM(D211:E211)</f>
        <v>21165</v>
      </c>
    </row>
    <row r="212" spans="1:6" ht="10.5" customHeight="1">
      <c r="A212" s="42"/>
      <c r="B212" s="96"/>
      <c r="C212" s="287" t="s">
        <v>625</v>
      </c>
      <c r="D212" s="345">
        <f>371+434+85+156+1366+217+85+227+257+467+298+1314+329+1238+581+298+581+298+176+142+869+77+581+298+46+1149+521+581+293+1126+13+256+1136+378+641+298+134+51+452+581+297+151+85+572+289+250+85+485+77-75+22+1</f>
        <v>20640</v>
      </c>
      <c r="E212" s="345"/>
      <c r="F212" s="357">
        <f t="shared" si="8"/>
        <v>20640</v>
      </c>
    </row>
    <row r="213" spans="1:6" ht="12" customHeight="1">
      <c r="A213" s="42"/>
      <c r="B213" s="96" t="s">
        <v>231</v>
      </c>
      <c r="C213" s="1988" t="s">
        <v>414</v>
      </c>
      <c r="D213" s="1894"/>
      <c r="E213" s="345"/>
      <c r="F213" s="357"/>
    </row>
    <row r="214" spans="1:6" ht="9.75" customHeight="1">
      <c r="A214" s="42"/>
      <c r="B214" s="96"/>
      <c r="C214" s="287" t="s">
        <v>623</v>
      </c>
      <c r="D214" s="345">
        <v>1200</v>
      </c>
      <c r="E214" s="345"/>
      <c r="F214" s="357">
        <f t="shared" si="8"/>
        <v>1200</v>
      </c>
    </row>
    <row r="215" spans="1:6" ht="9.75" customHeight="1">
      <c r="A215" s="42"/>
      <c r="B215" s="96"/>
      <c r="C215" s="287" t="s">
        <v>624</v>
      </c>
      <c r="D215" s="345">
        <v>1200</v>
      </c>
      <c r="E215" s="345"/>
      <c r="F215" s="357">
        <f t="shared" si="8"/>
        <v>1200</v>
      </c>
    </row>
    <row r="216" spans="1:6" ht="9.75" customHeight="1">
      <c r="A216" s="42"/>
      <c r="B216" s="96"/>
      <c r="C216" s="287" t="s">
        <v>625</v>
      </c>
      <c r="D216" s="345">
        <v>1200</v>
      </c>
      <c r="E216" s="345"/>
      <c r="F216" s="357">
        <f t="shared" si="8"/>
        <v>1200</v>
      </c>
    </row>
    <row r="217" spans="1:6" ht="13.5" customHeight="1">
      <c r="A217" s="42"/>
      <c r="B217" s="96" t="s">
        <v>232</v>
      </c>
      <c r="C217" s="401" t="s">
        <v>505</v>
      </c>
      <c r="D217" s="345"/>
      <c r="E217" s="345"/>
      <c r="F217" s="357"/>
    </row>
    <row r="218" spans="1:6" ht="10.5" customHeight="1">
      <c r="A218" s="42"/>
      <c r="B218" s="96"/>
      <c r="C218" s="287" t="s">
        <v>623</v>
      </c>
      <c r="D218" s="345">
        <v>4000</v>
      </c>
      <c r="E218" s="345"/>
      <c r="F218" s="357">
        <f t="shared" si="8"/>
        <v>4000</v>
      </c>
    </row>
    <row r="219" spans="1:6" ht="10.5" customHeight="1">
      <c r="A219" s="42"/>
      <c r="B219" s="96"/>
      <c r="C219" s="287" t="s">
        <v>624</v>
      </c>
      <c r="D219" s="345">
        <v>4000</v>
      </c>
      <c r="E219" s="345"/>
      <c r="F219" s="357">
        <f t="shared" si="8"/>
        <v>4000</v>
      </c>
    </row>
    <row r="220" spans="1:6" ht="10.5" customHeight="1">
      <c r="A220" s="42"/>
      <c r="B220" s="96"/>
      <c r="C220" s="287" t="s">
        <v>625</v>
      </c>
      <c r="D220" s="345">
        <f>1008+665+1071+220+154</f>
        <v>3118</v>
      </c>
      <c r="E220" s="345"/>
      <c r="F220" s="357">
        <f t="shared" si="8"/>
        <v>3118</v>
      </c>
    </row>
    <row r="221" spans="1:6" ht="10.5" customHeight="1">
      <c r="A221" s="42"/>
      <c r="B221" s="96" t="s">
        <v>233</v>
      </c>
      <c r="C221" s="402" t="s">
        <v>497</v>
      </c>
      <c r="D221" s="345"/>
      <c r="E221" s="345"/>
      <c r="F221" s="357"/>
    </row>
    <row r="222" spans="1:6" ht="10.5" customHeight="1">
      <c r="A222" s="42"/>
      <c r="B222" s="96"/>
      <c r="C222" s="287" t="s">
        <v>623</v>
      </c>
      <c r="D222" s="345">
        <v>3000</v>
      </c>
      <c r="E222" s="345"/>
      <c r="F222" s="357">
        <f t="shared" si="8"/>
        <v>3000</v>
      </c>
    </row>
    <row r="223" spans="1:6" ht="10.5" customHeight="1">
      <c r="A223" s="42"/>
      <c r="B223" s="96"/>
      <c r="C223" s="287" t="s">
        <v>624</v>
      </c>
      <c r="D223" s="345">
        <v>3417</v>
      </c>
      <c r="E223" s="345"/>
      <c r="F223" s="357">
        <f t="shared" si="8"/>
        <v>3417</v>
      </c>
    </row>
    <row r="224" spans="1:6" ht="10.5" customHeight="1">
      <c r="A224" s="42"/>
      <c r="B224" s="96"/>
      <c r="C224" s="287" t="s">
        <v>625</v>
      </c>
      <c r="D224" s="345">
        <f>50+534+377+172+277+244+156+306+253+271+281+122</f>
        <v>3043</v>
      </c>
      <c r="E224" s="345"/>
      <c r="F224" s="357">
        <f t="shared" si="8"/>
        <v>3043</v>
      </c>
    </row>
    <row r="225" spans="1:6" ht="12.75" customHeight="1">
      <c r="A225" s="42"/>
      <c r="B225" s="96" t="s">
        <v>234</v>
      </c>
      <c r="C225" s="402" t="s">
        <v>510</v>
      </c>
      <c r="D225" s="345"/>
      <c r="E225" s="345"/>
      <c r="F225" s="357"/>
    </row>
    <row r="226" spans="1:6" ht="9.75" customHeight="1">
      <c r="A226" s="42"/>
      <c r="B226" s="96"/>
      <c r="C226" s="287" t="s">
        <v>623</v>
      </c>
      <c r="D226" s="345">
        <v>5000</v>
      </c>
      <c r="E226" s="345"/>
      <c r="F226" s="357">
        <f t="shared" si="8"/>
        <v>5000</v>
      </c>
    </row>
    <row r="227" spans="1:6" ht="9.75" customHeight="1">
      <c r="A227" s="42"/>
      <c r="B227" s="96"/>
      <c r="C227" s="287" t="s">
        <v>624</v>
      </c>
      <c r="D227" s="345">
        <v>5000</v>
      </c>
      <c r="E227" s="345"/>
      <c r="F227" s="357">
        <f t="shared" si="8"/>
        <v>5000</v>
      </c>
    </row>
    <row r="228" spans="1:6" ht="9.75" customHeight="1">
      <c r="A228" s="42"/>
      <c r="B228" s="96"/>
      <c r="C228" s="287" t="s">
        <v>625</v>
      </c>
      <c r="D228" s="345">
        <v>0</v>
      </c>
      <c r="E228" s="345"/>
      <c r="F228" s="357">
        <f t="shared" si="8"/>
        <v>0</v>
      </c>
    </row>
    <row r="229" spans="1:6" ht="10.5" customHeight="1">
      <c r="A229" s="42"/>
      <c r="B229" s="96" t="s">
        <v>235</v>
      </c>
      <c r="C229" s="402" t="s">
        <v>514</v>
      </c>
      <c r="D229" s="345"/>
      <c r="E229" s="345"/>
      <c r="F229" s="357"/>
    </row>
    <row r="230" spans="1:6" ht="10.5" customHeight="1">
      <c r="A230" s="42"/>
      <c r="B230" s="96"/>
      <c r="C230" s="287" t="s">
        <v>623</v>
      </c>
      <c r="D230" s="345">
        <v>518</v>
      </c>
      <c r="E230" s="345"/>
      <c r="F230" s="357">
        <f t="shared" si="8"/>
        <v>518</v>
      </c>
    </row>
    <row r="231" spans="1:6" ht="10.5" customHeight="1">
      <c r="A231" s="42"/>
      <c r="B231" s="96"/>
      <c r="C231" s="287" t="s">
        <v>624</v>
      </c>
      <c r="D231" s="345">
        <v>518</v>
      </c>
      <c r="E231" s="345"/>
      <c r="F231" s="357">
        <f t="shared" si="8"/>
        <v>518</v>
      </c>
    </row>
    <row r="232" spans="1:6" ht="10.5" customHeight="1">
      <c r="A232" s="42"/>
      <c r="B232" s="96"/>
      <c r="C232" s="287" t="s">
        <v>625</v>
      </c>
      <c r="D232" s="345">
        <f>12+524</f>
        <v>536</v>
      </c>
      <c r="E232" s="345"/>
      <c r="F232" s="357">
        <f t="shared" si="8"/>
        <v>536</v>
      </c>
    </row>
    <row r="233" spans="1:6" ht="10.5" customHeight="1">
      <c r="A233" s="42"/>
      <c r="B233" s="96" t="s">
        <v>236</v>
      </c>
      <c r="C233" s="402" t="s">
        <v>515</v>
      </c>
      <c r="D233" s="345"/>
      <c r="E233" s="345"/>
      <c r="F233" s="357"/>
    </row>
    <row r="234" spans="1:6" ht="10.5" customHeight="1">
      <c r="A234" s="42"/>
      <c r="B234" s="96"/>
      <c r="C234" s="287" t="s">
        <v>623</v>
      </c>
      <c r="D234" s="345">
        <v>21052</v>
      </c>
      <c r="E234" s="345"/>
      <c r="F234" s="357">
        <f t="shared" si="8"/>
        <v>21052</v>
      </c>
    </row>
    <row r="235" spans="1:6" ht="10.5" customHeight="1">
      <c r="A235" s="42"/>
      <c r="B235" s="96"/>
      <c r="C235" s="287" t="s">
        <v>624</v>
      </c>
      <c r="D235" s="345">
        <v>22119</v>
      </c>
      <c r="E235" s="345"/>
      <c r="F235" s="357">
        <f t="shared" si="8"/>
        <v>22119</v>
      </c>
    </row>
    <row r="236" spans="1:6" ht="10.5" customHeight="1">
      <c r="A236" s="42"/>
      <c r="B236" s="96"/>
      <c r="C236" s="287" t="s">
        <v>625</v>
      </c>
      <c r="D236" s="345">
        <f>484+1396+4903+660+1226+1225+1225+1226+1225+2180+1226+1225+1227+1364+793</f>
        <v>21585</v>
      </c>
      <c r="E236" s="345"/>
      <c r="F236" s="357">
        <f t="shared" si="8"/>
        <v>21585</v>
      </c>
    </row>
    <row r="237" spans="1:6" ht="10.5" customHeight="1">
      <c r="A237" s="42"/>
      <c r="B237" s="96" t="s">
        <v>237</v>
      </c>
      <c r="C237" s="402" t="s">
        <v>528</v>
      </c>
      <c r="D237" s="345"/>
      <c r="E237" s="345"/>
      <c r="F237" s="357"/>
    </row>
    <row r="238" spans="1:6" ht="10.5" customHeight="1">
      <c r="A238" s="42"/>
      <c r="B238" s="96"/>
      <c r="C238" s="287" t="s">
        <v>623</v>
      </c>
      <c r="D238" s="345">
        <v>600</v>
      </c>
      <c r="E238" s="345"/>
      <c r="F238" s="357">
        <f t="shared" si="8"/>
        <v>600</v>
      </c>
    </row>
    <row r="239" spans="1:6" ht="10.5" customHeight="1">
      <c r="A239" s="42"/>
      <c r="B239" s="96"/>
      <c r="C239" s="287" t="s">
        <v>624</v>
      </c>
      <c r="D239" s="345">
        <v>600</v>
      </c>
      <c r="E239" s="345"/>
      <c r="F239" s="357">
        <f t="shared" si="8"/>
        <v>600</v>
      </c>
    </row>
    <row r="240" spans="1:6" ht="10.5" customHeight="1">
      <c r="A240" s="42"/>
      <c r="B240" s="96"/>
      <c r="C240" s="287" t="s">
        <v>625</v>
      </c>
      <c r="D240" s="345">
        <v>0</v>
      </c>
      <c r="E240" s="345"/>
      <c r="F240" s="357">
        <f t="shared" si="8"/>
        <v>0</v>
      </c>
    </row>
    <row r="241" spans="1:6" ht="10.5" customHeight="1">
      <c r="A241" s="42"/>
      <c r="B241" s="96" t="s">
        <v>238</v>
      </c>
      <c r="C241" s="402" t="s">
        <v>2</v>
      </c>
      <c r="D241" s="345"/>
      <c r="E241" s="345"/>
      <c r="F241" s="357"/>
    </row>
    <row r="242" spans="1:6" ht="10.5" customHeight="1">
      <c r="A242" s="42"/>
      <c r="B242" s="96"/>
      <c r="C242" s="287" t="s">
        <v>623</v>
      </c>
      <c r="D242" s="345">
        <v>2000</v>
      </c>
      <c r="E242" s="345"/>
      <c r="F242" s="357">
        <f t="shared" si="8"/>
        <v>2000</v>
      </c>
    </row>
    <row r="243" spans="1:6" ht="10.5" customHeight="1">
      <c r="A243" s="42"/>
      <c r="B243" s="96"/>
      <c r="C243" s="287" t="s">
        <v>624</v>
      </c>
      <c r="D243" s="345">
        <v>1620</v>
      </c>
      <c r="E243" s="345"/>
      <c r="F243" s="357">
        <f t="shared" si="8"/>
        <v>1620</v>
      </c>
    </row>
    <row r="244" spans="1:6" ht="10.5" customHeight="1">
      <c r="A244" s="42"/>
      <c r="B244" s="96"/>
      <c r="C244" s="287" t="s">
        <v>625</v>
      </c>
      <c r="D244" s="345">
        <v>0</v>
      </c>
      <c r="E244" s="345"/>
      <c r="F244" s="357">
        <f t="shared" si="8"/>
        <v>0</v>
      </c>
    </row>
    <row r="245" spans="1:6" ht="11.25" customHeight="1">
      <c r="A245" s="42"/>
      <c r="B245" s="96" t="s">
        <v>239</v>
      </c>
      <c r="C245" s="402" t="s">
        <v>733</v>
      </c>
      <c r="D245" s="345"/>
      <c r="E245" s="345"/>
      <c r="F245" s="357"/>
    </row>
    <row r="246" spans="1:6" ht="11.25" customHeight="1">
      <c r="A246" s="42"/>
      <c r="B246" s="96"/>
      <c r="C246" s="287" t="s">
        <v>623</v>
      </c>
      <c r="D246" s="345">
        <v>23</v>
      </c>
      <c r="E246" s="345"/>
      <c r="F246" s="357">
        <f t="shared" si="8"/>
        <v>23</v>
      </c>
    </row>
    <row r="247" spans="1:6" ht="11.25" customHeight="1">
      <c r="A247" s="42"/>
      <c r="B247" s="96"/>
      <c r="C247" s="287" t="s">
        <v>624</v>
      </c>
      <c r="D247" s="345">
        <v>23</v>
      </c>
      <c r="E247" s="345"/>
      <c r="F247" s="357">
        <f t="shared" si="8"/>
        <v>23</v>
      </c>
    </row>
    <row r="248" spans="1:6" ht="11.25" customHeight="1">
      <c r="A248" s="42"/>
      <c r="B248" s="96"/>
      <c r="C248" s="287" t="s">
        <v>625</v>
      </c>
      <c r="D248" s="345">
        <v>0</v>
      </c>
      <c r="E248" s="345"/>
      <c r="F248" s="357">
        <f t="shared" si="8"/>
        <v>0</v>
      </c>
    </row>
    <row r="249" spans="1:6" ht="10.5" customHeight="1">
      <c r="A249" s="42"/>
      <c r="B249" s="96" t="s">
        <v>240</v>
      </c>
      <c r="C249" s="402" t="s">
        <v>734</v>
      </c>
      <c r="D249" s="345"/>
      <c r="E249" s="345"/>
      <c r="F249" s="357"/>
    </row>
    <row r="250" spans="1:6" ht="10.5" customHeight="1">
      <c r="A250" s="42"/>
      <c r="B250" s="96"/>
      <c r="C250" s="287" t="s">
        <v>623</v>
      </c>
      <c r="D250" s="345">
        <v>0</v>
      </c>
      <c r="E250" s="345"/>
      <c r="F250" s="357">
        <f t="shared" si="8"/>
        <v>0</v>
      </c>
    </row>
    <row r="251" spans="1:6" ht="10.5" customHeight="1">
      <c r="A251" s="42"/>
      <c r="B251" s="96"/>
      <c r="C251" s="287" t="s">
        <v>624</v>
      </c>
      <c r="D251" s="345">
        <v>179</v>
      </c>
      <c r="E251" s="345"/>
      <c r="F251" s="357">
        <f t="shared" si="8"/>
        <v>179</v>
      </c>
    </row>
    <row r="252" spans="1:6" ht="10.5" customHeight="1">
      <c r="A252" s="42"/>
      <c r="B252" s="96"/>
      <c r="C252" s="287" t="s">
        <v>625</v>
      </c>
      <c r="D252" s="345">
        <v>179</v>
      </c>
      <c r="E252" s="345"/>
      <c r="F252" s="357">
        <f t="shared" si="8"/>
        <v>179</v>
      </c>
    </row>
    <row r="253" spans="1:6" ht="10.5" customHeight="1">
      <c r="A253" s="42"/>
      <c r="B253" s="96" t="s">
        <v>241</v>
      </c>
      <c r="C253" s="402" t="s">
        <v>735</v>
      </c>
      <c r="D253" s="345"/>
      <c r="E253" s="345"/>
      <c r="F253" s="357"/>
    </row>
    <row r="254" spans="1:6" ht="10.5" customHeight="1">
      <c r="A254" s="42"/>
      <c r="B254" s="96"/>
      <c r="C254" s="287" t="s">
        <v>623</v>
      </c>
      <c r="D254" s="345">
        <v>0</v>
      </c>
      <c r="E254" s="345"/>
      <c r="F254" s="357">
        <f t="shared" si="8"/>
        <v>0</v>
      </c>
    </row>
    <row r="255" spans="1:6" ht="10.5" customHeight="1">
      <c r="A255" s="42"/>
      <c r="B255" s="96"/>
      <c r="C255" s="287" t="s">
        <v>624</v>
      </c>
      <c r="D255" s="345">
        <v>239</v>
      </c>
      <c r="E255" s="345"/>
      <c r="F255" s="357">
        <f t="shared" si="8"/>
        <v>239</v>
      </c>
    </row>
    <row r="256" spans="1:6" ht="10.5" customHeight="1">
      <c r="A256" s="42"/>
      <c r="B256" s="96"/>
      <c r="C256" s="287" t="s">
        <v>625</v>
      </c>
      <c r="D256" s="345"/>
      <c r="E256" s="345"/>
      <c r="F256" s="357">
        <f t="shared" si="8"/>
        <v>0</v>
      </c>
    </row>
    <row r="257" spans="1:6" ht="10.5" customHeight="1">
      <c r="A257" s="42"/>
      <c r="B257" s="96" t="s">
        <v>242</v>
      </c>
      <c r="C257" s="402" t="s">
        <v>736</v>
      </c>
      <c r="D257" s="345"/>
      <c r="E257" s="345"/>
      <c r="F257" s="357"/>
    </row>
    <row r="258" spans="1:6" ht="10.5" customHeight="1">
      <c r="A258" s="42"/>
      <c r="B258" s="96"/>
      <c r="C258" s="287" t="s">
        <v>623</v>
      </c>
      <c r="D258" s="345">
        <v>0</v>
      </c>
      <c r="E258" s="345"/>
      <c r="F258" s="357">
        <f t="shared" si="8"/>
        <v>0</v>
      </c>
    </row>
    <row r="259" spans="1:6" ht="10.5" customHeight="1">
      <c r="A259" s="42"/>
      <c r="B259" s="96"/>
      <c r="C259" s="287" t="s">
        <v>624</v>
      </c>
      <c r="D259" s="345">
        <v>624</v>
      </c>
      <c r="E259" s="345"/>
      <c r="F259" s="357">
        <f t="shared" si="8"/>
        <v>624</v>
      </c>
    </row>
    <row r="260" spans="1:6" ht="10.5" customHeight="1">
      <c r="A260" s="42"/>
      <c r="B260" s="96"/>
      <c r="C260" s="287" t="s">
        <v>625</v>
      </c>
      <c r="D260" s="345">
        <v>0</v>
      </c>
      <c r="E260" s="345"/>
      <c r="F260" s="357">
        <f t="shared" si="8"/>
        <v>0</v>
      </c>
    </row>
    <row r="261" spans="1:6" ht="11.25" customHeight="1">
      <c r="A261" s="42"/>
      <c r="B261" s="96" t="s">
        <v>243</v>
      </c>
      <c r="C261" s="402" t="s">
        <v>737</v>
      </c>
      <c r="D261" s="345"/>
      <c r="E261" s="345"/>
      <c r="F261" s="357"/>
    </row>
    <row r="262" spans="1:6" ht="11.25" customHeight="1">
      <c r="A262" s="42"/>
      <c r="B262" s="96"/>
      <c r="C262" s="287" t="s">
        <v>623</v>
      </c>
      <c r="D262" s="345">
        <v>0</v>
      </c>
      <c r="E262" s="345"/>
      <c r="F262" s="357">
        <f t="shared" si="8"/>
        <v>0</v>
      </c>
    </row>
    <row r="263" spans="1:6" ht="11.25" customHeight="1">
      <c r="A263" s="42"/>
      <c r="B263" s="96"/>
      <c r="C263" s="287" t="s">
        <v>624</v>
      </c>
      <c r="D263" s="345">
        <v>9039</v>
      </c>
      <c r="E263" s="345"/>
      <c r="F263" s="357">
        <f t="shared" si="8"/>
        <v>9039</v>
      </c>
    </row>
    <row r="264" spans="1:6" ht="11.25" customHeight="1">
      <c r="A264" s="42"/>
      <c r="B264" s="96"/>
      <c r="C264" s="287" t="s">
        <v>625</v>
      </c>
      <c r="D264" s="345">
        <f>6415+2624</f>
        <v>9039</v>
      </c>
      <c r="E264" s="345"/>
      <c r="F264" s="357">
        <f t="shared" si="8"/>
        <v>9039</v>
      </c>
    </row>
    <row r="265" spans="1:6" ht="11.25" customHeight="1">
      <c r="A265" s="42"/>
      <c r="B265" s="96" t="s">
        <v>580</v>
      </c>
      <c r="C265" s="402" t="s">
        <v>738</v>
      </c>
      <c r="D265" s="345"/>
      <c r="E265" s="345"/>
      <c r="F265" s="357"/>
    </row>
    <row r="266" spans="1:6" ht="11.25" customHeight="1">
      <c r="A266" s="42"/>
      <c r="B266" s="96"/>
      <c r="C266" s="287" t="s">
        <v>623</v>
      </c>
      <c r="D266" s="345">
        <v>0</v>
      </c>
      <c r="E266" s="345"/>
      <c r="F266" s="357">
        <f>SUM(D266:E266)</f>
        <v>0</v>
      </c>
    </row>
    <row r="267" spans="1:6" ht="11.25" customHeight="1">
      <c r="A267" s="42"/>
      <c r="B267" s="96"/>
      <c r="C267" s="287" t="s">
        <v>624</v>
      </c>
      <c r="D267" s="345">
        <v>625</v>
      </c>
      <c r="E267" s="345"/>
      <c r="F267" s="357">
        <f>SUM(D267:E267)</f>
        <v>625</v>
      </c>
    </row>
    <row r="268" spans="1:6" ht="11.25" customHeight="1">
      <c r="A268" s="42"/>
      <c r="B268" s="96"/>
      <c r="C268" s="287" t="s">
        <v>625</v>
      </c>
      <c r="D268" s="345">
        <f>492+133</f>
        <v>625</v>
      </c>
      <c r="E268" s="345"/>
      <c r="F268" s="357">
        <f>SUM(D268:E268)</f>
        <v>625</v>
      </c>
    </row>
    <row r="269" spans="1:6" ht="11.25" customHeight="1">
      <c r="A269" s="42"/>
      <c r="B269" s="96" t="s">
        <v>616</v>
      </c>
      <c r="C269" s="402" t="s">
        <v>739</v>
      </c>
      <c r="D269" s="345"/>
      <c r="E269" s="345"/>
      <c r="F269" s="357"/>
    </row>
    <row r="270" spans="1:6" ht="11.25" customHeight="1">
      <c r="A270" s="42"/>
      <c r="B270" s="96"/>
      <c r="C270" s="287" t="s">
        <v>623</v>
      </c>
      <c r="D270" s="345">
        <v>0</v>
      </c>
      <c r="E270" s="345"/>
      <c r="F270" s="357">
        <f>SUM(D270:E270)</f>
        <v>0</v>
      </c>
    </row>
    <row r="271" spans="1:6" ht="11.25" customHeight="1">
      <c r="A271" s="42"/>
      <c r="B271" s="96"/>
      <c r="C271" s="287" t="s">
        <v>624</v>
      </c>
      <c r="D271" s="345">
        <v>0</v>
      </c>
      <c r="E271" s="345"/>
      <c r="F271" s="357">
        <f>SUM(D271:E271)</f>
        <v>0</v>
      </c>
    </row>
    <row r="272" spans="1:6" ht="11.25" customHeight="1">
      <c r="A272" s="42"/>
      <c r="B272" s="96"/>
      <c r="C272" s="287" t="s">
        <v>625</v>
      </c>
      <c r="D272" s="345">
        <v>0</v>
      </c>
      <c r="E272" s="345"/>
      <c r="F272" s="357">
        <f>SUM(D272:E272)</f>
        <v>0</v>
      </c>
    </row>
    <row r="273" spans="1:6" ht="11.25" customHeight="1">
      <c r="A273" s="42"/>
      <c r="B273" s="96" t="s">
        <v>617</v>
      </c>
      <c r="C273" s="402" t="s">
        <v>618</v>
      </c>
      <c r="D273" s="345"/>
      <c r="E273" s="345"/>
      <c r="F273" s="357"/>
    </row>
    <row r="274" spans="1:6" ht="11.25" customHeight="1">
      <c r="A274" s="42"/>
      <c r="B274" s="96"/>
      <c r="C274" s="287" t="s">
        <v>623</v>
      </c>
      <c r="D274" s="345">
        <v>0</v>
      </c>
      <c r="E274" s="345"/>
      <c r="F274" s="357">
        <f>SUM(D274:E274)</f>
        <v>0</v>
      </c>
    </row>
    <row r="275" spans="1:6" ht="11.25" customHeight="1">
      <c r="A275" s="42"/>
      <c r="B275" s="96"/>
      <c r="C275" s="287" t="s">
        <v>624</v>
      </c>
      <c r="D275" s="345">
        <v>160</v>
      </c>
      <c r="E275" s="345"/>
      <c r="F275" s="357">
        <f>SUM(D275:E275)</f>
        <v>160</v>
      </c>
    </row>
    <row r="276" spans="1:6" ht="11.25" customHeight="1">
      <c r="A276" s="42"/>
      <c r="B276" s="96"/>
      <c r="C276" s="287" t="s">
        <v>625</v>
      </c>
      <c r="D276" s="345">
        <f>30+40+40+50</f>
        <v>160</v>
      </c>
      <c r="E276" s="345"/>
      <c r="F276" s="357">
        <f>SUM(D276:E276)</f>
        <v>160</v>
      </c>
    </row>
    <row r="277" spans="1:6" ht="11.25" customHeight="1">
      <c r="A277" s="42"/>
      <c r="B277" s="96" t="s">
        <v>621</v>
      </c>
      <c r="C277" s="402" t="s">
        <v>740</v>
      </c>
      <c r="D277" s="345"/>
      <c r="E277" s="345"/>
      <c r="F277" s="357"/>
    </row>
    <row r="278" spans="1:6" ht="11.25" customHeight="1">
      <c r="A278" s="42"/>
      <c r="B278" s="96"/>
      <c r="C278" s="287" t="s">
        <v>623</v>
      </c>
      <c r="D278" s="345">
        <v>0</v>
      </c>
      <c r="E278" s="345"/>
      <c r="F278" s="357">
        <f>SUM(D278:E278)</f>
        <v>0</v>
      </c>
    </row>
    <row r="279" spans="1:6" ht="11.25" customHeight="1">
      <c r="A279" s="42"/>
      <c r="B279" s="96"/>
      <c r="C279" s="287" t="s">
        <v>624</v>
      </c>
      <c r="D279" s="345">
        <v>835</v>
      </c>
      <c r="E279" s="345"/>
      <c r="F279" s="357">
        <f>SUM(D279:E279)</f>
        <v>835</v>
      </c>
    </row>
    <row r="280" spans="1:6" ht="11.25" customHeight="1">
      <c r="A280" s="42"/>
      <c r="B280" s="96"/>
      <c r="C280" s="287" t="s">
        <v>625</v>
      </c>
      <c r="D280" s="345">
        <v>835</v>
      </c>
      <c r="E280" s="345"/>
      <c r="F280" s="357">
        <f>SUM(D280:E280)</f>
        <v>835</v>
      </c>
    </row>
    <row r="281" spans="1:6" ht="11.25" customHeight="1">
      <c r="A281" s="42"/>
      <c r="B281" s="96" t="s">
        <v>899</v>
      </c>
      <c r="C281" s="593" t="s">
        <v>741</v>
      </c>
      <c r="D281" s="345"/>
      <c r="E281" s="345"/>
      <c r="F281" s="357"/>
    </row>
    <row r="282" spans="1:6" ht="11.25" customHeight="1">
      <c r="A282" s="42"/>
      <c r="B282" s="96"/>
      <c r="C282" s="287" t="s">
        <v>623</v>
      </c>
      <c r="D282" s="345">
        <v>0</v>
      </c>
      <c r="E282" s="345"/>
      <c r="F282" s="357">
        <v>0</v>
      </c>
    </row>
    <row r="283" spans="1:6" ht="11.25" customHeight="1">
      <c r="A283" s="42"/>
      <c r="B283" s="96"/>
      <c r="C283" s="287" t="s">
        <v>624</v>
      </c>
      <c r="D283" s="345">
        <v>100</v>
      </c>
      <c r="E283" s="345"/>
      <c r="F283" s="357">
        <f>D283</f>
        <v>100</v>
      </c>
    </row>
    <row r="284" spans="1:6" ht="11.25" customHeight="1">
      <c r="A284" s="42"/>
      <c r="B284" s="96"/>
      <c r="C284" s="287" t="s">
        <v>625</v>
      </c>
      <c r="D284" s="345">
        <v>100</v>
      </c>
      <c r="E284" s="345"/>
      <c r="F284" s="357">
        <f aca="true" t="shared" si="9" ref="F284:F296">D284</f>
        <v>100</v>
      </c>
    </row>
    <row r="285" spans="1:6" ht="11.25" customHeight="1">
      <c r="A285" s="42"/>
      <c r="B285" s="96" t="s">
        <v>900</v>
      </c>
      <c r="C285" s="593" t="s">
        <v>901</v>
      </c>
      <c r="D285" s="345"/>
      <c r="E285" s="345"/>
      <c r="F285" s="357"/>
    </row>
    <row r="286" spans="1:6" ht="11.25" customHeight="1">
      <c r="A286" s="42"/>
      <c r="B286" s="96"/>
      <c r="C286" s="287" t="s">
        <v>623</v>
      </c>
      <c r="D286" s="345">
        <v>0</v>
      </c>
      <c r="E286" s="345"/>
      <c r="F286" s="357">
        <f t="shared" si="9"/>
        <v>0</v>
      </c>
    </row>
    <row r="287" spans="1:6" ht="11.25" customHeight="1">
      <c r="A287" s="42"/>
      <c r="B287" s="96"/>
      <c r="C287" s="287" t="s">
        <v>624</v>
      </c>
      <c r="D287" s="345">
        <v>30</v>
      </c>
      <c r="E287" s="345"/>
      <c r="F287" s="357">
        <f t="shared" si="9"/>
        <v>30</v>
      </c>
    </row>
    <row r="288" spans="1:6" ht="11.25" customHeight="1">
      <c r="A288" s="42"/>
      <c r="B288" s="96"/>
      <c r="C288" s="287" t="s">
        <v>625</v>
      </c>
      <c r="D288" s="345">
        <v>30</v>
      </c>
      <c r="E288" s="345"/>
      <c r="F288" s="357">
        <f t="shared" si="9"/>
        <v>30</v>
      </c>
    </row>
    <row r="289" spans="1:6" ht="11.25" customHeight="1">
      <c r="A289" s="42"/>
      <c r="B289" s="96" t="s">
        <v>914</v>
      </c>
      <c r="C289" s="402" t="s">
        <v>742</v>
      </c>
      <c r="D289" s="345"/>
      <c r="E289" s="345"/>
      <c r="F289" s="357"/>
    </row>
    <row r="290" spans="1:6" ht="11.25" customHeight="1">
      <c r="A290" s="42"/>
      <c r="B290" s="96"/>
      <c r="C290" s="287" t="s">
        <v>623</v>
      </c>
      <c r="D290" s="345">
        <v>0</v>
      </c>
      <c r="E290" s="345"/>
      <c r="F290" s="357">
        <f t="shared" si="9"/>
        <v>0</v>
      </c>
    </row>
    <row r="291" spans="1:6" ht="11.25" customHeight="1">
      <c r="A291" s="42"/>
      <c r="B291" s="96"/>
      <c r="C291" s="287" t="s">
        <v>624</v>
      </c>
      <c r="D291" s="345">
        <v>20</v>
      </c>
      <c r="E291" s="345"/>
      <c r="F291" s="357">
        <f t="shared" si="9"/>
        <v>20</v>
      </c>
    </row>
    <row r="292" spans="1:6" ht="11.25" customHeight="1">
      <c r="A292" s="42"/>
      <c r="B292" s="96"/>
      <c r="C292" s="287" t="s">
        <v>625</v>
      </c>
      <c r="D292" s="345">
        <v>0</v>
      </c>
      <c r="E292" s="345"/>
      <c r="F292" s="357">
        <f t="shared" si="9"/>
        <v>0</v>
      </c>
    </row>
    <row r="293" spans="1:6" ht="11.25" customHeight="1">
      <c r="A293" s="42"/>
      <c r="B293" s="96" t="s">
        <v>915</v>
      </c>
      <c r="C293" s="402" t="s">
        <v>703</v>
      </c>
      <c r="D293" s="345"/>
      <c r="E293" s="345"/>
      <c r="F293" s="357"/>
    </row>
    <row r="294" spans="1:6" ht="11.25" customHeight="1">
      <c r="A294" s="42"/>
      <c r="B294" s="96"/>
      <c r="C294" s="287" t="s">
        <v>623</v>
      </c>
      <c r="D294" s="345">
        <v>0</v>
      </c>
      <c r="E294" s="345"/>
      <c r="F294" s="357">
        <f t="shared" si="9"/>
        <v>0</v>
      </c>
    </row>
    <row r="295" spans="1:6" ht="11.25" customHeight="1">
      <c r="A295" s="42"/>
      <c r="B295" s="96"/>
      <c r="C295" s="287" t="s">
        <v>624</v>
      </c>
      <c r="D295" s="345">
        <v>0</v>
      </c>
      <c r="E295" s="345"/>
      <c r="F295" s="357">
        <f t="shared" si="9"/>
        <v>0</v>
      </c>
    </row>
    <row r="296" spans="1:6" ht="11.25" customHeight="1">
      <c r="A296" s="42"/>
      <c r="B296" s="96"/>
      <c r="C296" s="287" t="s">
        <v>625</v>
      </c>
      <c r="D296" s="345">
        <v>90</v>
      </c>
      <c r="E296" s="345"/>
      <c r="F296" s="357">
        <f t="shared" si="9"/>
        <v>90</v>
      </c>
    </row>
    <row r="297" spans="1:6" ht="11.25" customHeight="1">
      <c r="A297" s="50" t="s">
        <v>314</v>
      </c>
      <c r="B297" s="259"/>
      <c r="C297" s="403" t="s">
        <v>548</v>
      </c>
      <c r="D297" s="345"/>
      <c r="E297" s="345"/>
      <c r="F297" s="357"/>
    </row>
    <row r="298" spans="1:6" ht="9" customHeight="1">
      <c r="A298" s="50"/>
      <c r="B298" s="259"/>
      <c r="C298" s="403"/>
      <c r="D298" s="345"/>
      <c r="E298" s="345"/>
      <c r="F298" s="357"/>
    </row>
    <row r="299" spans="1:6" ht="11.25" customHeight="1">
      <c r="A299" s="42"/>
      <c r="B299" s="96" t="s">
        <v>221</v>
      </c>
      <c r="C299" s="402" t="s">
        <v>545</v>
      </c>
      <c r="D299" s="345"/>
      <c r="E299" s="345"/>
      <c r="F299" s="357"/>
    </row>
    <row r="300" spans="1:6" ht="11.25" customHeight="1">
      <c r="A300" s="42"/>
      <c r="B300" s="96"/>
      <c r="C300" s="287" t="s">
        <v>623</v>
      </c>
      <c r="D300" s="345"/>
      <c r="E300" s="345">
        <v>0</v>
      </c>
      <c r="F300" s="357">
        <f>SUM(D300:E300)</f>
        <v>0</v>
      </c>
    </row>
    <row r="301" spans="1:6" ht="11.25" customHeight="1">
      <c r="A301" s="42"/>
      <c r="B301" s="96"/>
      <c r="C301" s="287" t="s">
        <v>624</v>
      </c>
      <c r="D301" s="345"/>
      <c r="E301" s="345">
        <v>3552</v>
      </c>
      <c r="F301" s="357">
        <f>SUM(D301:E301)</f>
        <v>3552</v>
      </c>
    </row>
    <row r="302" spans="1:6" ht="11.25" customHeight="1">
      <c r="A302" s="42"/>
      <c r="B302" s="96"/>
      <c r="C302" s="287" t="s">
        <v>625</v>
      </c>
      <c r="D302" s="345"/>
      <c r="E302" s="345">
        <v>14333</v>
      </c>
      <c r="F302" s="357">
        <f>SUM(D302:E302)</f>
        <v>14333</v>
      </c>
    </row>
    <row r="303" spans="1:6" ht="11.25" customHeight="1">
      <c r="A303" s="42"/>
      <c r="B303" s="96" t="s">
        <v>222</v>
      </c>
      <c r="C303" s="460" t="s">
        <v>743</v>
      </c>
      <c r="D303" s="114"/>
      <c r="E303" s="114"/>
      <c r="F303" s="128"/>
    </row>
    <row r="304" spans="1:6" ht="11.25" customHeight="1">
      <c r="A304" s="42"/>
      <c r="B304" s="96"/>
      <c r="C304" s="287" t="s">
        <v>623</v>
      </c>
      <c r="D304" s="345"/>
      <c r="E304" s="345">
        <v>0</v>
      </c>
      <c r="F304" s="346">
        <v>0</v>
      </c>
    </row>
    <row r="305" spans="1:6" ht="11.25" customHeight="1">
      <c r="A305" s="42"/>
      <c r="B305" s="96"/>
      <c r="C305" s="287" t="s">
        <v>624</v>
      </c>
      <c r="D305" s="345"/>
      <c r="E305" s="345">
        <v>53659</v>
      </c>
      <c r="F305" s="346">
        <f>D305+E305</f>
        <v>53659</v>
      </c>
    </row>
    <row r="306" spans="1:6" ht="11.25" customHeight="1">
      <c r="A306" s="42"/>
      <c r="B306" s="96"/>
      <c r="C306" s="287" t="s">
        <v>625</v>
      </c>
      <c r="D306" s="345"/>
      <c r="E306" s="345">
        <v>54258</v>
      </c>
      <c r="F306" s="346">
        <f>D306+E306</f>
        <v>54258</v>
      </c>
    </row>
    <row r="307" spans="1:6" ht="11.25" customHeight="1">
      <c r="A307" s="42"/>
      <c r="B307" s="96" t="s">
        <v>223</v>
      </c>
      <c r="C307" s="460" t="s">
        <v>744</v>
      </c>
      <c r="D307" s="345"/>
      <c r="E307" s="345"/>
      <c r="F307" s="346"/>
    </row>
    <row r="308" spans="1:6" ht="11.25" customHeight="1">
      <c r="A308" s="42"/>
      <c r="B308" s="96"/>
      <c r="C308" s="287" t="s">
        <v>623</v>
      </c>
      <c r="D308" s="345"/>
      <c r="E308" s="345">
        <v>0</v>
      </c>
      <c r="F308" s="346">
        <f>D308+E308</f>
        <v>0</v>
      </c>
    </row>
    <row r="309" spans="1:6" ht="11.25" customHeight="1">
      <c r="A309" s="42"/>
      <c r="B309" s="96"/>
      <c r="C309" s="287" t="s">
        <v>624</v>
      </c>
      <c r="D309" s="345"/>
      <c r="E309" s="345">
        <v>56510</v>
      </c>
      <c r="F309" s="346">
        <f>D309+E309</f>
        <v>56510</v>
      </c>
    </row>
    <row r="310" spans="1:6" ht="11.25" customHeight="1">
      <c r="A310" s="42"/>
      <c r="B310" s="96"/>
      <c r="C310" s="287" t="s">
        <v>625</v>
      </c>
      <c r="D310" s="345"/>
      <c r="E310" s="345">
        <v>56510</v>
      </c>
      <c r="F310" s="346">
        <f>D310+E310</f>
        <v>56510</v>
      </c>
    </row>
    <row r="311" spans="1:6" ht="11.25" customHeight="1">
      <c r="A311" s="42"/>
      <c r="B311" s="96" t="s">
        <v>224</v>
      </c>
      <c r="C311" s="135" t="s">
        <v>571</v>
      </c>
      <c r="D311" s="114"/>
      <c r="E311" s="114"/>
      <c r="F311" s="128"/>
    </row>
    <row r="312" spans="1:6" ht="11.25" customHeight="1">
      <c r="A312" s="42"/>
      <c r="B312" s="96"/>
      <c r="C312" s="287" t="s">
        <v>623</v>
      </c>
      <c r="D312" s="345"/>
      <c r="E312" s="345">
        <v>0</v>
      </c>
      <c r="F312" s="346">
        <f>E312</f>
        <v>0</v>
      </c>
    </row>
    <row r="313" spans="1:6" ht="11.25" customHeight="1">
      <c r="A313" s="42"/>
      <c r="B313" s="96"/>
      <c r="C313" s="287" t="s">
        <v>624</v>
      </c>
      <c r="D313" s="345"/>
      <c r="E313" s="345">
        <v>6843</v>
      </c>
      <c r="F313" s="346">
        <f>E313</f>
        <v>6843</v>
      </c>
    </row>
    <row r="314" spans="1:6" ht="11.25" customHeight="1">
      <c r="A314" s="42"/>
      <c r="B314" s="96"/>
      <c r="C314" s="287" t="s">
        <v>625</v>
      </c>
      <c r="D314" s="345"/>
      <c r="E314" s="345">
        <v>15165</v>
      </c>
      <c r="F314" s="346">
        <f>E314</f>
        <v>15165</v>
      </c>
    </row>
    <row r="315" spans="1:6" ht="10.5" customHeight="1" thickBot="1">
      <c r="A315" s="42"/>
      <c r="B315" s="96"/>
      <c r="C315" s="226" t="s">
        <v>361</v>
      </c>
      <c r="D315" s="130"/>
      <c r="E315" s="130"/>
      <c r="F315" s="663"/>
    </row>
    <row r="316" spans="1:6" ht="13.5" customHeight="1" thickBot="1" thickTop="1">
      <c r="A316" s="47" t="s">
        <v>511</v>
      </c>
      <c r="B316" s="98"/>
      <c r="C316" s="227" t="s">
        <v>512</v>
      </c>
      <c r="D316" s="115">
        <f>SUM(D315)</f>
        <v>0</v>
      </c>
      <c r="E316" s="115">
        <f>E299</f>
        <v>0</v>
      </c>
      <c r="F316" s="129">
        <f>F315+E316</f>
        <v>0</v>
      </c>
    </row>
    <row r="317" spans="1:6" ht="13.5" customHeight="1" thickTop="1">
      <c r="A317" s="359"/>
      <c r="B317" s="360"/>
      <c r="C317" s="353" t="s">
        <v>623</v>
      </c>
      <c r="D317" s="355">
        <f>D174+D178+D182+D186+D190+D194+D198+D202+D206+D210+D214+D218+D222+D226+D230+D234+D238+D242+D246+D250+D254+D258+D262+D266+D270+D274+D278+D300</f>
        <v>203707</v>
      </c>
      <c r="E317" s="355">
        <f>E174+E178+E182+E186+E190+E194+E198+E202+E206+E210+E214+E218+E222+E226+E230+E234+E238+E242+E246+E250+E254+E258+E262+E266+E270+E274+E278+E300</f>
        <v>0</v>
      </c>
      <c r="F317" s="382">
        <f>F174+F178+F182+F186+F190+F194+F198+F202+F206+F210+F214+F218+F222+F226+F230+F234+F238+F242+F246+F250+F254+F258+F262+F266+F270+F274+F278+F300</f>
        <v>203707</v>
      </c>
    </row>
    <row r="318" spans="1:6" ht="13.5" customHeight="1">
      <c r="A318" s="50"/>
      <c r="B318" s="53"/>
      <c r="C318" s="287" t="s">
        <v>624</v>
      </c>
      <c r="D318" s="349">
        <f>D175+D179+D183+D187+D191+D195+D199+D203+D207+D211+D215+D219+D223+D227+D231+D235+D239+D243+D247+D251+D255+D259+D263+D267+D271+D275+D279+D301+D283+D287+D291+D295</f>
        <v>106594</v>
      </c>
      <c r="E318" s="349">
        <f>E175+E179+E183+E187+E191+E195+E199+E203+E207+E211+E215+E219+E223+E227+E231+E235+E239+E243+E247+E251+E255+E259+E263+E267+E271+E275+E279+E301+E305+E309+E313</f>
        <v>120564</v>
      </c>
      <c r="F318" s="357">
        <f>E318+D318</f>
        <v>227158</v>
      </c>
    </row>
    <row r="319" spans="1:6" ht="13.5" customHeight="1" thickBot="1">
      <c r="A319" s="385"/>
      <c r="B319" s="404"/>
      <c r="C319" s="354" t="s">
        <v>625</v>
      </c>
      <c r="D319" s="351">
        <f>D176+D180+D184+D188+D192+D196+D200+D204+D208+D212+D216+D220+D224+D228+D232+D236+D240+D244+D248+D252+D256+D260+D264+D268+D272+D276+D280+D284+D288+D292+D296</f>
        <v>68123</v>
      </c>
      <c r="E319" s="351">
        <f>E176+E180+E184+E188+E192+E196+E200+E204+E208+E212+E216+E220+E224+E228+E232+E236+E240+E244+E248+E252+E256+E260+E264+E268+E272+E276+E280+E302+E314+E306+E310</f>
        <v>140266</v>
      </c>
      <c r="F319" s="383">
        <f>E319+D319</f>
        <v>208389</v>
      </c>
    </row>
    <row r="320" spans="1:6" s="49" customFormat="1" ht="12" customHeight="1" thickTop="1">
      <c r="A320" s="50" t="s">
        <v>416</v>
      </c>
      <c r="B320" s="51"/>
      <c r="C320" s="225" t="s">
        <v>486</v>
      </c>
      <c r="D320" s="124"/>
      <c r="E320" s="124"/>
      <c r="F320" s="661"/>
    </row>
    <row r="321" spans="1:6" s="49" customFormat="1" ht="7.5" customHeight="1">
      <c r="A321" s="50"/>
      <c r="B321" s="51"/>
      <c r="C321" s="225"/>
      <c r="D321" s="124"/>
      <c r="E321" s="124"/>
      <c r="F321" s="661"/>
    </row>
    <row r="322" spans="1:6" s="49" customFormat="1" ht="12" customHeight="1">
      <c r="A322" s="89" t="s">
        <v>312</v>
      </c>
      <c r="B322" s="43"/>
      <c r="C322" s="226" t="s">
        <v>478</v>
      </c>
      <c r="D322" s="121"/>
      <c r="E322" s="121"/>
      <c r="F322" s="664"/>
    </row>
    <row r="323" spans="1:6" ht="22.5" customHeight="1">
      <c r="A323" s="42"/>
      <c r="B323" s="96" t="s">
        <v>312</v>
      </c>
      <c r="C323" s="400" t="s">
        <v>417</v>
      </c>
      <c r="D323" s="366"/>
      <c r="E323" s="345"/>
      <c r="F323" s="357"/>
    </row>
    <row r="324" spans="1:6" ht="12" customHeight="1">
      <c r="A324" s="42"/>
      <c r="B324" s="96"/>
      <c r="C324" s="287" t="s">
        <v>623</v>
      </c>
      <c r="D324" s="366"/>
      <c r="E324" s="345">
        <v>1881</v>
      </c>
      <c r="F324" s="357">
        <f>E324</f>
        <v>1881</v>
      </c>
    </row>
    <row r="325" spans="1:6" ht="12" customHeight="1">
      <c r="A325" s="42"/>
      <c r="B325" s="96"/>
      <c r="C325" s="287" t="s">
        <v>624</v>
      </c>
      <c r="D325" s="366"/>
      <c r="E325" s="345">
        <v>1881</v>
      </c>
      <c r="F325" s="357">
        <f>E325</f>
        <v>1881</v>
      </c>
    </row>
    <row r="326" spans="1:6" ht="12" customHeight="1">
      <c r="A326" s="42"/>
      <c r="B326" s="96"/>
      <c r="C326" s="287" t="s">
        <v>625</v>
      </c>
      <c r="D326" s="366"/>
      <c r="E326" s="345">
        <f>2541+106</f>
        <v>2647</v>
      </c>
      <c r="F326" s="357">
        <f>E326</f>
        <v>2647</v>
      </c>
    </row>
    <row r="327" spans="1:6" ht="21" customHeight="1">
      <c r="A327" s="42"/>
      <c r="B327" s="96" t="s">
        <v>314</v>
      </c>
      <c r="C327" s="400" t="s">
        <v>526</v>
      </c>
      <c r="D327" s="366"/>
      <c r="E327" s="345"/>
      <c r="F327" s="357"/>
    </row>
    <row r="328" spans="1:6" ht="11.25" customHeight="1">
      <c r="A328" s="42"/>
      <c r="B328" s="96"/>
      <c r="C328" s="287" t="s">
        <v>623</v>
      </c>
      <c r="D328" s="366"/>
      <c r="E328" s="345">
        <v>111</v>
      </c>
      <c r="F328" s="357">
        <f>E328</f>
        <v>111</v>
      </c>
    </row>
    <row r="329" spans="1:6" ht="11.25" customHeight="1">
      <c r="A329" s="42"/>
      <c r="B329" s="96"/>
      <c r="C329" s="287" t="s">
        <v>624</v>
      </c>
      <c r="D329" s="366"/>
      <c r="E329" s="345">
        <v>111</v>
      </c>
      <c r="F329" s="357">
        <f>E329</f>
        <v>111</v>
      </c>
    </row>
    <row r="330" spans="1:6" ht="11.25" customHeight="1">
      <c r="A330" s="42"/>
      <c r="B330" s="96"/>
      <c r="C330" s="287" t="s">
        <v>625</v>
      </c>
      <c r="D330" s="366"/>
      <c r="E330" s="345">
        <v>166</v>
      </c>
      <c r="F330" s="357">
        <f>E330</f>
        <v>166</v>
      </c>
    </row>
    <row r="331" spans="1:6" ht="11.25" customHeight="1">
      <c r="A331" s="42"/>
      <c r="B331" s="96" t="s">
        <v>316</v>
      </c>
      <c r="C331" s="402" t="s">
        <v>746</v>
      </c>
      <c r="D331" s="366"/>
      <c r="E331" s="345"/>
      <c r="F331" s="357"/>
    </row>
    <row r="332" spans="1:6" ht="11.25" customHeight="1">
      <c r="A332" s="42"/>
      <c r="B332" s="96"/>
      <c r="C332" s="287" t="s">
        <v>623</v>
      </c>
      <c r="D332" s="366"/>
      <c r="E332" s="345">
        <v>0</v>
      </c>
      <c r="F332" s="357">
        <v>0</v>
      </c>
    </row>
    <row r="333" spans="1:6" ht="11.25" customHeight="1">
      <c r="A333" s="42"/>
      <c r="B333" s="96"/>
      <c r="C333" s="287" t="s">
        <v>624</v>
      </c>
      <c r="D333" s="366"/>
      <c r="E333" s="345">
        <v>345</v>
      </c>
      <c r="F333" s="357">
        <f>E333</f>
        <v>345</v>
      </c>
    </row>
    <row r="334" spans="1:6" ht="11.25" customHeight="1">
      <c r="A334" s="42"/>
      <c r="B334" s="96"/>
      <c r="C334" s="287" t="s">
        <v>625</v>
      </c>
      <c r="D334" s="366"/>
      <c r="E334" s="345">
        <f>28+28+3</f>
        <v>59</v>
      </c>
      <c r="F334" s="357">
        <f>E334</f>
        <v>59</v>
      </c>
    </row>
    <row r="335" spans="1:6" ht="14.25" customHeight="1">
      <c r="A335" s="42"/>
      <c r="B335" s="96" t="s">
        <v>318</v>
      </c>
      <c r="C335" s="400" t="s">
        <v>747</v>
      </c>
      <c r="D335" s="366"/>
      <c r="E335" s="345"/>
      <c r="F335" s="357"/>
    </row>
    <row r="336" spans="1:6" ht="12" customHeight="1">
      <c r="A336" s="42"/>
      <c r="B336" s="96"/>
      <c r="C336" s="287" t="s">
        <v>623</v>
      </c>
      <c r="D336" s="366"/>
      <c r="E336" s="345">
        <v>0</v>
      </c>
      <c r="F336" s="357">
        <f>E336</f>
        <v>0</v>
      </c>
    </row>
    <row r="337" spans="1:6" ht="12" customHeight="1">
      <c r="A337" s="42"/>
      <c r="B337" s="96"/>
      <c r="C337" s="287" t="s">
        <v>624</v>
      </c>
      <c r="D337" s="366"/>
      <c r="E337" s="345">
        <v>13</v>
      </c>
      <c r="F337" s="357">
        <f>E337</f>
        <v>13</v>
      </c>
    </row>
    <row r="338" spans="1:6" ht="12" customHeight="1">
      <c r="A338" s="42"/>
      <c r="B338" s="96"/>
      <c r="C338" s="287" t="s">
        <v>625</v>
      </c>
      <c r="D338" s="366"/>
      <c r="E338" s="345">
        <f>10+21+17+2+3+13+10+10+3+50+12+10+46+90+15+31+10+3+16+10+8+20+5+14+19+118+43+5+63+46+72+1+24</f>
        <v>820</v>
      </c>
      <c r="F338" s="357">
        <f>E338</f>
        <v>820</v>
      </c>
    </row>
    <row r="339" spans="1:6" ht="12" customHeight="1">
      <c r="A339" s="42"/>
      <c r="B339" s="96" t="s">
        <v>320</v>
      </c>
      <c r="C339" s="592" t="s">
        <v>748</v>
      </c>
      <c r="D339" s="366"/>
      <c r="E339" s="345"/>
      <c r="F339" s="357"/>
    </row>
    <row r="340" spans="1:6" ht="12" customHeight="1">
      <c r="A340" s="42"/>
      <c r="B340" s="96"/>
      <c r="C340" s="287" t="s">
        <v>623</v>
      </c>
      <c r="D340" s="366"/>
      <c r="E340" s="345">
        <v>0</v>
      </c>
      <c r="F340" s="357">
        <v>0</v>
      </c>
    </row>
    <row r="341" spans="1:6" ht="12" customHeight="1">
      <c r="A341" s="42"/>
      <c r="B341" s="96"/>
      <c r="C341" s="287" t="s">
        <v>624</v>
      </c>
      <c r="D341" s="366"/>
      <c r="E341" s="345">
        <v>450</v>
      </c>
      <c r="F341" s="357">
        <f>E341</f>
        <v>450</v>
      </c>
    </row>
    <row r="342" spans="1:6" ht="12" customHeight="1">
      <c r="A342" s="42"/>
      <c r="B342" s="96"/>
      <c r="C342" s="287" t="s">
        <v>625</v>
      </c>
      <c r="D342" s="366"/>
      <c r="E342" s="345">
        <f>350+50+50</f>
        <v>450</v>
      </c>
      <c r="F342" s="357">
        <f>E342</f>
        <v>450</v>
      </c>
    </row>
    <row r="343" spans="1:6" ht="23.25" customHeight="1">
      <c r="A343" s="42"/>
      <c r="B343" s="96" t="s">
        <v>322</v>
      </c>
      <c r="C343" s="631" t="s">
        <v>749</v>
      </c>
      <c r="D343" s="366"/>
      <c r="E343" s="345"/>
      <c r="F343" s="357"/>
    </row>
    <row r="344" spans="1:6" ht="12" customHeight="1">
      <c r="A344" s="42"/>
      <c r="B344" s="96"/>
      <c r="C344" s="287" t="s">
        <v>623</v>
      </c>
      <c r="D344" s="366"/>
      <c r="E344" s="345">
        <v>0</v>
      </c>
      <c r="F344" s="357">
        <v>0</v>
      </c>
    </row>
    <row r="345" spans="1:6" ht="12" customHeight="1">
      <c r="A345" s="42"/>
      <c r="B345" s="96"/>
      <c r="C345" s="287" t="s">
        <v>624</v>
      </c>
      <c r="D345" s="366"/>
      <c r="E345" s="345">
        <v>68587</v>
      </c>
      <c r="F345" s="357">
        <f>E345</f>
        <v>68587</v>
      </c>
    </row>
    <row r="346" spans="1:6" ht="12" customHeight="1">
      <c r="A346" s="42"/>
      <c r="B346" s="96"/>
      <c r="C346" s="287" t="s">
        <v>625</v>
      </c>
      <c r="D346" s="366"/>
      <c r="E346" s="345">
        <v>0</v>
      </c>
      <c r="F346" s="357">
        <f>E346</f>
        <v>0</v>
      </c>
    </row>
    <row r="347" spans="1:6" ht="16.5" customHeight="1">
      <c r="A347" s="42"/>
      <c r="B347" s="96"/>
      <c r="C347" s="406" t="s">
        <v>547</v>
      </c>
      <c r="D347" s="366"/>
      <c r="E347" s="349"/>
      <c r="F347" s="357"/>
    </row>
    <row r="348" spans="1:6" ht="13.5" customHeight="1">
      <c r="A348" s="42" t="s">
        <v>314</v>
      </c>
      <c r="B348" s="96"/>
      <c r="C348" s="406" t="s">
        <v>619</v>
      </c>
      <c r="D348" s="366"/>
      <c r="E348" s="349"/>
      <c r="F348" s="357"/>
    </row>
    <row r="349" spans="1:6" ht="13.5" customHeight="1">
      <c r="A349" s="42"/>
      <c r="B349" s="96" t="s">
        <v>312</v>
      </c>
      <c r="C349" s="460" t="s">
        <v>921</v>
      </c>
      <c r="D349" s="345"/>
      <c r="E349" s="349"/>
      <c r="F349" s="357"/>
    </row>
    <row r="350" spans="1:6" ht="10.5" customHeight="1">
      <c r="A350" s="42"/>
      <c r="B350" s="96"/>
      <c r="C350" s="287" t="s">
        <v>623</v>
      </c>
      <c r="D350" s="345">
        <v>0</v>
      </c>
      <c r="E350" s="349"/>
      <c r="F350" s="357">
        <f>D350</f>
        <v>0</v>
      </c>
    </row>
    <row r="351" spans="1:6" ht="10.5" customHeight="1">
      <c r="A351" s="42"/>
      <c r="B351" s="96"/>
      <c r="C351" s="287" t="s">
        <v>624</v>
      </c>
      <c r="D351" s="345">
        <v>279</v>
      </c>
      <c r="E351" s="349"/>
      <c r="F351" s="357">
        <f>D351</f>
        <v>279</v>
      </c>
    </row>
    <row r="352" spans="1:6" ht="10.5" customHeight="1">
      <c r="A352" s="42"/>
      <c r="B352" s="96"/>
      <c r="C352" s="287" t="s">
        <v>625</v>
      </c>
      <c r="D352" s="345">
        <v>547</v>
      </c>
      <c r="E352" s="349"/>
      <c r="F352" s="357">
        <f>D352</f>
        <v>547</v>
      </c>
    </row>
    <row r="353" spans="1:6" ht="10.5" customHeight="1">
      <c r="A353" s="42"/>
      <c r="B353" s="96" t="s">
        <v>314</v>
      </c>
      <c r="C353" s="460" t="s">
        <v>922</v>
      </c>
      <c r="D353" s="114"/>
      <c r="E353" s="130"/>
      <c r="F353" s="128"/>
    </row>
    <row r="354" spans="1:6" ht="10.5" customHeight="1">
      <c r="A354" s="42"/>
      <c r="B354" s="96"/>
      <c r="C354" s="287" t="s">
        <v>623</v>
      </c>
      <c r="D354" s="345">
        <v>0</v>
      </c>
      <c r="E354" s="349"/>
      <c r="F354" s="346">
        <v>0</v>
      </c>
    </row>
    <row r="355" spans="1:6" ht="10.5" customHeight="1">
      <c r="A355" s="42"/>
      <c r="B355" s="96"/>
      <c r="C355" s="287" t="s">
        <v>624</v>
      </c>
      <c r="D355" s="345">
        <v>15</v>
      </c>
      <c r="E355" s="349"/>
      <c r="F355" s="346">
        <v>0</v>
      </c>
    </row>
    <row r="356" spans="1:6" ht="10.5" customHeight="1">
      <c r="A356" s="42"/>
      <c r="B356" s="96"/>
      <c r="C356" s="287" t="s">
        <v>625</v>
      </c>
      <c r="D356" s="345">
        <v>14</v>
      </c>
      <c r="E356" s="349"/>
      <c r="F356" s="346">
        <f>D356</f>
        <v>14</v>
      </c>
    </row>
    <row r="357" spans="1:6" ht="10.5" customHeight="1">
      <c r="A357" s="42"/>
      <c r="B357" s="96" t="s">
        <v>316</v>
      </c>
      <c r="C357" s="460" t="s">
        <v>421</v>
      </c>
      <c r="D357" s="114"/>
      <c r="E357" s="130"/>
      <c r="F357" s="128"/>
    </row>
    <row r="358" spans="1:6" ht="10.5" customHeight="1">
      <c r="A358" s="42"/>
      <c r="B358" s="96"/>
      <c r="C358" s="287" t="s">
        <v>623</v>
      </c>
      <c r="D358" s="345">
        <v>0</v>
      </c>
      <c r="E358" s="349"/>
      <c r="F358" s="346">
        <f>D358</f>
        <v>0</v>
      </c>
    </row>
    <row r="359" spans="1:6" ht="10.5" customHeight="1">
      <c r="A359" s="42"/>
      <c r="B359" s="96"/>
      <c r="C359" s="287" t="s">
        <v>624</v>
      </c>
      <c r="D359" s="345">
        <v>0</v>
      </c>
      <c r="E359" s="349"/>
      <c r="F359" s="346">
        <f>D359</f>
        <v>0</v>
      </c>
    </row>
    <row r="360" spans="1:6" ht="10.5" customHeight="1">
      <c r="A360" s="42"/>
      <c r="B360" s="96"/>
      <c r="C360" s="287" t="s">
        <v>625</v>
      </c>
      <c r="D360" s="345">
        <v>20</v>
      </c>
      <c r="E360" s="349"/>
      <c r="F360" s="346">
        <f>D360</f>
        <v>20</v>
      </c>
    </row>
    <row r="361" spans="1:6" ht="13.5" customHeight="1" thickBot="1">
      <c r="A361" s="42"/>
      <c r="B361" s="96"/>
      <c r="C361" s="109" t="s">
        <v>620</v>
      </c>
      <c r="D361" s="121"/>
      <c r="E361" s="130"/>
      <c r="F361" s="128"/>
    </row>
    <row r="362" spans="1:6" s="49" customFormat="1" ht="10.5" customHeight="1" thickBot="1" thickTop="1">
      <c r="A362" s="47" t="s">
        <v>416</v>
      </c>
      <c r="B362" s="48"/>
      <c r="C362" s="224" t="s">
        <v>487</v>
      </c>
      <c r="D362" s="115"/>
      <c r="E362" s="115"/>
      <c r="F362" s="129"/>
    </row>
    <row r="363" spans="1:6" s="49" customFormat="1" ht="10.5" customHeight="1" thickTop="1">
      <c r="A363" s="50"/>
      <c r="B363" s="51"/>
      <c r="C363" s="287" t="s">
        <v>623</v>
      </c>
      <c r="D363" s="130">
        <f>D324+D328+D336+D350</f>
        <v>0</v>
      </c>
      <c r="E363" s="130">
        <f>E324+E328</f>
        <v>1992</v>
      </c>
      <c r="F363" s="128">
        <f>D363+E363</f>
        <v>1992</v>
      </c>
    </row>
    <row r="364" spans="1:6" s="49" customFormat="1" ht="10.5" customHeight="1">
      <c r="A364" s="50"/>
      <c r="B364" s="51"/>
      <c r="C364" s="287" t="s">
        <v>624</v>
      </c>
      <c r="D364" s="349">
        <f>D325+D329+D337+D351+D355+D359</f>
        <v>294</v>
      </c>
      <c r="E364" s="349">
        <f>E325+E329+E333+E337+E341+E345</f>
        <v>71387</v>
      </c>
      <c r="F364" s="357">
        <f>D364+E364</f>
        <v>71681</v>
      </c>
    </row>
    <row r="365" spans="1:6" s="49" customFormat="1" ht="10.5" customHeight="1" thickBot="1">
      <c r="A365" s="385"/>
      <c r="B365" s="386"/>
      <c r="C365" s="354" t="s">
        <v>625</v>
      </c>
      <c r="D365" s="351">
        <f>D326+D330+D338+D352+D356+D360</f>
        <v>581</v>
      </c>
      <c r="E365" s="351">
        <f>E326+E330+E338+E352+E342+E334+E346</f>
        <v>4142</v>
      </c>
      <c r="F365" s="383">
        <f>D365+E365</f>
        <v>4723</v>
      </c>
    </row>
    <row r="366" spans="1:6" s="49" customFormat="1" ht="12" customHeight="1" thickTop="1">
      <c r="A366" s="50" t="s">
        <v>419</v>
      </c>
      <c r="B366" s="51"/>
      <c r="C366" s="225" t="s">
        <v>753</v>
      </c>
      <c r="D366" s="124"/>
      <c r="E366" s="124"/>
      <c r="F366" s="125"/>
    </row>
    <row r="367" spans="1:6" ht="10.5" customHeight="1">
      <c r="A367" s="42" t="s">
        <v>312</v>
      </c>
      <c r="B367" s="43" t="s">
        <v>312</v>
      </c>
      <c r="C367" s="347" t="s">
        <v>535</v>
      </c>
      <c r="D367" s="345"/>
      <c r="E367" s="345"/>
      <c r="F367" s="357"/>
    </row>
    <row r="368" spans="1:6" ht="10.5" customHeight="1">
      <c r="A368" s="42"/>
      <c r="B368" s="43"/>
      <c r="C368" s="287" t="s">
        <v>623</v>
      </c>
      <c r="D368" s="345">
        <v>230140</v>
      </c>
      <c r="E368" s="345"/>
      <c r="F368" s="357">
        <f aca="true" t="shared" si="10" ref="F368:F410">SUM(D368:E368)</f>
        <v>230140</v>
      </c>
    </row>
    <row r="369" spans="1:6" ht="10.5" customHeight="1">
      <c r="A369" s="42"/>
      <c r="B369" s="43"/>
      <c r="C369" s="287" t="s">
        <v>624</v>
      </c>
      <c r="D369" s="345">
        <v>218875</v>
      </c>
      <c r="E369" s="345"/>
      <c r="F369" s="357">
        <f t="shared" si="10"/>
        <v>218875</v>
      </c>
    </row>
    <row r="370" spans="1:6" ht="10.5" customHeight="1">
      <c r="A370" s="42"/>
      <c r="B370" s="43"/>
      <c r="C370" s="287" t="s">
        <v>625</v>
      </c>
      <c r="D370" s="345">
        <v>218875</v>
      </c>
      <c r="E370" s="345"/>
      <c r="F370" s="357">
        <f t="shared" si="10"/>
        <v>218875</v>
      </c>
    </row>
    <row r="371" spans="1:6" ht="10.5" customHeight="1">
      <c r="A371" s="42"/>
      <c r="B371" s="43" t="s">
        <v>314</v>
      </c>
      <c r="C371" s="347" t="s">
        <v>536</v>
      </c>
      <c r="D371" s="345"/>
      <c r="E371" s="345"/>
      <c r="F371" s="357"/>
    </row>
    <row r="372" spans="1:6" ht="10.5" customHeight="1">
      <c r="A372" s="42"/>
      <c r="B372" s="43"/>
      <c r="C372" s="287" t="s">
        <v>623</v>
      </c>
      <c r="D372" s="345">
        <v>392</v>
      </c>
      <c r="E372" s="345"/>
      <c r="F372" s="357">
        <f t="shared" si="10"/>
        <v>392</v>
      </c>
    </row>
    <row r="373" spans="1:6" ht="10.5" customHeight="1">
      <c r="A373" s="42"/>
      <c r="B373" s="43"/>
      <c r="C373" s="287" t="s">
        <v>624</v>
      </c>
      <c r="D373" s="345">
        <v>392</v>
      </c>
      <c r="E373" s="345"/>
      <c r="F373" s="357">
        <f t="shared" si="10"/>
        <v>392</v>
      </c>
    </row>
    <row r="374" spans="1:6" ht="10.5" customHeight="1">
      <c r="A374" s="42"/>
      <c r="B374" s="43"/>
      <c r="C374" s="287" t="s">
        <v>625</v>
      </c>
      <c r="D374" s="345">
        <v>392</v>
      </c>
      <c r="E374" s="345"/>
      <c r="F374" s="357">
        <f t="shared" si="10"/>
        <v>392</v>
      </c>
    </row>
    <row r="375" spans="1:6" ht="10.5" customHeight="1">
      <c r="A375" s="42"/>
      <c r="B375" s="43" t="s">
        <v>316</v>
      </c>
      <c r="C375" s="347" t="s">
        <v>537</v>
      </c>
      <c r="D375" s="345"/>
      <c r="E375" s="345"/>
      <c r="F375" s="357"/>
    </row>
    <row r="376" spans="1:6" ht="10.5" customHeight="1">
      <c r="A376" s="42"/>
      <c r="B376" s="43"/>
      <c r="C376" s="287" t="s">
        <v>623</v>
      </c>
      <c r="D376" s="345">
        <v>160664</v>
      </c>
      <c r="E376" s="345"/>
      <c r="F376" s="357">
        <f t="shared" si="10"/>
        <v>160664</v>
      </c>
    </row>
    <row r="377" spans="1:6" ht="10.5" customHeight="1">
      <c r="A377" s="42"/>
      <c r="B377" s="43"/>
      <c r="C377" s="287" t="s">
        <v>624</v>
      </c>
      <c r="D377" s="345">
        <v>160664</v>
      </c>
      <c r="E377" s="345"/>
      <c r="F377" s="357">
        <f t="shared" si="10"/>
        <v>160664</v>
      </c>
    </row>
    <row r="378" spans="1:6" ht="10.5" customHeight="1">
      <c r="A378" s="42"/>
      <c r="B378" s="43"/>
      <c r="C378" s="287" t="s">
        <v>625</v>
      </c>
      <c r="D378" s="345">
        <v>160664</v>
      </c>
      <c r="E378" s="345"/>
      <c r="F378" s="357">
        <f t="shared" si="10"/>
        <v>160664</v>
      </c>
    </row>
    <row r="379" spans="1:6" ht="10.5" customHeight="1">
      <c r="A379" s="42"/>
      <c r="B379" s="43" t="s">
        <v>318</v>
      </c>
      <c r="C379" s="347" t="s">
        <v>538</v>
      </c>
      <c r="D379" s="345"/>
      <c r="E379" s="345"/>
      <c r="F379" s="357"/>
    </row>
    <row r="380" spans="1:6" ht="10.5" customHeight="1">
      <c r="A380" s="42"/>
      <c r="B380" s="43"/>
      <c r="C380" s="287" t="s">
        <v>623</v>
      </c>
      <c r="D380" s="345">
        <v>216</v>
      </c>
      <c r="E380" s="345"/>
      <c r="F380" s="357">
        <f t="shared" si="10"/>
        <v>216</v>
      </c>
    </row>
    <row r="381" spans="1:6" ht="10.5" customHeight="1">
      <c r="A381" s="42"/>
      <c r="B381" s="43"/>
      <c r="C381" s="287" t="s">
        <v>624</v>
      </c>
      <c r="D381" s="345">
        <v>216</v>
      </c>
      <c r="E381" s="345"/>
      <c r="F381" s="357">
        <f t="shared" si="10"/>
        <v>216</v>
      </c>
    </row>
    <row r="382" spans="1:6" ht="10.5" customHeight="1">
      <c r="A382" s="42"/>
      <c r="B382" s="43"/>
      <c r="C382" s="287" t="s">
        <v>625</v>
      </c>
      <c r="D382" s="345">
        <v>216</v>
      </c>
      <c r="E382" s="345"/>
      <c r="F382" s="357">
        <f t="shared" si="10"/>
        <v>216</v>
      </c>
    </row>
    <row r="383" spans="1:6" ht="10.5" customHeight="1">
      <c r="A383" s="42"/>
      <c r="B383" s="43" t="s">
        <v>320</v>
      </c>
      <c r="C383" s="402" t="s">
        <v>631</v>
      </c>
      <c r="D383" s="345"/>
      <c r="E383" s="345"/>
      <c r="F383" s="357"/>
    </row>
    <row r="384" spans="1:6" ht="10.5" customHeight="1">
      <c r="A384" s="42"/>
      <c r="B384" s="43"/>
      <c r="C384" s="287" t="s">
        <v>623</v>
      </c>
      <c r="D384" s="345">
        <f>D388+D392+D396+D400+D404+D408</f>
        <v>0</v>
      </c>
      <c r="E384" s="345"/>
      <c r="F384" s="357">
        <f t="shared" si="10"/>
        <v>0</v>
      </c>
    </row>
    <row r="385" spans="1:6" ht="10.5" customHeight="1">
      <c r="A385" s="42"/>
      <c r="B385" s="43"/>
      <c r="C385" s="287" t="s">
        <v>624</v>
      </c>
      <c r="D385" s="345">
        <f>D389+D393+D397+D401+D405+D409+D413</f>
        <v>99377</v>
      </c>
      <c r="E385" s="345"/>
      <c r="F385" s="357">
        <f t="shared" si="10"/>
        <v>99377</v>
      </c>
    </row>
    <row r="386" spans="1:6" ht="10.5" customHeight="1">
      <c r="A386" s="42"/>
      <c r="B386" s="43"/>
      <c r="C386" s="287" t="s">
        <v>625</v>
      </c>
      <c r="D386" s="345">
        <f>D390+D394+D398+D402+D406+D410+D414</f>
        <v>99377</v>
      </c>
      <c r="E386" s="345"/>
      <c r="F386" s="357">
        <f t="shared" si="10"/>
        <v>99377</v>
      </c>
    </row>
    <row r="387" spans="1:6" ht="10.5" customHeight="1">
      <c r="A387" s="42"/>
      <c r="B387" s="43" t="s">
        <v>635</v>
      </c>
      <c r="C387" s="402" t="s">
        <v>410</v>
      </c>
      <c r="D387" s="345"/>
      <c r="E387" s="345"/>
      <c r="F387" s="357"/>
    </row>
    <row r="388" spans="1:6" ht="10.5" customHeight="1">
      <c r="A388" s="42"/>
      <c r="B388" s="43"/>
      <c r="C388" s="287" t="s">
        <v>623</v>
      </c>
      <c r="D388" s="345">
        <v>0</v>
      </c>
      <c r="E388" s="345"/>
      <c r="F388" s="357">
        <f t="shared" si="10"/>
        <v>0</v>
      </c>
    </row>
    <row r="389" spans="1:6" ht="10.5" customHeight="1">
      <c r="A389" s="42"/>
      <c r="B389" s="43"/>
      <c r="C389" s="287" t="s">
        <v>624</v>
      </c>
      <c r="D389" s="345">
        <v>26621</v>
      </c>
      <c r="E389" s="345"/>
      <c r="F389" s="357">
        <f t="shared" si="10"/>
        <v>26621</v>
      </c>
    </row>
    <row r="390" spans="1:6" ht="10.5" customHeight="1">
      <c r="A390" s="42"/>
      <c r="B390" s="43"/>
      <c r="C390" s="287" t="s">
        <v>625</v>
      </c>
      <c r="D390" s="345">
        <v>26621</v>
      </c>
      <c r="E390" s="345"/>
      <c r="F390" s="357">
        <f t="shared" si="10"/>
        <v>26621</v>
      </c>
    </row>
    <row r="391" spans="1:6" ht="10.5" customHeight="1">
      <c r="A391" s="42"/>
      <c r="B391" s="43" t="s">
        <v>632</v>
      </c>
      <c r="C391" s="402" t="s">
        <v>411</v>
      </c>
      <c r="D391" s="345"/>
      <c r="E391" s="345"/>
      <c r="F391" s="357"/>
    </row>
    <row r="392" spans="1:6" ht="10.5" customHeight="1">
      <c r="A392" s="42"/>
      <c r="B392" s="43"/>
      <c r="C392" s="287" t="s">
        <v>623</v>
      </c>
      <c r="D392" s="345">
        <v>0</v>
      </c>
      <c r="E392" s="345"/>
      <c r="F392" s="357">
        <f t="shared" si="10"/>
        <v>0</v>
      </c>
    </row>
    <row r="393" spans="1:6" ht="10.5" customHeight="1">
      <c r="A393" s="42"/>
      <c r="B393" s="43"/>
      <c r="C393" s="287" t="s">
        <v>624</v>
      </c>
      <c r="D393" s="345">
        <v>10562</v>
      </c>
      <c r="E393" s="345"/>
      <c r="F393" s="357">
        <f t="shared" si="10"/>
        <v>10562</v>
      </c>
    </row>
    <row r="394" spans="1:6" ht="10.5" customHeight="1">
      <c r="A394" s="42"/>
      <c r="B394" s="43"/>
      <c r="C394" s="287" t="s">
        <v>625</v>
      </c>
      <c r="D394" s="345">
        <v>10562</v>
      </c>
      <c r="E394" s="345"/>
      <c r="F394" s="357">
        <f t="shared" si="10"/>
        <v>10562</v>
      </c>
    </row>
    <row r="395" spans="1:6" ht="10.5" customHeight="1">
      <c r="A395" s="42"/>
      <c r="B395" s="43" t="s">
        <v>633</v>
      </c>
      <c r="C395" s="402" t="s">
        <v>640</v>
      </c>
      <c r="D395" s="345"/>
      <c r="E395" s="345"/>
      <c r="F395" s="357"/>
    </row>
    <row r="396" spans="1:6" ht="10.5" customHeight="1">
      <c r="A396" s="42"/>
      <c r="B396" s="43"/>
      <c r="C396" s="287" t="s">
        <v>623</v>
      </c>
      <c r="D396" s="345">
        <v>0</v>
      </c>
      <c r="E396" s="345"/>
      <c r="F396" s="357">
        <f t="shared" si="10"/>
        <v>0</v>
      </c>
    </row>
    <row r="397" spans="1:6" ht="10.5" customHeight="1">
      <c r="A397" s="42"/>
      <c r="B397" s="43"/>
      <c r="C397" s="287" t="s">
        <v>624</v>
      </c>
      <c r="D397" s="345">
        <v>14329</v>
      </c>
      <c r="E397" s="345"/>
      <c r="F397" s="357">
        <f t="shared" si="10"/>
        <v>14329</v>
      </c>
    </row>
    <row r="398" spans="1:6" ht="10.5" customHeight="1">
      <c r="A398" s="42"/>
      <c r="B398" s="43"/>
      <c r="C398" s="287" t="s">
        <v>625</v>
      </c>
      <c r="D398" s="345">
        <v>14329</v>
      </c>
      <c r="E398" s="345"/>
      <c r="F398" s="357">
        <f t="shared" si="10"/>
        <v>14329</v>
      </c>
    </row>
    <row r="399" spans="1:6" ht="10.5" customHeight="1">
      <c r="A399" s="42"/>
      <c r="B399" s="43" t="s">
        <v>634</v>
      </c>
      <c r="C399" s="402" t="s">
        <v>639</v>
      </c>
      <c r="D399" s="345"/>
      <c r="E399" s="345"/>
      <c r="F399" s="357"/>
    </row>
    <row r="400" spans="1:6" ht="10.5" customHeight="1">
      <c r="A400" s="42"/>
      <c r="B400" s="43"/>
      <c r="C400" s="287" t="s">
        <v>623</v>
      </c>
      <c r="D400" s="345">
        <v>0</v>
      </c>
      <c r="E400" s="345"/>
      <c r="F400" s="357">
        <f t="shared" si="10"/>
        <v>0</v>
      </c>
    </row>
    <row r="401" spans="1:6" ht="10.5" customHeight="1">
      <c r="A401" s="42"/>
      <c r="B401" s="43"/>
      <c r="C401" s="287" t="s">
        <v>624</v>
      </c>
      <c r="D401" s="345">
        <v>4828</v>
      </c>
      <c r="E401" s="345"/>
      <c r="F401" s="357">
        <f t="shared" si="10"/>
        <v>4828</v>
      </c>
    </row>
    <row r="402" spans="1:6" ht="10.5" customHeight="1">
      <c r="A402" s="42"/>
      <c r="B402" s="43"/>
      <c r="C402" s="287" t="s">
        <v>625</v>
      </c>
      <c r="D402" s="345">
        <v>4828</v>
      </c>
      <c r="E402" s="345"/>
      <c r="F402" s="357">
        <f t="shared" si="10"/>
        <v>4828</v>
      </c>
    </row>
    <row r="403" spans="1:6" ht="10.5" customHeight="1">
      <c r="A403" s="42"/>
      <c r="B403" s="43" t="s">
        <v>636</v>
      </c>
      <c r="C403" s="402" t="s">
        <v>751</v>
      </c>
      <c r="D403" s="345"/>
      <c r="E403" s="345"/>
      <c r="F403" s="357"/>
    </row>
    <row r="404" spans="1:6" ht="10.5" customHeight="1">
      <c r="A404" s="42"/>
      <c r="B404" s="43"/>
      <c r="C404" s="287" t="s">
        <v>623</v>
      </c>
      <c r="D404" s="345">
        <v>0</v>
      </c>
      <c r="E404" s="345"/>
      <c r="F404" s="357">
        <f t="shared" si="10"/>
        <v>0</v>
      </c>
    </row>
    <row r="405" spans="1:6" ht="10.5" customHeight="1">
      <c r="A405" s="42"/>
      <c r="B405" s="43"/>
      <c r="C405" s="287" t="s">
        <v>624</v>
      </c>
      <c r="D405" s="345">
        <v>29250</v>
      </c>
      <c r="E405" s="345"/>
      <c r="F405" s="357">
        <f t="shared" si="10"/>
        <v>29250</v>
      </c>
    </row>
    <row r="406" spans="1:6" ht="10.5" customHeight="1">
      <c r="A406" s="42"/>
      <c r="B406" s="43"/>
      <c r="C406" s="287" t="s">
        <v>625</v>
      </c>
      <c r="D406" s="345">
        <v>29250</v>
      </c>
      <c r="E406" s="345"/>
      <c r="F406" s="357">
        <f t="shared" si="10"/>
        <v>29250</v>
      </c>
    </row>
    <row r="407" spans="1:6" ht="10.5" customHeight="1">
      <c r="A407" s="42"/>
      <c r="B407" s="43" t="s">
        <v>637</v>
      </c>
      <c r="C407" s="402" t="s">
        <v>638</v>
      </c>
      <c r="D407" s="345"/>
      <c r="E407" s="345"/>
      <c r="F407" s="357"/>
    </row>
    <row r="408" spans="1:6" ht="10.5" customHeight="1">
      <c r="A408" s="42"/>
      <c r="B408" s="43"/>
      <c r="C408" s="287" t="s">
        <v>623</v>
      </c>
      <c r="D408" s="345">
        <v>0</v>
      </c>
      <c r="E408" s="345"/>
      <c r="F408" s="357">
        <f t="shared" si="10"/>
        <v>0</v>
      </c>
    </row>
    <row r="409" spans="1:6" ht="10.5" customHeight="1">
      <c r="A409" s="42"/>
      <c r="B409" s="43"/>
      <c r="C409" s="287" t="s">
        <v>624</v>
      </c>
      <c r="D409" s="345">
        <v>13407</v>
      </c>
      <c r="E409" s="345"/>
      <c r="F409" s="357">
        <f t="shared" si="10"/>
        <v>13407</v>
      </c>
    </row>
    <row r="410" spans="1:6" ht="11.25" customHeight="1">
      <c r="A410" s="42"/>
      <c r="B410" s="43"/>
      <c r="C410" s="464" t="s">
        <v>625</v>
      </c>
      <c r="D410" s="114">
        <v>13407</v>
      </c>
      <c r="E410" s="114"/>
      <c r="F410" s="410">
        <f t="shared" si="10"/>
        <v>13407</v>
      </c>
    </row>
    <row r="411" spans="1:6" ht="11.25" customHeight="1">
      <c r="A411" s="42"/>
      <c r="B411" s="43" t="s">
        <v>750</v>
      </c>
      <c r="C411" s="402" t="s">
        <v>2</v>
      </c>
      <c r="D411" s="345"/>
      <c r="E411" s="345"/>
      <c r="F411" s="357"/>
    </row>
    <row r="412" spans="1:6" ht="11.25" customHeight="1">
      <c r="A412" s="42"/>
      <c r="B412" s="43"/>
      <c r="C412" s="287" t="s">
        <v>623</v>
      </c>
      <c r="D412" s="345">
        <v>0</v>
      </c>
      <c r="E412" s="345"/>
      <c r="F412" s="357">
        <v>0</v>
      </c>
    </row>
    <row r="413" spans="1:6" ht="11.25" customHeight="1">
      <c r="A413" s="42"/>
      <c r="B413" s="43"/>
      <c r="C413" s="287" t="s">
        <v>624</v>
      </c>
      <c r="D413" s="345">
        <v>380</v>
      </c>
      <c r="E413" s="345"/>
      <c r="F413" s="357">
        <f>D413</f>
        <v>380</v>
      </c>
    </row>
    <row r="414" spans="1:6" ht="11.25" customHeight="1">
      <c r="A414" s="42"/>
      <c r="B414" s="43"/>
      <c r="C414" s="464" t="s">
        <v>625</v>
      </c>
      <c r="D414" s="114">
        <v>380</v>
      </c>
      <c r="E414" s="114"/>
      <c r="F414" s="410">
        <f>D414</f>
        <v>380</v>
      </c>
    </row>
    <row r="415" spans="1:6" ht="11.25" customHeight="1">
      <c r="A415" s="42" t="s">
        <v>314</v>
      </c>
      <c r="B415" s="43"/>
      <c r="C415" s="402" t="s">
        <v>1242</v>
      </c>
      <c r="D415" s="345"/>
      <c r="E415" s="345"/>
      <c r="F415" s="357"/>
    </row>
    <row r="416" spans="1:6" ht="11.25" customHeight="1">
      <c r="A416" s="42"/>
      <c r="B416" s="43"/>
      <c r="C416" s="287" t="s">
        <v>623</v>
      </c>
      <c r="D416" s="345">
        <v>0</v>
      </c>
      <c r="E416" s="345"/>
      <c r="F416" s="357">
        <v>0</v>
      </c>
    </row>
    <row r="417" spans="1:6" ht="11.25" customHeight="1">
      <c r="A417" s="42"/>
      <c r="B417" s="43"/>
      <c r="C417" s="287" t="s">
        <v>624</v>
      </c>
      <c r="D417" s="345">
        <f>D421+D425</f>
        <v>18184</v>
      </c>
      <c r="E417" s="345"/>
      <c r="F417" s="357">
        <f>D417</f>
        <v>18184</v>
      </c>
    </row>
    <row r="418" spans="1:6" ht="11.25" customHeight="1">
      <c r="A418" s="42"/>
      <c r="B418" s="43"/>
      <c r="C418" s="464" t="s">
        <v>625</v>
      </c>
      <c r="D418" s="114">
        <f>D422+D426</f>
        <v>18184</v>
      </c>
      <c r="E418" s="114"/>
      <c r="F418" s="410">
        <f>D418</f>
        <v>18184</v>
      </c>
    </row>
    <row r="419" spans="1:6" ht="10.5" customHeight="1">
      <c r="A419" s="42"/>
      <c r="B419" s="43" t="s">
        <v>312</v>
      </c>
      <c r="C419" s="402" t="s">
        <v>739</v>
      </c>
      <c r="D419" s="345"/>
      <c r="E419" s="345"/>
      <c r="F419" s="357"/>
    </row>
    <row r="420" spans="1:6" ht="10.5" customHeight="1">
      <c r="A420" s="42"/>
      <c r="B420" s="43"/>
      <c r="C420" s="287" t="s">
        <v>623</v>
      </c>
      <c r="D420" s="345">
        <v>0</v>
      </c>
      <c r="E420" s="345"/>
      <c r="F420" s="357">
        <v>0</v>
      </c>
    </row>
    <row r="421" spans="1:6" ht="10.5" customHeight="1">
      <c r="A421" s="42"/>
      <c r="B421" s="43"/>
      <c r="C421" s="287" t="s">
        <v>624</v>
      </c>
      <c r="D421" s="345">
        <v>6344</v>
      </c>
      <c r="E421" s="345"/>
      <c r="F421" s="357">
        <f>D421</f>
        <v>6344</v>
      </c>
    </row>
    <row r="422" spans="1:6" ht="10.5" customHeight="1">
      <c r="A422" s="42"/>
      <c r="B422" s="43"/>
      <c r="C422" s="464" t="s">
        <v>625</v>
      </c>
      <c r="D422" s="345">
        <v>6344</v>
      </c>
      <c r="E422" s="345"/>
      <c r="F422" s="357">
        <f>D422</f>
        <v>6344</v>
      </c>
    </row>
    <row r="423" spans="1:6" ht="10.5" customHeight="1">
      <c r="A423" s="42"/>
      <c r="B423" s="43" t="s">
        <v>314</v>
      </c>
      <c r="C423" s="402" t="s">
        <v>1259</v>
      </c>
      <c r="D423" s="345"/>
      <c r="E423" s="345"/>
      <c r="F423" s="357"/>
    </row>
    <row r="424" spans="1:6" ht="10.5" customHeight="1">
      <c r="A424" s="42"/>
      <c r="B424" s="43"/>
      <c r="C424" s="287" t="s">
        <v>623</v>
      </c>
      <c r="D424" s="345">
        <v>0</v>
      </c>
      <c r="E424" s="345"/>
      <c r="F424" s="357">
        <v>0</v>
      </c>
    </row>
    <row r="425" spans="1:6" ht="10.5" customHeight="1">
      <c r="A425" s="42"/>
      <c r="B425" s="43"/>
      <c r="C425" s="287" t="s">
        <v>624</v>
      </c>
      <c r="D425" s="345">
        <v>11840</v>
      </c>
      <c r="E425" s="345"/>
      <c r="F425" s="357">
        <v>11840</v>
      </c>
    </row>
    <row r="426" spans="1:6" ht="10.5" customHeight="1" thickBot="1">
      <c r="A426" s="633"/>
      <c r="B426" s="634"/>
      <c r="C426" s="398" t="s">
        <v>625</v>
      </c>
      <c r="D426" s="405">
        <v>11840</v>
      </c>
      <c r="E426" s="405"/>
      <c r="F426" s="660">
        <v>11840</v>
      </c>
    </row>
    <row r="427" spans="1:6" ht="12" customHeight="1" thickBot="1" thickTop="1">
      <c r="A427" s="47" t="s">
        <v>419</v>
      </c>
      <c r="B427" s="48"/>
      <c r="C427" s="224" t="s">
        <v>754</v>
      </c>
      <c r="D427" s="115"/>
      <c r="E427" s="115"/>
      <c r="F427" s="129"/>
    </row>
    <row r="428" spans="1:6" ht="12" customHeight="1" thickTop="1">
      <c r="A428" s="50"/>
      <c r="B428" s="51"/>
      <c r="C428" s="287" t="s">
        <v>623</v>
      </c>
      <c r="D428" s="130">
        <f>D368+D372+D376+D380+D384</f>
        <v>391412</v>
      </c>
      <c r="E428" s="130">
        <v>0</v>
      </c>
      <c r="F428" s="128">
        <f>SUM(D428:E428)</f>
        <v>391412</v>
      </c>
    </row>
    <row r="429" spans="1:6" ht="12" customHeight="1">
      <c r="A429" s="50"/>
      <c r="B429" s="51"/>
      <c r="C429" s="287" t="s">
        <v>624</v>
      </c>
      <c r="D429" s="349">
        <f>D369+D373+D377+D381+D385+D421+D425</f>
        <v>497708</v>
      </c>
      <c r="E429" s="349">
        <f>E421+E425</f>
        <v>0</v>
      </c>
      <c r="F429" s="357">
        <f>SUM(D429:E429)</f>
        <v>497708</v>
      </c>
    </row>
    <row r="430" spans="1:6" ht="12" customHeight="1" thickBot="1">
      <c r="A430" s="385"/>
      <c r="B430" s="386"/>
      <c r="C430" s="354" t="s">
        <v>625</v>
      </c>
      <c r="D430" s="351">
        <f>D370+D374+D378+D382+D386+D426+D422</f>
        <v>497708</v>
      </c>
      <c r="E430" s="351">
        <f>E422+E426</f>
        <v>0</v>
      </c>
      <c r="F430" s="383">
        <f>SUM(D430:E430)</f>
        <v>497708</v>
      </c>
    </row>
    <row r="431" spans="1:6" s="49" customFormat="1" ht="12" customHeight="1" thickTop="1">
      <c r="A431" s="50" t="s">
        <v>420</v>
      </c>
      <c r="B431" s="51"/>
      <c r="C431" s="225" t="s">
        <v>957</v>
      </c>
      <c r="D431" s="124"/>
      <c r="E431" s="124"/>
      <c r="F431" s="125"/>
    </row>
    <row r="432" spans="1:6" ht="10.5" customHeight="1">
      <c r="A432" s="42"/>
      <c r="B432" s="43" t="s">
        <v>312</v>
      </c>
      <c r="C432" s="347" t="s">
        <v>421</v>
      </c>
      <c r="D432" s="345"/>
      <c r="E432" s="345"/>
      <c r="F432" s="357"/>
    </row>
    <row r="433" spans="1:6" ht="10.5" customHeight="1">
      <c r="A433" s="42"/>
      <c r="B433" s="43"/>
      <c r="C433" s="287" t="s">
        <v>623</v>
      </c>
      <c r="D433" s="345">
        <v>210</v>
      </c>
      <c r="E433" s="345"/>
      <c r="F433" s="357">
        <f>D433+E433</f>
        <v>210</v>
      </c>
    </row>
    <row r="434" spans="1:6" ht="10.5" customHeight="1">
      <c r="A434" s="42"/>
      <c r="B434" s="43"/>
      <c r="C434" s="287" t="s">
        <v>624</v>
      </c>
      <c r="D434" s="345">
        <v>1406</v>
      </c>
      <c r="E434" s="345"/>
      <c r="F434" s="357">
        <f aca="true" t="shared" si="11" ref="F434:F460">D434+E434</f>
        <v>1406</v>
      </c>
    </row>
    <row r="435" spans="1:6" ht="10.5" customHeight="1">
      <c r="A435" s="42"/>
      <c r="B435" s="43"/>
      <c r="C435" s="287" t="s">
        <v>625</v>
      </c>
      <c r="D435" s="345">
        <f>210+1196</f>
        <v>1406</v>
      </c>
      <c r="E435" s="345"/>
      <c r="F435" s="357">
        <f t="shared" si="11"/>
        <v>1406</v>
      </c>
    </row>
    <row r="436" spans="1:6" ht="10.5" customHeight="1">
      <c r="A436" s="42"/>
      <c r="B436" s="43" t="s">
        <v>314</v>
      </c>
      <c r="C436" s="347" t="s">
        <v>422</v>
      </c>
      <c r="D436" s="345"/>
      <c r="E436" s="345"/>
      <c r="F436" s="357"/>
    </row>
    <row r="437" spans="1:6" ht="10.5" customHeight="1">
      <c r="A437" s="42"/>
      <c r="B437" s="43"/>
      <c r="C437" s="287" t="s">
        <v>623</v>
      </c>
      <c r="D437" s="345">
        <v>210</v>
      </c>
      <c r="E437" s="345"/>
      <c r="F437" s="357">
        <f t="shared" si="11"/>
        <v>210</v>
      </c>
    </row>
    <row r="438" spans="1:6" ht="10.5" customHeight="1">
      <c r="A438" s="42"/>
      <c r="B438" s="43"/>
      <c r="C438" s="287" t="s">
        <v>624</v>
      </c>
      <c r="D438" s="345">
        <v>1321</v>
      </c>
      <c r="E438" s="345"/>
      <c r="F438" s="357">
        <f t="shared" si="11"/>
        <v>1321</v>
      </c>
    </row>
    <row r="439" spans="1:6" ht="10.5" customHeight="1">
      <c r="A439" s="42"/>
      <c r="B439" s="43"/>
      <c r="C439" s="287" t="s">
        <v>625</v>
      </c>
      <c r="D439" s="345">
        <f>210+1111</f>
        <v>1321</v>
      </c>
      <c r="E439" s="345"/>
      <c r="F439" s="357">
        <f t="shared" si="11"/>
        <v>1321</v>
      </c>
    </row>
    <row r="440" spans="1:6" ht="10.5" customHeight="1">
      <c r="A440" s="42"/>
      <c r="B440" s="43" t="s">
        <v>316</v>
      </c>
      <c r="C440" s="347" t="s">
        <v>423</v>
      </c>
      <c r="D440" s="345"/>
      <c r="E440" s="345"/>
      <c r="F440" s="357"/>
    </row>
    <row r="441" spans="1:6" ht="10.5" customHeight="1">
      <c r="A441" s="42"/>
      <c r="B441" s="43"/>
      <c r="C441" s="287" t="s">
        <v>623</v>
      </c>
      <c r="D441" s="345">
        <v>210</v>
      </c>
      <c r="E441" s="345"/>
      <c r="F441" s="357">
        <f t="shared" si="11"/>
        <v>210</v>
      </c>
    </row>
    <row r="442" spans="1:6" ht="10.5" customHeight="1">
      <c r="A442" s="42"/>
      <c r="B442" s="43"/>
      <c r="C442" s="287" t="s">
        <v>624</v>
      </c>
      <c r="D442" s="345">
        <v>381</v>
      </c>
      <c r="E442" s="345"/>
      <c r="F442" s="357">
        <f t="shared" si="11"/>
        <v>381</v>
      </c>
    </row>
    <row r="443" spans="1:6" ht="10.5" customHeight="1">
      <c r="A443" s="42"/>
      <c r="B443" s="43"/>
      <c r="C443" s="287" t="s">
        <v>625</v>
      </c>
      <c r="D443" s="345">
        <f>210+171</f>
        <v>381</v>
      </c>
      <c r="E443" s="345"/>
      <c r="F443" s="357">
        <f t="shared" si="11"/>
        <v>381</v>
      </c>
    </row>
    <row r="444" spans="1:6" ht="10.5" customHeight="1">
      <c r="A444" s="42"/>
      <c r="B444" s="43"/>
      <c r="C444" s="403" t="s">
        <v>958</v>
      </c>
      <c r="D444" s="345"/>
      <c r="E444" s="345"/>
      <c r="F444" s="357"/>
    </row>
    <row r="445" spans="1:6" ht="10.5" customHeight="1">
      <c r="A445" s="42"/>
      <c r="B445" s="43" t="s">
        <v>312</v>
      </c>
      <c r="C445" s="347" t="s">
        <v>642</v>
      </c>
      <c r="D445" s="345"/>
      <c r="E445" s="345"/>
      <c r="F445" s="357"/>
    </row>
    <row r="446" spans="1:6" ht="10.5" customHeight="1">
      <c r="A446" s="42"/>
      <c r="B446" s="43"/>
      <c r="C446" s="287" t="s">
        <v>623</v>
      </c>
      <c r="D446" s="345">
        <v>0</v>
      </c>
      <c r="E446" s="345"/>
      <c r="F446" s="357">
        <f t="shared" si="11"/>
        <v>0</v>
      </c>
    </row>
    <row r="447" spans="1:6" ht="10.5" customHeight="1">
      <c r="A447" s="42"/>
      <c r="B447" s="43"/>
      <c r="C447" s="287" t="s">
        <v>624</v>
      </c>
      <c r="D447" s="345">
        <v>1308</v>
      </c>
      <c r="E447" s="345"/>
      <c r="F447" s="357">
        <f t="shared" si="11"/>
        <v>1308</v>
      </c>
    </row>
    <row r="448" spans="1:6" ht="10.5" customHeight="1">
      <c r="A448" s="42"/>
      <c r="B448" s="43"/>
      <c r="C448" s="287" t="s">
        <v>625</v>
      </c>
      <c r="D448" s="345">
        <v>1308</v>
      </c>
      <c r="E448" s="345"/>
      <c r="F448" s="357">
        <f t="shared" si="11"/>
        <v>1308</v>
      </c>
    </row>
    <row r="449" spans="1:6" ht="10.5" customHeight="1">
      <c r="A449" s="42"/>
      <c r="B449" s="43" t="s">
        <v>314</v>
      </c>
      <c r="C449" s="347" t="s">
        <v>739</v>
      </c>
      <c r="D449" s="345"/>
      <c r="E449" s="345"/>
      <c r="F449" s="357"/>
    </row>
    <row r="450" spans="1:6" ht="10.5" customHeight="1">
      <c r="A450" s="42"/>
      <c r="B450" s="43"/>
      <c r="C450" s="287" t="s">
        <v>623</v>
      </c>
      <c r="D450" s="345">
        <v>0</v>
      </c>
      <c r="E450" s="345"/>
      <c r="F450" s="357">
        <f t="shared" si="11"/>
        <v>0</v>
      </c>
    </row>
    <row r="451" spans="1:6" ht="10.5" customHeight="1">
      <c r="A451" s="42"/>
      <c r="B451" s="43"/>
      <c r="C451" s="287" t="s">
        <v>624</v>
      </c>
      <c r="D451" s="345">
        <v>0</v>
      </c>
      <c r="E451" s="345"/>
      <c r="F451" s="357">
        <f t="shared" si="11"/>
        <v>0</v>
      </c>
    </row>
    <row r="452" spans="1:6" ht="10.5" customHeight="1">
      <c r="A452" s="42"/>
      <c r="B452" s="43"/>
      <c r="C452" s="287" t="s">
        <v>625</v>
      </c>
      <c r="D452" s="345">
        <v>0</v>
      </c>
      <c r="E452" s="345"/>
      <c r="F452" s="357">
        <f t="shared" si="11"/>
        <v>0</v>
      </c>
    </row>
    <row r="453" spans="1:6" ht="10.5" customHeight="1">
      <c r="A453" s="42"/>
      <c r="B453" s="43" t="s">
        <v>316</v>
      </c>
      <c r="C453" s="347" t="s">
        <v>622</v>
      </c>
      <c r="D453" s="345"/>
      <c r="E453" s="345"/>
      <c r="F453" s="357"/>
    </row>
    <row r="454" spans="1:6" ht="10.5" customHeight="1">
      <c r="A454" s="42"/>
      <c r="B454" s="43"/>
      <c r="C454" s="287" t="s">
        <v>623</v>
      </c>
      <c r="D454" s="345">
        <v>0</v>
      </c>
      <c r="E454" s="345"/>
      <c r="F454" s="357">
        <f t="shared" si="11"/>
        <v>0</v>
      </c>
    </row>
    <row r="455" spans="1:6" ht="10.5" customHeight="1">
      <c r="A455" s="42"/>
      <c r="B455" s="43"/>
      <c r="C455" s="287" t="s">
        <v>624</v>
      </c>
      <c r="D455" s="345">
        <v>833</v>
      </c>
      <c r="E455" s="345"/>
      <c r="F455" s="357">
        <f t="shared" si="11"/>
        <v>833</v>
      </c>
    </row>
    <row r="456" spans="1:6" ht="10.5" customHeight="1">
      <c r="A456" s="42"/>
      <c r="B456" s="43"/>
      <c r="C456" s="287" t="s">
        <v>625</v>
      </c>
      <c r="D456" s="345">
        <v>833</v>
      </c>
      <c r="E456" s="345"/>
      <c r="F456" s="357">
        <f t="shared" si="11"/>
        <v>833</v>
      </c>
    </row>
    <row r="457" spans="1:6" ht="10.5" customHeight="1">
      <c r="A457" s="42"/>
      <c r="B457" s="43" t="s">
        <v>318</v>
      </c>
      <c r="C457" s="347" t="s">
        <v>641</v>
      </c>
      <c r="D457" s="345"/>
      <c r="E457" s="345"/>
      <c r="F457" s="357"/>
    </row>
    <row r="458" spans="1:6" ht="10.5" customHeight="1">
      <c r="A458" s="42"/>
      <c r="B458" s="43"/>
      <c r="C458" s="287" t="s">
        <v>623</v>
      </c>
      <c r="D458" s="345">
        <v>0</v>
      </c>
      <c r="E458" s="345"/>
      <c r="F458" s="357">
        <f t="shared" si="11"/>
        <v>0</v>
      </c>
    </row>
    <row r="459" spans="1:6" ht="10.5" customHeight="1">
      <c r="A459" s="42"/>
      <c r="B459" s="43"/>
      <c r="C459" s="287" t="s">
        <v>624</v>
      </c>
      <c r="D459" s="345">
        <v>594</v>
      </c>
      <c r="E459" s="345"/>
      <c r="F459" s="357">
        <f t="shared" si="11"/>
        <v>594</v>
      </c>
    </row>
    <row r="460" spans="1:6" ht="10.5" customHeight="1">
      <c r="A460" s="42"/>
      <c r="B460" s="43"/>
      <c r="C460" s="464" t="s">
        <v>625</v>
      </c>
      <c r="D460" s="114">
        <v>594</v>
      </c>
      <c r="E460" s="114"/>
      <c r="F460" s="628">
        <f t="shared" si="11"/>
        <v>594</v>
      </c>
    </row>
    <row r="461" spans="1:6" ht="10.5" customHeight="1">
      <c r="A461" s="42"/>
      <c r="B461" s="43" t="s">
        <v>320</v>
      </c>
      <c r="C461" s="402" t="s">
        <v>571</v>
      </c>
      <c r="D461" s="345"/>
      <c r="E461" s="345"/>
      <c r="F461" s="357"/>
    </row>
    <row r="462" spans="1:6" ht="10.5" customHeight="1">
      <c r="A462" s="42"/>
      <c r="B462" s="43"/>
      <c r="C462" s="287" t="s">
        <v>623</v>
      </c>
      <c r="D462" s="345">
        <v>0</v>
      </c>
      <c r="E462" s="345">
        <v>0</v>
      </c>
      <c r="F462" s="357">
        <v>0</v>
      </c>
    </row>
    <row r="463" spans="1:6" ht="10.5" customHeight="1">
      <c r="A463" s="42"/>
      <c r="B463" s="43"/>
      <c r="C463" s="287" t="s">
        <v>624</v>
      </c>
      <c r="D463" s="345">
        <v>0</v>
      </c>
      <c r="E463" s="345">
        <v>860</v>
      </c>
      <c r="F463" s="357">
        <f>D463+E463</f>
        <v>860</v>
      </c>
    </row>
    <row r="464" spans="1:6" ht="10.5" customHeight="1">
      <c r="A464" s="42"/>
      <c r="B464" s="43"/>
      <c r="C464" s="464" t="s">
        <v>625</v>
      </c>
      <c r="D464" s="345">
        <v>0</v>
      </c>
      <c r="E464" s="345">
        <v>860</v>
      </c>
      <c r="F464" s="357">
        <f>D464+E464</f>
        <v>860</v>
      </c>
    </row>
    <row r="465" spans="1:6" ht="10.5" customHeight="1">
      <c r="A465" s="42"/>
      <c r="B465" s="43" t="s">
        <v>322</v>
      </c>
      <c r="C465" s="402" t="s">
        <v>743</v>
      </c>
      <c r="D465" s="345"/>
      <c r="E465" s="345"/>
      <c r="F465" s="357" t="s">
        <v>465</v>
      </c>
    </row>
    <row r="466" spans="1:6" ht="10.5" customHeight="1">
      <c r="A466" s="42"/>
      <c r="B466" s="43"/>
      <c r="C466" s="287" t="s">
        <v>623</v>
      </c>
      <c r="D466" s="345">
        <v>0</v>
      </c>
      <c r="E466" s="345">
        <v>0</v>
      </c>
      <c r="F466" s="357">
        <f>D466</f>
        <v>0</v>
      </c>
    </row>
    <row r="467" spans="1:6" ht="10.5" customHeight="1">
      <c r="A467" s="42"/>
      <c r="B467" s="43"/>
      <c r="C467" s="287" t="s">
        <v>624</v>
      </c>
      <c r="D467" s="345">
        <v>0</v>
      </c>
      <c r="E467" s="345">
        <v>3573</v>
      </c>
      <c r="F467" s="357">
        <f>D467+E467</f>
        <v>3573</v>
      </c>
    </row>
    <row r="468" spans="1:6" ht="10.5" customHeight="1">
      <c r="A468" s="42"/>
      <c r="B468" s="43"/>
      <c r="C468" s="464" t="s">
        <v>625</v>
      </c>
      <c r="D468" s="114">
        <v>0</v>
      </c>
      <c r="E468" s="114">
        <v>3573</v>
      </c>
      <c r="F468" s="410">
        <f>D468+E468</f>
        <v>3573</v>
      </c>
    </row>
    <row r="469" spans="1:6" ht="10.5" customHeight="1">
      <c r="A469" s="42"/>
      <c r="B469" s="43" t="s">
        <v>346</v>
      </c>
      <c r="C469" s="402" t="s">
        <v>1260</v>
      </c>
      <c r="D469" s="345"/>
      <c r="E469" s="345"/>
      <c r="F469" s="357"/>
    </row>
    <row r="470" spans="1:6" ht="10.5" customHeight="1">
      <c r="A470" s="42"/>
      <c r="B470" s="43"/>
      <c r="C470" s="287" t="s">
        <v>623</v>
      </c>
      <c r="D470" s="345">
        <v>0</v>
      </c>
      <c r="E470" s="345"/>
      <c r="F470" s="357">
        <v>0</v>
      </c>
    </row>
    <row r="471" spans="1:6" ht="10.5" customHeight="1">
      <c r="A471" s="42"/>
      <c r="B471" s="43"/>
      <c r="C471" s="287" t="s">
        <v>624</v>
      </c>
      <c r="D471" s="345">
        <v>5900</v>
      </c>
      <c r="E471" s="345"/>
      <c r="F471" s="357">
        <f>D471</f>
        <v>5900</v>
      </c>
    </row>
    <row r="472" spans="1:6" ht="10.5" customHeight="1" thickBot="1">
      <c r="A472" s="42"/>
      <c r="B472" s="43"/>
      <c r="C472" s="287" t="s">
        <v>625</v>
      </c>
      <c r="D472" s="345">
        <v>5900</v>
      </c>
      <c r="E472" s="345"/>
      <c r="F472" s="357">
        <f>D472</f>
        <v>5900</v>
      </c>
    </row>
    <row r="473" spans="1:6" ht="12" customHeight="1" thickBot="1" thickTop="1">
      <c r="A473" s="47" t="s">
        <v>420</v>
      </c>
      <c r="B473" s="48"/>
      <c r="C473" s="224" t="s">
        <v>755</v>
      </c>
      <c r="D473" s="115"/>
      <c r="E473" s="115"/>
      <c r="F473" s="129"/>
    </row>
    <row r="474" spans="1:6" ht="12" customHeight="1" thickTop="1">
      <c r="A474" s="50"/>
      <c r="B474" s="51"/>
      <c r="C474" s="287" t="s">
        <v>623</v>
      </c>
      <c r="D474" s="130">
        <f>D433+D437+D441+D446+D450+D454+D458</f>
        <v>630</v>
      </c>
      <c r="E474" s="130">
        <v>0</v>
      </c>
      <c r="F474" s="128">
        <f>E474+D474</f>
        <v>630</v>
      </c>
    </row>
    <row r="475" spans="1:6" ht="12" customHeight="1">
      <c r="A475" s="50"/>
      <c r="B475" s="51"/>
      <c r="C475" s="287" t="s">
        <v>624</v>
      </c>
      <c r="D475" s="349">
        <f>D434+D438+D442+D447+D451+D455+D459+D463+D467+D471</f>
        <v>11743</v>
      </c>
      <c r="E475" s="349">
        <f>E467+E463</f>
        <v>4433</v>
      </c>
      <c r="F475" s="357">
        <f>E475+D475</f>
        <v>16176</v>
      </c>
    </row>
    <row r="476" spans="1:6" ht="12" customHeight="1" thickBot="1">
      <c r="A476" s="385"/>
      <c r="B476" s="386"/>
      <c r="C476" s="398" t="s">
        <v>625</v>
      </c>
      <c r="D476" s="351">
        <f>D435+D439+D443+D448+D452+D456+D460+D464+D468+D472</f>
        <v>11743</v>
      </c>
      <c r="E476" s="351">
        <f>E468+E464</f>
        <v>4433</v>
      </c>
      <c r="F476" s="383">
        <f>E476+D476</f>
        <v>16176</v>
      </c>
    </row>
    <row r="477" spans="1:6" ht="12" customHeight="1" thickTop="1">
      <c r="A477" s="50" t="s">
        <v>424</v>
      </c>
      <c r="B477" s="51"/>
      <c r="C477" s="228" t="s">
        <v>756</v>
      </c>
      <c r="D477" s="124"/>
      <c r="E477" s="124"/>
      <c r="F477" s="125"/>
    </row>
    <row r="478" spans="1:6" ht="12" customHeight="1">
      <c r="A478" s="50"/>
      <c r="B478" s="43" t="s">
        <v>312</v>
      </c>
      <c r="C478" s="347" t="s">
        <v>744</v>
      </c>
      <c r="D478" s="345"/>
      <c r="E478" s="349"/>
      <c r="F478" s="357"/>
    </row>
    <row r="479" spans="1:6" ht="12" customHeight="1">
      <c r="A479" s="50"/>
      <c r="B479" s="43"/>
      <c r="C479" s="287" t="s">
        <v>623</v>
      </c>
      <c r="D479" s="345"/>
      <c r="E479" s="407">
        <v>140142</v>
      </c>
      <c r="F479" s="357">
        <f>D479+E479</f>
        <v>140142</v>
      </c>
    </row>
    <row r="480" spans="1:6" ht="12" customHeight="1">
      <c r="A480" s="50"/>
      <c r="B480" s="43"/>
      <c r="C480" s="287" t="s">
        <v>624</v>
      </c>
      <c r="D480" s="345"/>
      <c r="E480" s="407">
        <v>83632</v>
      </c>
      <c r="F480" s="357">
        <f>D480+E480</f>
        <v>83632</v>
      </c>
    </row>
    <row r="481" spans="1:6" ht="12" customHeight="1">
      <c r="A481" s="50"/>
      <c r="B481" s="43"/>
      <c r="C481" s="287" t="s">
        <v>625</v>
      </c>
      <c r="D481" s="345"/>
      <c r="E481" s="407">
        <v>0</v>
      </c>
      <c r="F481" s="357">
        <f>D481+E481</f>
        <v>0</v>
      </c>
    </row>
    <row r="482" spans="1:6" ht="12" customHeight="1">
      <c r="A482" s="50"/>
      <c r="B482" s="43" t="s">
        <v>314</v>
      </c>
      <c r="C482" s="1347" t="s">
        <v>337</v>
      </c>
      <c r="D482" s="345"/>
      <c r="E482" s="407"/>
      <c r="F482" s="357"/>
    </row>
    <row r="483" spans="1:6" ht="12" customHeight="1">
      <c r="A483" s="50"/>
      <c r="B483" s="43"/>
      <c r="C483" s="287" t="s">
        <v>623</v>
      </c>
      <c r="D483" s="345"/>
      <c r="E483" s="407">
        <v>115073</v>
      </c>
      <c r="F483" s="357">
        <f aca="true" t="shared" si="12" ref="F483:F501">D483+E483</f>
        <v>115073</v>
      </c>
    </row>
    <row r="484" spans="1:6" ht="12" customHeight="1">
      <c r="A484" s="50"/>
      <c r="B484" s="43"/>
      <c r="C484" s="287" t="s">
        <v>624</v>
      </c>
      <c r="D484" s="345"/>
      <c r="E484" s="407">
        <v>115073</v>
      </c>
      <c r="F484" s="357">
        <f t="shared" si="12"/>
        <v>115073</v>
      </c>
    </row>
    <row r="485" spans="1:6" ht="12" customHeight="1">
      <c r="A485" s="50"/>
      <c r="B485" s="43"/>
      <c r="C485" s="287" t="s">
        <v>625</v>
      </c>
      <c r="D485" s="345"/>
      <c r="E485" s="407">
        <v>0</v>
      </c>
      <c r="F485" s="357">
        <f t="shared" si="12"/>
        <v>0</v>
      </c>
    </row>
    <row r="486" spans="1:6" ht="12" customHeight="1">
      <c r="A486" s="50"/>
      <c r="B486" s="43" t="s">
        <v>316</v>
      </c>
      <c r="C486" s="1347" t="s">
        <v>546</v>
      </c>
      <c r="D486" s="345"/>
      <c r="E486" s="407"/>
      <c r="F486" s="357"/>
    </row>
    <row r="487" spans="1:6" ht="12" customHeight="1">
      <c r="A487" s="50"/>
      <c r="B487" s="43"/>
      <c r="C487" s="287" t="s">
        <v>623</v>
      </c>
      <c r="D487" s="345"/>
      <c r="E487" s="407">
        <v>14777</v>
      </c>
      <c r="F487" s="357">
        <f t="shared" si="12"/>
        <v>14777</v>
      </c>
    </row>
    <row r="488" spans="1:6" ht="12" customHeight="1">
      <c r="A488" s="50"/>
      <c r="B488" s="43"/>
      <c r="C488" s="287" t="s">
        <v>624</v>
      </c>
      <c r="D488" s="345"/>
      <c r="E488" s="407">
        <v>11225</v>
      </c>
      <c r="F488" s="357">
        <f t="shared" si="12"/>
        <v>11225</v>
      </c>
    </row>
    <row r="489" spans="1:6" ht="12" customHeight="1">
      <c r="A489" s="50"/>
      <c r="B489" s="43"/>
      <c r="C489" s="287" t="s">
        <v>625</v>
      </c>
      <c r="D489" s="345"/>
      <c r="E489" s="407">
        <v>0</v>
      </c>
      <c r="F489" s="357">
        <f t="shared" si="12"/>
        <v>0</v>
      </c>
    </row>
    <row r="490" spans="1:6" ht="24.75" customHeight="1">
      <c r="A490" s="50"/>
      <c r="B490" s="43" t="s">
        <v>318</v>
      </c>
      <c r="C490" s="1348" t="s">
        <v>336</v>
      </c>
      <c r="D490" s="345"/>
      <c r="E490" s="407"/>
      <c r="F490" s="357"/>
    </row>
    <row r="491" spans="1:6" ht="12" customHeight="1">
      <c r="A491" s="50"/>
      <c r="B491" s="43"/>
      <c r="C491" s="287" t="s">
        <v>623</v>
      </c>
      <c r="D491" s="345"/>
      <c r="E491" s="407">
        <v>26945</v>
      </c>
      <c r="F491" s="357">
        <f t="shared" si="12"/>
        <v>26945</v>
      </c>
    </row>
    <row r="492" spans="1:6" ht="12" customHeight="1">
      <c r="A492" s="50"/>
      <c r="B492" s="43"/>
      <c r="C492" s="287" t="s">
        <v>624</v>
      </c>
      <c r="D492" s="345"/>
      <c r="E492" s="407">
        <v>26945</v>
      </c>
      <c r="F492" s="357">
        <f t="shared" si="12"/>
        <v>26945</v>
      </c>
    </row>
    <row r="493" spans="1:6" ht="12" customHeight="1">
      <c r="A493" s="50"/>
      <c r="B493" s="43"/>
      <c r="C493" s="287" t="s">
        <v>625</v>
      </c>
      <c r="D493" s="345"/>
      <c r="E493" s="407">
        <v>0</v>
      </c>
      <c r="F493" s="357">
        <f t="shared" si="12"/>
        <v>0</v>
      </c>
    </row>
    <row r="494" spans="1:6" ht="12" customHeight="1">
      <c r="A494" s="50"/>
      <c r="B494" s="43" t="s">
        <v>320</v>
      </c>
      <c r="C494" s="1347" t="s">
        <v>743</v>
      </c>
      <c r="D494" s="345"/>
      <c r="E494" s="407"/>
      <c r="F494" s="357"/>
    </row>
    <row r="495" spans="1:6" ht="12" customHeight="1">
      <c r="A495" s="50"/>
      <c r="B495" s="43"/>
      <c r="C495" s="287" t="s">
        <v>623</v>
      </c>
      <c r="D495" s="345"/>
      <c r="E495" s="407">
        <v>60292</v>
      </c>
      <c r="F495" s="357">
        <f t="shared" si="12"/>
        <v>60292</v>
      </c>
    </row>
    <row r="496" spans="1:6" ht="12" customHeight="1">
      <c r="A496" s="50"/>
      <c r="B496" s="43"/>
      <c r="C496" s="287" t="s">
        <v>624</v>
      </c>
      <c r="D496" s="345"/>
      <c r="E496" s="407">
        <v>0</v>
      </c>
      <c r="F496" s="357">
        <f t="shared" si="12"/>
        <v>0</v>
      </c>
    </row>
    <row r="497" spans="1:6" ht="12" customHeight="1">
      <c r="A497" s="50"/>
      <c r="B497" s="43"/>
      <c r="C497" s="287" t="s">
        <v>625</v>
      </c>
      <c r="D497" s="345"/>
      <c r="E497" s="407">
        <v>0</v>
      </c>
      <c r="F497" s="357">
        <f t="shared" si="12"/>
        <v>0</v>
      </c>
    </row>
    <row r="498" spans="1:6" ht="24" customHeight="1">
      <c r="A498" s="50"/>
      <c r="B498" s="43" t="s">
        <v>322</v>
      </c>
      <c r="C498" s="1348" t="s">
        <v>571</v>
      </c>
      <c r="D498" s="345"/>
      <c r="E498" s="407"/>
      <c r="F498" s="357"/>
    </row>
    <row r="499" spans="1:6" ht="12" customHeight="1">
      <c r="A499" s="50"/>
      <c r="B499" s="43"/>
      <c r="C499" s="287" t="s">
        <v>623</v>
      </c>
      <c r="D499" s="345"/>
      <c r="E499" s="407">
        <v>20027</v>
      </c>
      <c r="F499" s="357">
        <f t="shared" si="12"/>
        <v>20027</v>
      </c>
    </row>
    <row r="500" spans="1:6" ht="12" customHeight="1">
      <c r="A500" s="50"/>
      <c r="B500" s="43"/>
      <c r="C500" s="287" t="s">
        <v>624</v>
      </c>
      <c r="D500" s="345"/>
      <c r="E500" s="407">
        <v>359115</v>
      </c>
      <c r="F500" s="357">
        <f t="shared" si="12"/>
        <v>359115</v>
      </c>
    </row>
    <row r="501" spans="1:6" ht="12" customHeight="1">
      <c r="A501" s="50"/>
      <c r="B501" s="43"/>
      <c r="C501" s="287" t="s">
        <v>625</v>
      </c>
      <c r="D501" s="345"/>
      <c r="E501" s="407">
        <v>0</v>
      </c>
      <c r="F501" s="357">
        <f t="shared" si="12"/>
        <v>0</v>
      </c>
    </row>
    <row r="502" spans="1:6" ht="12" customHeight="1">
      <c r="A502" s="50"/>
      <c r="B502" s="43" t="s">
        <v>346</v>
      </c>
      <c r="C502" s="219" t="s">
        <v>757</v>
      </c>
      <c r="D502" s="345"/>
      <c r="E502" s="407"/>
      <c r="F502" s="357"/>
    </row>
    <row r="503" spans="1:6" ht="12" customHeight="1">
      <c r="A503" s="50"/>
      <c r="B503" s="43"/>
      <c r="C503" s="287" t="s">
        <v>623</v>
      </c>
      <c r="D503" s="345"/>
      <c r="E503" s="407">
        <v>188928</v>
      </c>
      <c r="F503" s="357">
        <f>D503+E503</f>
        <v>188928</v>
      </c>
    </row>
    <row r="504" spans="1:6" ht="12" customHeight="1">
      <c r="A504" s="50"/>
      <c r="B504" s="43"/>
      <c r="C504" s="287" t="s">
        <v>624</v>
      </c>
      <c r="D504" s="345"/>
      <c r="E504" s="407">
        <v>0</v>
      </c>
      <c r="F504" s="357">
        <f>D504+E504</f>
        <v>0</v>
      </c>
    </row>
    <row r="505" spans="1:6" ht="12" customHeight="1" thickBot="1">
      <c r="A505" s="385"/>
      <c r="B505" s="634"/>
      <c r="C505" s="398" t="s">
        <v>625</v>
      </c>
      <c r="D505" s="405"/>
      <c r="E505" s="1349">
        <v>0</v>
      </c>
      <c r="F505" s="629">
        <f>D505+E505</f>
        <v>0</v>
      </c>
    </row>
    <row r="506" spans="1:6" ht="12" customHeight="1" thickBot="1" thickTop="1">
      <c r="A506" s="47" t="s">
        <v>424</v>
      </c>
      <c r="B506" s="48"/>
      <c r="C506" s="224" t="s">
        <v>917</v>
      </c>
      <c r="D506" s="115"/>
      <c r="E506" s="115"/>
      <c r="F506" s="133"/>
    </row>
    <row r="507" spans="1:6" ht="12" customHeight="1" thickTop="1">
      <c r="A507" s="50"/>
      <c r="B507" s="51"/>
      <c r="C507" s="287" t="s">
        <v>623</v>
      </c>
      <c r="D507" s="130">
        <f>D479+D503+D483+D487+D491+D495+D499</f>
        <v>0</v>
      </c>
      <c r="E507" s="130">
        <f>E479+E503+E483+E487+E491+E495+E499</f>
        <v>566184</v>
      </c>
      <c r="F507" s="128">
        <f>D507+E507</f>
        <v>566184</v>
      </c>
    </row>
    <row r="508" spans="1:6" ht="12" customHeight="1">
      <c r="A508" s="50"/>
      <c r="B508" s="51"/>
      <c r="C508" s="287" t="s">
        <v>624</v>
      </c>
      <c r="D508" s="349">
        <f>D480+D504</f>
        <v>0</v>
      </c>
      <c r="E508" s="349">
        <f>E480+E484+E488+E492+E496+E500+E504</f>
        <v>595990</v>
      </c>
      <c r="F508" s="357">
        <f>E508+D508</f>
        <v>595990</v>
      </c>
    </row>
    <row r="509" spans="1:6" ht="12" customHeight="1" thickBot="1">
      <c r="A509" s="385"/>
      <c r="B509" s="386"/>
      <c r="C509" s="354" t="s">
        <v>625</v>
      </c>
      <c r="D509" s="351">
        <f>D481+D505</f>
        <v>0</v>
      </c>
      <c r="E509" s="351">
        <v>0</v>
      </c>
      <c r="F509" s="383">
        <f>E509+D509</f>
        <v>0</v>
      </c>
    </row>
    <row r="510" spans="1:6" ht="12" customHeight="1" thickTop="1">
      <c r="A510" s="50" t="s">
        <v>550</v>
      </c>
      <c r="B510" s="51"/>
      <c r="C510" s="225" t="s">
        <v>551</v>
      </c>
      <c r="D510" s="130"/>
      <c r="E510" s="130"/>
      <c r="F510" s="128"/>
    </row>
    <row r="511" spans="1:6" ht="12" customHeight="1">
      <c r="A511" s="50"/>
      <c r="B511" s="43" t="s">
        <v>312</v>
      </c>
      <c r="C511" s="347" t="s">
        <v>552</v>
      </c>
      <c r="D511" s="407"/>
      <c r="E511" s="349"/>
      <c r="F511" s="357"/>
    </row>
    <row r="512" spans="1:6" ht="12" customHeight="1">
      <c r="A512" s="50"/>
      <c r="B512" s="43"/>
      <c r="C512" s="287" t="s">
        <v>623</v>
      </c>
      <c r="D512" s="407">
        <v>20535</v>
      </c>
      <c r="E512" s="407">
        <v>0</v>
      </c>
      <c r="F512" s="357">
        <f>D512+E512</f>
        <v>20535</v>
      </c>
    </row>
    <row r="513" spans="1:6" ht="12" customHeight="1">
      <c r="A513" s="50"/>
      <c r="B513" s="43"/>
      <c r="C513" s="287" t="s">
        <v>624</v>
      </c>
      <c r="D513" s="407">
        <v>25626</v>
      </c>
      <c r="E513" s="407">
        <v>0</v>
      </c>
      <c r="F513" s="357">
        <f>D513+E513</f>
        <v>25626</v>
      </c>
    </row>
    <row r="514" spans="1:6" ht="12" customHeight="1">
      <c r="A514" s="50"/>
      <c r="B514" s="43"/>
      <c r="C514" s="299" t="s">
        <v>625</v>
      </c>
      <c r="D514" s="630">
        <v>2246</v>
      </c>
      <c r="E514" s="630">
        <v>18636</v>
      </c>
      <c r="F514" s="628">
        <f>D514+E514</f>
        <v>20882</v>
      </c>
    </row>
    <row r="515" spans="1:6" ht="12" customHeight="1">
      <c r="A515" s="50"/>
      <c r="B515" s="43" t="s">
        <v>314</v>
      </c>
      <c r="C515" s="627" t="s">
        <v>758</v>
      </c>
      <c r="D515" s="407"/>
      <c r="E515" s="349"/>
      <c r="F515" s="346"/>
    </row>
    <row r="516" spans="1:6" ht="12" customHeight="1">
      <c r="A516" s="50"/>
      <c r="B516" s="43"/>
      <c r="C516" s="287" t="s">
        <v>623</v>
      </c>
      <c r="D516" s="407">
        <v>0</v>
      </c>
      <c r="E516" s="349"/>
      <c r="F516" s="346">
        <v>0</v>
      </c>
    </row>
    <row r="517" spans="1:6" ht="12" customHeight="1">
      <c r="A517" s="50"/>
      <c r="B517" s="43"/>
      <c r="C517" s="287" t="s">
        <v>624</v>
      </c>
      <c r="D517" s="407">
        <v>300</v>
      </c>
      <c r="E517" s="349"/>
      <c r="F517" s="346">
        <f>D517</f>
        <v>300</v>
      </c>
    </row>
    <row r="518" spans="1:6" ht="12" customHeight="1" thickBot="1">
      <c r="A518" s="50"/>
      <c r="B518" s="43"/>
      <c r="C518" s="299" t="s">
        <v>625</v>
      </c>
      <c r="D518" s="1349">
        <v>0</v>
      </c>
      <c r="E518" s="399"/>
      <c r="F518" s="128">
        <f>D518</f>
        <v>0</v>
      </c>
    </row>
    <row r="519" spans="1:6" ht="12" customHeight="1" thickBot="1" thickTop="1">
      <c r="A519" s="47" t="s">
        <v>550</v>
      </c>
      <c r="B519" s="48"/>
      <c r="C519" s="224" t="s">
        <v>551</v>
      </c>
      <c r="D519" s="115" t="s">
        <v>465</v>
      </c>
      <c r="E519" s="115"/>
      <c r="F519" s="133" t="str">
        <f>D519</f>
        <v> </v>
      </c>
    </row>
    <row r="520" spans="1:6" ht="12" customHeight="1" thickTop="1">
      <c r="A520" s="50"/>
      <c r="B520" s="51"/>
      <c r="C520" s="287" t="s">
        <v>623</v>
      </c>
      <c r="D520" s="130">
        <f>D512</f>
        <v>20535</v>
      </c>
      <c r="E520" s="130"/>
      <c r="F520" s="128">
        <f>D520+E520</f>
        <v>20535</v>
      </c>
    </row>
    <row r="521" spans="1:6" ht="12" customHeight="1">
      <c r="A521" s="50"/>
      <c r="B521" s="51"/>
      <c r="C521" s="287" t="s">
        <v>624</v>
      </c>
      <c r="D521" s="349">
        <f>D513+D517</f>
        <v>25926</v>
      </c>
      <c r="E521" s="349"/>
      <c r="F521" s="346">
        <f>D521+E521</f>
        <v>25926</v>
      </c>
    </row>
    <row r="522" spans="1:6" ht="12" customHeight="1" thickBot="1">
      <c r="A522" s="385"/>
      <c r="B522" s="386"/>
      <c r="C522" s="398" t="s">
        <v>625</v>
      </c>
      <c r="D522" s="399">
        <f>D514+D518</f>
        <v>2246</v>
      </c>
      <c r="E522" s="399">
        <f>E514</f>
        <v>18636</v>
      </c>
      <c r="F522" s="629">
        <f>D522+E522</f>
        <v>20882</v>
      </c>
    </row>
    <row r="523" spans="1:6" ht="22.5" customHeight="1" thickTop="1">
      <c r="A523" s="50" t="s">
        <v>554</v>
      </c>
      <c r="B523" s="51"/>
      <c r="C523" s="1350" t="s">
        <v>752</v>
      </c>
      <c r="D523" s="130"/>
      <c r="E523" s="130"/>
      <c r="F523" s="128"/>
    </row>
    <row r="524" spans="1:6" ht="24.75" customHeight="1">
      <c r="A524" s="50"/>
      <c r="B524" s="1346" t="s">
        <v>312</v>
      </c>
      <c r="C524" s="631" t="s">
        <v>752</v>
      </c>
      <c r="D524" s="349"/>
      <c r="E524" s="349"/>
      <c r="F524" s="346"/>
    </row>
    <row r="525" spans="1:6" ht="12" customHeight="1">
      <c r="A525" s="50"/>
      <c r="B525" s="51"/>
      <c r="C525" s="287" t="s">
        <v>623</v>
      </c>
      <c r="D525" s="407">
        <v>0</v>
      </c>
      <c r="E525" s="349"/>
      <c r="F525" s="346">
        <v>0</v>
      </c>
    </row>
    <row r="526" spans="1:6" ht="12" customHeight="1">
      <c r="A526" s="50"/>
      <c r="B526" s="51"/>
      <c r="C526" s="287" t="s">
        <v>624</v>
      </c>
      <c r="D526" s="407">
        <v>30000</v>
      </c>
      <c r="E526" s="407"/>
      <c r="F526" s="346">
        <f>D526</f>
        <v>30000</v>
      </c>
    </row>
    <row r="527" spans="1:6" ht="12" customHeight="1">
      <c r="A527" s="50"/>
      <c r="B527" s="51"/>
      <c r="C527" s="464" t="s">
        <v>625</v>
      </c>
      <c r="D527" s="630">
        <v>30000</v>
      </c>
      <c r="E527" s="630"/>
      <c r="F527" s="128">
        <f>D527</f>
        <v>30000</v>
      </c>
    </row>
    <row r="528" spans="1:6" ht="12" customHeight="1">
      <c r="A528" s="42"/>
      <c r="B528" s="43" t="s">
        <v>314</v>
      </c>
      <c r="C528" s="1460" t="s">
        <v>1261</v>
      </c>
      <c r="D528" s="407"/>
      <c r="E528" s="407"/>
      <c r="F528" s="1459"/>
    </row>
    <row r="529" spans="1:6" ht="12" customHeight="1">
      <c r="A529" s="50"/>
      <c r="B529" s="51"/>
      <c r="C529" s="287" t="s">
        <v>623</v>
      </c>
      <c r="D529" s="407">
        <v>0</v>
      </c>
      <c r="E529" s="407"/>
      <c r="F529" s="346">
        <v>0</v>
      </c>
    </row>
    <row r="530" spans="1:6" ht="12" customHeight="1">
      <c r="A530" s="50"/>
      <c r="B530" s="51"/>
      <c r="C530" s="287" t="s">
        <v>624</v>
      </c>
      <c r="D530" s="407">
        <v>1145</v>
      </c>
      <c r="E530" s="407"/>
      <c r="F530" s="346">
        <f>D530</f>
        <v>1145</v>
      </c>
    </row>
    <row r="531" spans="1:6" ht="12" customHeight="1" thickBot="1">
      <c r="A531" s="385"/>
      <c r="B531" s="386"/>
      <c r="C531" s="398" t="s">
        <v>625</v>
      </c>
      <c r="D531" s="1349">
        <v>1145</v>
      </c>
      <c r="E531" s="1349"/>
      <c r="F531" s="629">
        <f>D531</f>
        <v>1145</v>
      </c>
    </row>
    <row r="532" spans="1:6" ht="25.5" customHeight="1" thickBot="1" thickTop="1">
      <c r="A532" s="47" t="s">
        <v>554</v>
      </c>
      <c r="B532" s="48"/>
      <c r="C532" s="1463" t="s">
        <v>1262</v>
      </c>
      <c r="D532" s="1464"/>
      <c r="E532" s="1464"/>
      <c r="F532" s="133"/>
    </row>
    <row r="533" spans="1:6" ht="12" customHeight="1" thickTop="1">
      <c r="A533" s="50"/>
      <c r="B533" s="51"/>
      <c r="C533" s="299" t="s">
        <v>623</v>
      </c>
      <c r="D533" s="1461"/>
      <c r="E533" s="1461"/>
      <c r="F533" s="1462"/>
    </row>
    <row r="534" spans="1:6" ht="12" customHeight="1">
      <c r="A534" s="50"/>
      <c r="B534" s="51"/>
      <c r="C534" s="287" t="s">
        <v>624</v>
      </c>
      <c r="D534" s="1354">
        <f>D526+D530</f>
        <v>31145</v>
      </c>
      <c r="E534" s="407"/>
      <c r="F534" s="346">
        <f>D534</f>
        <v>31145</v>
      </c>
    </row>
    <row r="535" spans="1:6" ht="12" customHeight="1" thickBot="1">
      <c r="A535" s="385"/>
      <c r="B535" s="386"/>
      <c r="C535" s="398" t="s">
        <v>625</v>
      </c>
      <c r="D535" s="1465">
        <f>D527+D531</f>
        <v>31145</v>
      </c>
      <c r="E535" s="1349"/>
      <c r="F535" s="629">
        <f>D535</f>
        <v>31145</v>
      </c>
    </row>
    <row r="536" spans="1:6" s="49" customFormat="1" ht="12" customHeight="1" thickTop="1">
      <c r="A536" s="50" t="s">
        <v>760</v>
      </c>
      <c r="B536" s="51"/>
      <c r="C536" s="228" t="s">
        <v>761</v>
      </c>
      <c r="D536" s="124"/>
      <c r="E536" s="124"/>
      <c r="F536" s="125"/>
    </row>
    <row r="537" spans="1:6" s="49" customFormat="1" ht="10.5" customHeight="1">
      <c r="A537" s="50"/>
      <c r="B537" s="43" t="s">
        <v>312</v>
      </c>
      <c r="C537" s="347" t="s">
        <v>762</v>
      </c>
      <c r="D537" s="345"/>
      <c r="E537" s="349"/>
      <c r="F537" s="357"/>
    </row>
    <row r="538" spans="1:6" s="49" customFormat="1" ht="10.5" customHeight="1">
      <c r="A538" s="50"/>
      <c r="B538" s="43"/>
      <c r="C538" s="287" t="s">
        <v>623</v>
      </c>
      <c r="D538" s="345">
        <v>243217</v>
      </c>
      <c r="E538" s="349"/>
      <c r="F538" s="357">
        <f>D538+E538</f>
        <v>243217</v>
      </c>
    </row>
    <row r="539" spans="1:6" s="49" customFormat="1" ht="10.5" customHeight="1">
      <c r="A539" s="50"/>
      <c r="B539" s="43"/>
      <c r="C539" s="287" t="s">
        <v>624</v>
      </c>
      <c r="D539" s="345">
        <v>188232</v>
      </c>
      <c r="E539" s="349"/>
      <c r="F539" s="357">
        <f aca="true" t="shared" si="13" ref="F539:F544">D539+E539</f>
        <v>188232</v>
      </c>
    </row>
    <row r="540" spans="1:6" s="49" customFormat="1" ht="10.5" customHeight="1">
      <c r="A540" s="50"/>
      <c r="B540" s="43"/>
      <c r="C540" s="287" t="s">
        <v>625</v>
      </c>
      <c r="D540" s="345">
        <v>31403</v>
      </c>
      <c r="E540" s="349"/>
      <c r="F540" s="357">
        <f t="shared" si="13"/>
        <v>31403</v>
      </c>
    </row>
    <row r="541" spans="1:6" s="49" customFormat="1" ht="10.5" customHeight="1">
      <c r="A541" s="50"/>
      <c r="B541" s="43" t="s">
        <v>314</v>
      </c>
      <c r="C541" s="347" t="s">
        <v>763</v>
      </c>
      <c r="D541" s="345"/>
      <c r="E541" s="349"/>
      <c r="F541" s="357"/>
    </row>
    <row r="542" spans="1:6" s="49" customFormat="1" ht="10.5" customHeight="1">
      <c r="A542" s="50"/>
      <c r="B542" s="43"/>
      <c r="C542" s="287" t="s">
        <v>623</v>
      </c>
      <c r="D542" s="345">
        <v>0</v>
      </c>
      <c r="E542" s="349"/>
      <c r="F542" s="357">
        <f t="shared" si="13"/>
        <v>0</v>
      </c>
    </row>
    <row r="543" spans="1:6" s="49" customFormat="1" ht="10.5" customHeight="1">
      <c r="A543" s="50"/>
      <c r="B543" s="43"/>
      <c r="C543" s="287" t="s">
        <v>624</v>
      </c>
      <c r="D543" s="345">
        <v>73773</v>
      </c>
      <c r="E543" s="349"/>
      <c r="F543" s="357">
        <f t="shared" si="13"/>
        <v>73773</v>
      </c>
    </row>
    <row r="544" spans="1:6" s="49" customFormat="1" ht="10.5" customHeight="1" thickBot="1">
      <c r="A544" s="50"/>
      <c r="B544" s="43"/>
      <c r="C544" s="299" t="s">
        <v>625</v>
      </c>
      <c r="D544" s="114">
        <v>0</v>
      </c>
      <c r="E544" s="130"/>
      <c r="F544" s="128">
        <f t="shared" si="13"/>
        <v>0</v>
      </c>
    </row>
    <row r="545" spans="1:6" s="49" customFormat="1" ht="12" customHeight="1" thickBot="1" thickTop="1">
      <c r="A545" s="47" t="s">
        <v>760</v>
      </c>
      <c r="B545" s="48"/>
      <c r="C545" s="224" t="s">
        <v>764</v>
      </c>
      <c r="D545" s="115"/>
      <c r="E545" s="115"/>
      <c r="F545" s="133"/>
    </row>
    <row r="546" spans="1:6" s="49" customFormat="1" ht="12" customHeight="1" thickTop="1">
      <c r="A546" s="50"/>
      <c r="B546" s="51"/>
      <c r="C546" s="287" t="s">
        <v>623</v>
      </c>
      <c r="D546" s="130">
        <f>D538+D542</f>
        <v>243217</v>
      </c>
      <c r="E546" s="130"/>
      <c r="F546" s="128">
        <f>D546+E546</f>
        <v>243217</v>
      </c>
    </row>
    <row r="547" spans="1:6" s="49" customFormat="1" ht="12" customHeight="1">
      <c r="A547" s="50"/>
      <c r="B547" s="51"/>
      <c r="C547" s="287" t="s">
        <v>624</v>
      </c>
      <c r="D547" s="349">
        <f>D539+D543</f>
        <v>262005</v>
      </c>
      <c r="E547" s="349"/>
      <c r="F547" s="357">
        <f>E547+D547</f>
        <v>262005</v>
      </c>
    </row>
    <row r="548" spans="1:6" s="49" customFormat="1" ht="12" customHeight="1" thickBot="1">
      <c r="A548" s="385"/>
      <c r="B548" s="386"/>
      <c r="C548" s="354" t="s">
        <v>625</v>
      </c>
      <c r="D548" s="351">
        <f>D540+D544</f>
        <v>31403</v>
      </c>
      <c r="E548" s="351"/>
      <c r="F548" s="383">
        <f>E548+D548</f>
        <v>31403</v>
      </c>
    </row>
    <row r="549" spans="1:6" s="49" customFormat="1" ht="10.5" customHeight="1" thickTop="1">
      <c r="A549" s="50" t="s">
        <v>916</v>
      </c>
      <c r="B549" s="51"/>
      <c r="C549" s="225" t="s">
        <v>765</v>
      </c>
      <c r="D549" s="130"/>
      <c r="E549" s="130"/>
      <c r="F549" s="128"/>
    </row>
    <row r="550" spans="1:6" s="49" customFormat="1" ht="10.5" customHeight="1">
      <c r="A550" s="50"/>
      <c r="B550" s="43">
        <v>1</v>
      </c>
      <c r="C550" s="347" t="s">
        <v>766</v>
      </c>
      <c r="D550" s="345"/>
      <c r="E550" s="345"/>
      <c r="F550" s="357"/>
    </row>
    <row r="551" spans="1:6" s="49" customFormat="1" ht="10.5" customHeight="1">
      <c r="A551" s="50"/>
      <c r="B551" s="43"/>
      <c r="C551" s="287" t="s">
        <v>623</v>
      </c>
      <c r="D551" s="345">
        <v>0</v>
      </c>
      <c r="E551" s="345">
        <v>104020</v>
      </c>
      <c r="F551" s="357">
        <f>D551+E551</f>
        <v>104020</v>
      </c>
    </row>
    <row r="552" spans="1:6" s="49" customFormat="1" ht="10.5" customHeight="1">
      <c r="A552" s="50"/>
      <c r="B552" s="43"/>
      <c r="C552" s="287" t="s">
        <v>624</v>
      </c>
      <c r="D552" s="345">
        <v>28209</v>
      </c>
      <c r="E552" s="345">
        <v>155066</v>
      </c>
      <c r="F552" s="357">
        <f>D552+E552</f>
        <v>183275</v>
      </c>
    </row>
    <row r="553" spans="1:6" s="49" customFormat="1" ht="10.5" customHeight="1">
      <c r="A553" s="50"/>
      <c r="B553" s="43"/>
      <c r="C553" s="299" t="s">
        <v>625</v>
      </c>
      <c r="D553" s="114">
        <f>40101-D22</f>
        <v>28209</v>
      </c>
      <c r="E553" s="114">
        <f>53267-E22</f>
        <v>53042</v>
      </c>
      <c r="F553" s="357">
        <f>D553+E553</f>
        <v>81251</v>
      </c>
    </row>
    <row r="554" spans="1:6" s="49" customFormat="1" ht="10.5" customHeight="1">
      <c r="A554" s="50"/>
      <c r="B554" s="43">
        <v>2</v>
      </c>
      <c r="C554" s="347" t="s">
        <v>767</v>
      </c>
      <c r="D554" s="345"/>
      <c r="E554" s="345"/>
      <c r="F554" s="357"/>
    </row>
    <row r="555" spans="1:6" s="49" customFormat="1" ht="10.5" customHeight="1">
      <c r="A555" s="50"/>
      <c r="B555" s="43"/>
      <c r="C555" s="287" t="s">
        <v>623</v>
      </c>
      <c r="D555" s="345"/>
      <c r="E555" s="345">
        <v>860932</v>
      </c>
      <c r="F555" s="357">
        <f>D555+E555</f>
        <v>860932</v>
      </c>
    </row>
    <row r="556" spans="1:6" s="49" customFormat="1" ht="10.5" customHeight="1">
      <c r="A556" s="50"/>
      <c r="B556" s="43"/>
      <c r="C556" s="287" t="s">
        <v>624</v>
      </c>
      <c r="D556" s="345"/>
      <c r="E556" s="345">
        <v>884861</v>
      </c>
      <c r="F556" s="357">
        <f>D556+E556</f>
        <v>884861</v>
      </c>
    </row>
    <row r="557" spans="1:6" s="49" customFormat="1" ht="10.5" customHeight="1" thickBot="1">
      <c r="A557" s="50"/>
      <c r="B557" s="43"/>
      <c r="C557" s="464" t="s">
        <v>625</v>
      </c>
      <c r="D557" s="114"/>
      <c r="E557" s="114">
        <v>0</v>
      </c>
      <c r="F557" s="628">
        <f>D557+E557</f>
        <v>0</v>
      </c>
    </row>
    <row r="558" spans="1:6" s="49" customFormat="1" ht="12" customHeight="1" thickBot="1" thickTop="1">
      <c r="A558" s="47" t="s">
        <v>916</v>
      </c>
      <c r="B558" s="1351"/>
      <c r="C558" s="682" t="s">
        <v>768</v>
      </c>
      <c r="D558" s="1352"/>
      <c r="E558" s="1352"/>
      <c r="F558" s="129"/>
    </row>
    <row r="559" spans="1:6" s="49" customFormat="1" ht="10.5" customHeight="1" thickTop="1">
      <c r="A559" s="50"/>
      <c r="B559" s="52"/>
      <c r="C559" s="299" t="s">
        <v>623</v>
      </c>
      <c r="D559" s="1353">
        <f>D551+D555</f>
        <v>0</v>
      </c>
      <c r="E559" s="1353">
        <f>E551+E555</f>
        <v>964952</v>
      </c>
      <c r="F559" s="1356">
        <f>F551+F555</f>
        <v>964952</v>
      </c>
    </row>
    <row r="560" spans="1:6" s="49" customFormat="1" ht="10.5" customHeight="1">
      <c r="A560" s="50"/>
      <c r="B560" s="52"/>
      <c r="C560" s="287" t="s">
        <v>624</v>
      </c>
      <c r="D560" s="1354">
        <f aca="true" t="shared" si="14" ref="D560:F561">D552+D556</f>
        <v>28209</v>
      </c>
      <c r="E560" s="1354">
        <f>E552+E556</f>
        <v>1039927</v>
      </c>
      <c r="F560" s="683">
        <f t="shared" si="14"/>
        <v>1068136</v>
      </c>
    </row>
    <row r="561" spans="1:6" s="49" customFormat="1" ht="10.5" customHeight="1" thickBot="1">
      <c r="A561" s="385"/>
      <c r="B561" s="1539"/>
      <c r="C561" s="398" t="s">
        <v>625</v>
      </c>
      <c r="D561" s="1465">
        <f t="shared" si="14"/>
        <v>28209</v>
      </c>
      <c r="E561" s="1465">
        <f t="shared" si="14"/>
        <v>53042</v>
      </c>
      <c r="F561" s="1540">
        <f t="shared" si="14"/>
        <v>81251</v>
      </c>
    </row>
    <row r="562" spans="1:6" s="49" customFormat="1" ht="10.5" customHeight="1" thickBot="1" thickTop="1">
      <c r="A562" s="1985" t="s">
        <v>769</v>
      </c>
      <c r="B562" s="1986"/>
      <c r="C562" s="1987"/>
      <c r="D562" s="1352"/>
      <c r="E562" s="1352"/>
      <c r="F562" s="1355"/>
    </row>
    <row r="563" spans="1:6" s="49" customFormat="1" ht="10.5" customHeight="1" thickTop="1">
      <c r="A563" s="50"/>
      <c r="B563" s="52"/>
      <c r="C563" s="299" t="s">
        <v>623</v>
      </c>
      <c r="D563" s="114">
        <f>D546+D559</f>
        <v>243217</v>
      </c>
      <c r="E563" s="114">
        <f>E546+E559</f>
        <v>964952</v>
      </c>
      <c r="F563" s="1356">
        <f>F546+F559</f>
        <v>1208169</v>
      </c>
    </row>
    <row r="564" spans="1:6" s="49" customFormat="1" ht="10.5" customHeight="1">
      <c r="A564" s="50"/>
      <c r="B564" s="52"/>
      <c r="C564" s="287" t="s">
        <v>624</v>
      </c>
      <c r="D564" s="345">
        <f aca="true" t="shared" si="15" ref="D564:F565">D547+D560</f>
        <v>290214</v>
      </c>
      <c r="E564" s="345">
        <f t="shared" si="15"/>
        <v>1039927</v>
      </c>
      <c r="F564" s="683">
        <f>F547+F560</f>
        <v>1330141</v>
      </c>
    </row>
    <row r="565" spans="1:6" s="49" customFormat="1" ht="10.5" customHeight="1" thickBot="1">
      <c r="A565" s="50"/>
      <c r="B565" s="52"/>
      <c r="C565" s="464" t="s">
        <v>625</v>
      </c>
      <c r="D565" s="114">
        <f t="shared" si="15"/>
        <v>59612</v>
      </c>
      <c r="E565" s="114">
        <f t="shared" si="15"/>
        <v>53042</v>
      </c>
      <c r="F565" s="1356">
        <f t="shared" si="15"/>
        <v>112654</v>
      </c>
    </row>
    <row r="566" spans="1:6" s="49" customFormat="1" ht="21" customHeight="1" thickBot="1" thickTop="1">
      <c r="A566" s="1989" t="s">
        <v>770</v>
      </c>
      <c r="B566" s="1990"/>
      <c r="C566" s="1991"/>
      <c r="D566" s="1352"/>
      <c r="E566" s="1352"/>
      <c r="F566" s="1358"/>
    </row>
    <row r="567" spans="1:6" s="49" customFormat="1" ht="10.5" customHeight="1" thickTop="1">
      <c r="A567" s="50"/>
      <c r="B567" s="52"/>
      <c r="C567" s="299" t="s">
        <v>623</v>
      </c>
      <c r="D567" s="1357">
        <f>D105+D144+D167+D317+D363+D428+D474+D507+D520+D525</f>
        <v>1583176</v>
      </c>
      <c r="E567" s="1357">
        <f>E105+E144+E167+E317+E363+E428+E474+E507+E520+E525</f>
        <v>618749</v>
      </c>
      <c r="F567" s="1359">
        <f>F105+F144+F167+F317+F363+F428+F474+F507+F520+F525</f>
        <v>2201925</v>
      </c>
    </row>
    <row r="568" spans="1:6" s="49" customFormat="1" ht="10.5" customHeight="1">
      <c r="A568" s="50"/>
      <c r="B568" s="52"/>
      <c r="C568" s="287" t="s">
        <v>624</v>
      </c>
      <c r="D568" s="345">
        <f>D106+D145+D168+D318+D364+D429+D475+D508+D521+D534</f>
        <v>1710232</v>
      </c>
      <c r="E568" s="345">
        <f>E106+E145+E168+E318+E364+E429+E475+E508+E521+E526</f>
        <v>848220</v>
      </c>
      <c r="F568" s="683">
        <f>F106+F145+F168+F318+F364+F429+F475+F508+F521+F534</f>
        <v>2558452</v>
      </c>
    </row>
    <row r="569" spans="1:6" s="49" customFormat="1" ht="10.5" customHeight="1" thickBot="1">
      <c r="A569" s="50"/>
      <c r="B569" s="52"/>
      <c r="C569" s="464" t="s">
        <v>625</v>
      </c>
      <c r="D569" s="405">
        <f>D107+D146+D169+D319+D365+D430+D476+D509+D522+D535</f>
        <v>1747703</v>
      </c>
      <c r="E569" s="405">
        <f>E107+E146+E169+E319+E365+E430+E476+E509+E522+E527</f>
        <v>234310</v>
      </c>
      <c r="F569" s="1540">
        <f>F107+F146+F169+F319+F365+F430+F476+F509+F522+F535</f>
        <v>1982013</v>
      </c>
    </row>
    <row r="570" spans="1:6" ht="12" customHeight="1" thickBot="1" thickTop="1">
      <c r="A570" s="1985" t="s">
        <v>771</v>
      </c>
      <c r="B570" s="1986"/>
      <c r="C570" s="1987"/>
      <c r="D570" s="115"/>
      <c r="E570" s="115"/>
      <c r="F570" s="129"/>
    </row>
    <row r="571" spans="1:6" ht="12" customHeight="1" thickTop="1">
      <c r="A571" s="50"/>
      <c r="B571" s="53"/>
      <c r="C571" s="299" t="s">
        <v>623</v>
      </c>
      <c r="D571" s="130">
        <f>D563+D567</f>
        <v>1826393</v>
      </c>
      <c r="E571" s="130">
        <f>E563+E567</f>
        <v>1583701</v>
      </c>
      <c r="F571" s="410">
        <f>F563+F567</f>
        <v>3410094</v>
      </c>
    </row>
    <row r="572" spans="1:6" ht="12" customHeight="1">
      <c r="A572" s="50"/>
      <c r="B572" s="51"/>
      <c r="C572" s="287" t="s">
        <v>624</v>
      </c>
      <c r="D572" s="349">
        <f aca="true" t="shared" si="16" ref="D572:F573">D564+D568</f>
        <v>2000446</v>
      </c>
      <c r="E572" s="349">
        <f t="shared" si="16"/>
        <v>1888147</v>
      </c>
      <c r="F572" s="357">
        <f>F564+F568</f>
        <v>3888593</v>
      </c>
    </row>
    <row r="573" spans="1:6" ht="12" customHeight="1" thickBot="1">
      <c r="A573" s="408"/>
      <c r="B573" s="409"/>
      <c r="C573" s="299" t="s">
        <v>625</v>
      </c>
      <c r="D573" s="130">
        <f t="shared" si="16"/>
        <v>1807315</v>
      </c>
      <c r="E573" s="130">
        <f t="shared" si="16"/>
        <v>287352</v>
      </c>
      <c r="F573" s="410">
        <f t="shared" si="16"/>
        <v>2094667</v>
      </c>
    </row>
    <row r="574" spans="1:6" ht="12" customHeight="1" thickBot="1">
      <c r="A574" s="1970" t="s">
        <v>772</v>
      </c>
      <c r="B574" s="1971"/>
      <c r="C574" s="1972"/>
      <c r="D574" s="597"/>
      <c r="E574" s="597"/>
      <c r="F574" s="1360"/>
    </row>
    <row r="575" spans="1:6" ht="12" customHeight="1">
      <c r="A575" s="411"/>
      <c r="B575" s="412"/>
      <c r="C575" s="287" t="s">
        <v>623</v>
      </c>
      <c r="D575" s="368">
        <f aca="true" t="shared" si="17" ref="D575:E577">D571+D28</f>
        <v>1898519</v>
      </c>
      <c r="E575" s="368">
        <f t="shared" si="17"/>
        <v>1583701</v>
      </c>
      <c r="F575" s="1361">
        <f>E575+D575</f>
        <v>3482220</v>
      </c>
    </row>
    <row r="576" spans="1:6" ht="12" customHeight="1">
      <c r="A576" s="50"/>
      <c r="B576" s="51"/>
      <c r="C576" s="287" t="s">
        <v>624</v>
      </c>
      <c r="D576" s="349">
        <f t="shared" si="17"/>
        <v>2509808</v>
      </c>
      <c r="E576" s="349">
        <f t="shared" si="17"/>
        <v>1888772</v>
      </c>
      <c r="F576" s="357">
        <f>E576+D576</f>
        <v>4398580</v>
      </c>
    </row>
    <row r="577" spans="1:6" ht="12" customHeight="1" thickBot="1">
      <c r="A577" s="408"/>
      <c r="B577" s="409"/>
      <c r="C577" s="303" t="s">
        <v>625</v>
      </c>
      <c r="D577" s="598">
        <f t="shared" si="17"/>
        <v>2319545</v>
      </c>
      <c r="E577" s="598">
        <f t="shared" si="17"/>
        <v>287977</v>
      </c>
      <c r="F577" s="599">
        <f>E577+D577</f>
        <v>2607522</v>
      </c>
    </row>
    <row r="578" spans="1:6" ht="15" customHeight="1" thickBot="1">
      <c r="A578" s="1973" t="s">
        <v>427</v>
      </c>
      <c r="B578" s="1974"/>
      <c r="C578" s="1974"/>
      <c r="D578" s="1974"/>
      <c r="E578" s="1974"/>
      <c r="F578" s="1975"/>
    </row>
    <row r="579" spans="1:6" ht="9.75" customHeight="1">
      <c r="A579" s="50"/>
      <c r="B579" s="53"/>
      <c r="C579" s="229"/>
      <c r="D579" s="126"/>
      <c r="E579" s="126"/>
      <c r="F579" s="125"/>
    </row>
    <row r="580" spans="1:6" ht="12" customHeight="1">
      <c r="A580" s="50" t="s">
        <v>364</v>
      </c>
      <c r="B580" s="51"/>
      <c r="C580" s="225" t="s">
        <v>372</v>
      </c>
      <c r="D580" s="124"/>
      <c r="E580" s="124"/>
      <c r="F580" s="125"/>
    </row>
    <row r="581" spans="1:6" ht="9.75" customHeight="1">
      <c r="A581" s="42"/>
      <c r="B581" s="43"/>
      <c r="C581" s="222"/>
      <c r="D581" s="121"/>
      <c r="E581" s="121"/>
      <c r="F581" s="122"/>
    </row>
    <row r="582" spans="1:6" ht="12" customHeight="1">
      <c r="A582" s="42"/>
      <c r="B582" s="43" t="s">
        <v>312</v>
      </c>
      <c r="C582" s="342" t="s">
        <v>353</v>
      </c>
      <c r="D582" s="343" t="s">
        <v>465</v>
      </c>
      <c r="E582" s="343"/>
      <c r="F582" s="344"/>
    </row>
    <row r="583" spans="1:6" ht="12" customHeight="1">
      <c r="A583" s="42"/>
      <c r="B583" s="43"/>
      <c r="C583" s="287" t="s">
        <v>623</v>
      </c>
      <c r="D583" s="345">
        <f>5!D674</f>
        <v>582922</v>
      </c>
      <c r="E583" s="345"/>
      <c r="F583" s="346">
        <f>D583</f>
        <v>582922</v>
      </c>
    </row>
    <row r="584" spans="1:6" ht="12" customHeight="1">
      <c r="A584" s="42"/>
      <c r="B584" s="43"/>
      <c r="C584" s="287" t="s">
        <v>624</v>
      </c>
      <c r="D584" s="345">
        <f>5!D675</f>
        <v>618776</v>
      </c>
      <c r="E584" s="345"/>
      <c r="F584" s="346">
        <f aca="true" t="shared" si="18" ref="F584:F605">D584</f>
        <v>618776</v>
      </c>
    </row>
    <row r="585" spans="1:6" ht="12" customHeight="1">
      <c r="A585" s="42"/>
      <c r="B585" s="43"/>
      <c r="C585" s="287" t="s">
        <v>625</v>
      </c>
      <c r="D585" s="345">
        <f>5!D676</f>
        <v>584178</v>
      </c>
      <c r="E585" s="345"/>
      <c r="F585" s="346">
        <f t="shared" si="18"/>
        <v>584178</v>
      </c>
    </row>
    <row r="586" spans="1:6" ht="12" customHeight="1">
      <c r="A586" s="42"/>
      <c r="B586" s="43" t="s">
        <v>314</v>
      </c>
      <c r="C586" s="347" t="s">
        <v>354</v>
      </c>
      <c r="D586" s="345"/>
      <c r="E586" s="345"/>
      <c r="F586" s="346"/>
    </row>
    <row r="587" spans="1:6" ht="12" customHeight="1">
      <c r="A587" s="42"/>
      <c r="B587" s="43"/>
      <c r="C587" s="287" t="s">
        <v>623</v>
      </c>
      <c r="D587" s="345">
        <f>5!E674</f>
        <v>145828</v>
      </c>
      <c r="E587" s="345"/>
      <c r="F587" s="346">
        <f t="shared" si="18"/>
        <v>145828</v>
      </c>
    </row>
    <row r="588" spans="1:6" ht="12" customHeight="1">
      <c r="A588" s="42"/>
      <c r="B588" s="43"/>
      <c r="C588" s="287" t="s">
        <v>624</v>
      </c>
      <c r="D588" s="345">
        <f>5!E675</f>
        <v>159229</v>
      </c>
      <c r="E588" s="345"/>
      <c r="F588" s="346">
        <f t="shared" si="18"/>
        <v>159229</v>
      </c>
    </row>
    <row r="589" spans="1:6" ht="12" customHeight="1">
      <c r="A589" s="42"/>
      <c r="B589" s="43"/>
      <c r="C589" s="287" t="s">
        <v>625</v>
      </c>
      <c r="D589" s="345">
        <f>5!E676</f>
        <v>147881</v>
      </c>
      <c r="E589" s="345"/>
      <c r="F589" s="346">
        <f t="shared" si="18"/>
        <v>147881</v>
      </c>
    </row>
    <row r="590" spans="1:6" s="49" customFormat="1" ht="12" customHeight="1">
      <c r="A590" s="42"/>
      <c r="B590" s="43" t="s">
        <v>316</v>
      </c>
      <c r="C590" s="347" t="s">
        <v>1296</v>
      </c>
      <c r="D590" s="345"/>
      <c r="E590" s="345"/>
      <c r="F590" s="346"/>
    </row>
    <row r="591" spans="1:6" s="49" customFormat="1" ht="12" customHeight="1">
      <c r="A591" s="42"/>
      <c r="B591" s="43"/>
      <c r="C591" s="287" t="s">
        <v>623</v>
      </c>
      <c r="D591" s="345">
        <f>5!F674</f>
        <v>494302</v>
      </c>
      <c r="E591" s="345"/>
      <c r="F591" s="346">
        <f t="shared" si="18"/>
        <v>494302</v>
      </c>
    </row>
    <row r="592" spans="1:6" s="49" customFormat="1" ht="12" customHeight="1">
      <c r="A592" s="42"/>
      <c r="B592" s="43"/>
      <c r="C592" s="287" t="s">
        <v>624</v>
      </c>
      <c r="D592" s="345">
        <f>5!F675-86358</f>
        <v>549888</v>
      </c>
      <c r="E592" s="345"/>
      <c r="F592" s="346">
        <f t="shared" si="18"/>
        <v>549888</v>
      </c>
    </row>
    <row r="593" spans="1:6" s="49" customFormat="1" ht="12" customHeight="1">
      <c r="A593" s="42"/>
      <c r="B593" s="43"/>
      <c r="C593" s="287" t="s">
        <v>625</v>
      </c>
      <c r="D593" s="345">
        <f>5!F676-5!F664</f>
        <v>459569</v>
      </c>
      <c r="E593" s="345"/>
      <c r="F593" s="346">
        <f t="shared" si="18"/>
        <v>459569</v>
      </c>
    </row>
    <row r="594" spans="1:6" ht="12" customHeight="1">
      <c r="A594" s="42"/>
      <c r="B594" s="43" t="s">
        <v>318</v>
      </c>
      <c r="C594" s="347" t="s">
        <v>373</v>
      </c>
      <c r="D594" s="345"/>
      <c r="E594" s="345"/>
      <c r="F594" s="346"/>
    </row>
    <row r="595" spans="1:6" ht="12" customHeight="1">
      <c r="A595" s="42"/>
      <c r="B595" s="43"/>
      <c r="C595" s="287" t="s">
        <v>623</v>
      </c>
      <c r="D595" s="345">
        <v>0</v>
      </c>
      <c r="E595" s="345"/>
      <c r="F595" s="346">
        <v>0</v>
      </c>
    </row>
    <row r="596" spans="1:6" ht="12" customHeight="1">
      <c r="A596" s="42"/>
      <c r="B596" s="43"/>
      <c r="C596" s="287" t="s">
        <v>624</v>
      </c>
      <c r="D596" s="345">
        <v>0</v>
      </c>
      <c r="E596" s="345"/>
      <c r="F596" s="346">
        <f t="shared" si="18"/>
        <v>0</v>
      </c>
    </row>
    <row r="597" spans="1:6" ht="12" customHeight="1">
      <c r="A597" s="42"/>
      <c r="B597" s="43"/>
      <c r="C597" s="287" t="s">
        <v>625</v>
      </c>
      <c r="D597" s="345">
        <v>0</v>
      </c>
      <c r="E597" s="345"/>
      <c r="F597" s="346">
        <f t="shared" si="18"/>
        <v>0</v>
      </c>
    </row>
    <row r="598" spans="1:6" s="49" customFormat="1" ht="23.25" customHeight="1">
      <c r="A598" s="42"/>
      <c r="B598" s="43" t="s">
        <v>320</v>
      </c>
      <c r="C598" s="1301" t="s">
        <v>399</v>
      </c>
      <c r="D598" s="345"/>
      <c r="E598" s="345"/>
      <c r="F598" s="346"/>
    </row>
    <row r="599" spans="1:6" s="49" customFormat="1" ht="12" customHeight="1">
      <c r="A599" s="42"/>
      <c r="B599" s="43"/>
      <c r="C599" s="287" t="s">
        <v>623</v>
      </c>
      <c r="D599" s="345">
        <f>5!H674</f>
        <v>200911</v>
      </c>
      <c r="E599" s="345"/>
      <c r="F599" s="346">
        <f t="shared" si="18"/>
        <v>200911</v>
      </c>
    </row>
    <row r="600" spans="1:6" s="49" customFormat="1" ht="12" customHeight="1">
      <c r="A600" s="42"/>
      <c r="B600" s="43"/>
      <c r="C600" s="287" t="s">
        <v>624</v>
      </c>
      <c r="D600" s="345">
        <f>5!H675</f>
        <v>207451</v>
      </c>
      <c r="E600" s="345"/>
      <c r="F600" s="346">
        <f t="shared" si="18"/>
        <v>207451</v>
      </c>
    </row>
    <row r="601" spans="1:6" s="49" customFormat="1" ht="12" customHeight="1">
      <c r="A601" s="42"/>
      <c r="B601" s="43"/>
      <c r="C601" s="287" t="s">
        <v>625</v>
      </c>
      <c r="D601" s="345">
        <f>5!H676</f>
        <v>155340</v>
      </c>
      <c r="E601" s="345"/>
      <c r="F601" s="346">
        <f t="shared" si="18"/>
        <v>155340</v>
      </c>
    </row>
    <row r="602" spans="1:6" ht="22.5" customHeight="1">
      <c r="A602" s="42"/>
      <c r="B602" s="43" t="s">
        <v>322</v>
      </c>
      <c r="C602" s="1302" t="s">
        <v>402</v>
      </c>
      <c r="D602" s="345"/>
      <c r="E602" s="345"/>
      <c r="F602" s="346"/>
    </row>
    <row r="603" spans="1:6" ht="12" customHeight="1">
      <c r="A603" s="42"/>
      <c r="B603" s="43"/>
      <c r="C603" s="287" t="s">
        <v>623</v>
      </c>
      <c r="D603" s="345">
        <f>5!I674</f>
        <v>452109</v>
      </c>
      <c r="E603" s="345"/>
      <c r="F603" s="346">
        <f t="shared" si="18"/>
        <v>452109</v>
      </c>
    </row>
    <row r="604" spans="1:6" ht="12" customHeight="1">
      <c r="A604" s="42"/>
      <c r="B604" s="43"/>
      <c r="C604" s="287" t="s">
        <v>624</v>
      </c>
      <c r="D604" s="345">
        <f>5!I675</f>
        <v>872439</v>
      </c>
      <c r="E604" s="345"/>
      <c r="F604" s="346">
        <f t="shared" si="18"/>
        <v>872439</v>
      </c>
    </row>
    <row r="605" spans="1:6" ht="12" customHeight="1">
      <c r="A605" s="42"/>
      <c r="B605" s="43"/>
      <c r="C605" s="287" t="s">
        <v>625</v>
      </c>
      <c r="D605" s="345">
        <f>5!I676</f>
        <v>863941</v>
      </c>
      <c r="E605" s="345"/>
      <c r="F605" s="346">
        <f t="shared" si="18"/>
        <v>863941</v>
      </c>
    </row>
    <row r="606" spans="1:6" ht="12" customHeight="1">
      <c r="A606" s="50"/>
      <c r="B606" s="51"/>
      <c r="C606" s="241" t="s">
        <v>629</v>
      </c>
      <c r="D606" s="130"/>
      <c r="E606" s="130"/>
      <c r="F606" s="128"/>
    </row>
    <row r="607" spans="1:6" ht="12" customHeight="1">
      <c r="A607" s="50"/>
      <c r="B607" s="51"/>
      <c r="C607" s="320" t="s">
        <v>623</v>
      </c>
      <c r="D607" s="349">
        <f>D583+D587+D591+D595+D599+D603</f>
        <v>1876072</v>
      </c>
      <c r="E607" s="349"/>
      <c r="F607" s="346">
        <f>D607+E607</f>
        <v>1876072</v>
      </c>
    </row>
    <row r="608" spans="1:6" ht="12" customHeight="1">
      <c r="A608" s="50"/>
      <c r="B608" s="51"/>
      <c r="C608" s="320" t="s">
        <v>624</v>
      </c>
      <c r="D608" s="349">
        <f>D584+D588+D592+D596+D600+D604</f>
        <v>2407783</v>
      </c>
      <c r="E608" s="349"/>
      <c r="F608" s="346">
        <f>D608+E608</f>
        <v>2407783</v>
      </c>
    </row>
    <row r="609" spans="1:6" ht="9.75" customHeight="1" thickBot="1">
      <c r="A609" s="385"/>
      <c r="B609" s="386"/>
      <c r="C609" s="350" t="s">
        <v>625</v>
      </c>
      <c r="D609" s="351">
        <f>D585+D589+D593+D597+D601+D605</f>
        <v>2210909</v>
      </c>
      <c r="E609" s="351"/>
      <c r="F609" s="352">
        <f>D609+E609</f>
        <v>2210909</v>
      </c>
    </row>
    <row r="610" spans="1:6" ht="12" customHeight="1" thickTop="1">
      <c r="A610" s="50" t="s">
        <v>366</v>
      </c>
      <c r="B610" s="51"/>
      <c r="C610" s="225" t="s">
        <v>375</v>
      </c>
      <c r="D610" s="130"/>
      <c r="E610" s="130"/>
      <c r="F610" s="128"/>
    </row>
    <row r="611" spans="1:6" ht="6.75" customHeight="1">
      <c r="A611" s="42"/>
      <c r="B611" s="43"/>
      <c r="C611" s="222"/>
      <c r="D611" s="114"/>
      <c r="E611" s="114"/>
      <c r="F611" s="134"/>
    </row>
    <row r="612" spans="1:6" s="49" customFormat="1" ht="12" customHeight="1">
      <c r="A612" s="42"/>
      <c r="B612" s="43" t="s">
        <v>312</v>
      </c>
      <c r="C612" s="347" t="s">
        <v>428</v>
      </c>
      <c r="D612" s="345"/>
      <c r="E612" s="345"/>
      <c r="F612" s="357"/>
    </row>
    <row r="613" spans="1:6" s="49" customFormat="1" ht="12" customHeight="1">
      <c r="A613" s="42"/>
      <c r="B613" s="43"/>
      <c r="C613" s="287" t="s">
        <v>623</v>
      </c>
      <c r="D613" s="345"/>
      <c r="E613" s="345">
        <f>6!D8</f>
        <v>873012</v>
      </c>
      <c r="F613" s="346">
        <f>E613</f>
        <v>873012</v>
      </c>
    </row>
    <row r="614" spans="1:6" s="49" customFormat="1" ht="12" customHeight="1">
      <c r="A614" s="42"/>
      <c r="B614" s="43"/>
      <c r="C614" s="287" t="s">
        <v>624</v>
      </c>
      <c r="D614" s="345"/>
      <c r="E614" s="345">
        <f>6!E8</f>
        <v>1345622</v>
      </c>
      <c r="F614" s="346">
        <f aca="true" t="shared" si="19" ref="F614:F626">E614</f>
        <v>1345622</v>
      </c>
    </row>
    <row r="615" spans="1:6" s="49" customFormat="1" ht="12" customHeight="1">
      <c r="A615" s="42"/>
      <c r="B615" s="43"/>
      <c r="C615" s="287" t="s">
        <v>625</v>
      </c>
      <c r="D615" s="345"/>
      <c r="E615" s="345">
        <f>6!F8</f>
        <v>161532</v>
      </c>
      <c r="F615" s="346">
        <f t="shared" si="19"/>
        <v>161532</v>
      </c>
    </row>
    <row r="616" spans="1:6" ht="12" customHeight="1">
      <c r="A616" s="42"/>
      <c r="B616" s="43" t="s">
        <v>314</v>
      </c>
      <c r="C616" s="347" t="s">
        <v>429</v>
      </c>
      <c r="D616" s="345"/>
      <c r="E616" s="345"/>
      <c r="F616" s="346"/>
    </row>
    <row r="617" spans="1:6" ht="12" customHeight="1">
      <c r="A617" s="42"/>
      <c r="B617" s="43"/>
      <c r="C617" s="287" t="s">
        <v>623</v>
      </c>
      <c r="D617" s="345"/>
      <c r="E617" s="345">
        <f>6!D46</f>
        <v>24</v>
      </c>
      <c r="F617" s="346">
        <f t="shared" si="19"/>
        <v>24</v>
      </c>
    </row>
    <row r="618" spans="1:6" ht="12" customHeight="1">
      <c r="A618" s="42"/>
      <c r="B618" s="43"/>
      <c r="C618" s="287" t="s">
        <v>624</v>
      </c>
      <c r="D618" s="345"/>
      <c r="E618" s="345">
        <f>6!E46</f>
        <v>74</v>
      </c>
      <c r="F618" s="346">
        <f t="shared" si="19"/>
        <v>74</v>
      </c>
    </row>
    <row r="619" spans="1:6" ht="12" customHeight="1">
      <c r="A619" s="42"/>
      <c r="B619" s="43"/>
      <c r="C619" s="287" t="s">
        <v>625</v>
      </c>
      <c r="D619" s="345"/>
      <c r="E619" s="345">
        <f>6!F46</f>
        <v>24</v>
      </c>
      <c r="F619" s="346">
        <f t="shared" si="19"/>
        <v>24</v>
      </c>
    </row>
    <row r="620" spans="1:6" s="49" customFormat="1" ht="12" customHeight="1">
      <c r="A620" s="42"/>
      <c r="B620" s="43" t="s">
        <v>316</v>
      </c>
      <c r="C620" s="347" t="s">
        <v>430</v>
      </c>
      <c r="D620" s="345"/>
      <c r="E620" s="345"/>
      <c r="F620" s="346"/>
    </row>
    <row r="621" spans="1:6" s="49" customFormat="1" ht="12" customHeight="1">
      <c r="A621" s="42"/>
      <c r="B621" s="43"/>
      <c r="C621" s="287" t="s">
        <v>623</v>
      </c>
      <c r="D621" s="345"/>
      <c r="E621" s="345">
        <f>6!D53</f>
        <v>398864</v>
      </c>
      <c r="F621" s="346">
        <f t="shared" si="19"/>
        <v>398864</v>
      </c>
    </row>
    <row r="622" spans="1:6" s="49" customFormat="1" ht="12" customHeight="1">
      <c r="A622" s="42"/>
      <c r="B622" s="43"/>
      <c r="C622" s="287" t="s">
        <v>624</v>
      </c>
      <c r="D622" s="345"/>
      <c r="E622" s="345">
        <f>6!E53</f>
        <v>203231</v>
      </c>
      <c r="F622" s="346">
        <f t="shared" si="19"/>
        <v>203231</v>
      </c>
    </row>
    <row r="623" spans="1:6" s="49" customFormat="1" ht="12" customHeight="1">
      <c r="A623" s="42"/>
      <c r="B623" s="43"/>
      <c r="C623" s="287" t="s">
        <v>625</v>
      </c>
      <c r="D623" s="345"/>
      <c r="E623" s="345">
        <f>6!F53</f>
        <v>71937</v>
      </c>
      <c r="F623" s="346">
        <f t="shared" si="19"/>
        <v>71937</v>
      </c>
    </row>
    <row r="624" spans="1:6" s="49" customFormat="1" ht="12" customHeight="1">
      <c r="A624" s="42"/>
      <c r="B624" s="43" t="s">
        <v>318</v>
      </c>
      <c r="C624" s="347" t="s">
        <v>1288</v>
      </c>
      <c r="D624" s="345"/>
      <c r="E624" s="345"/>
      <c r="F624" s="346"/>
    </row>
    <row r="625" spans="1:6" s="49" customFormat="1" ht="12" customHeight="1">
      <c r="A625" s="42"/>
      <c r="B625" s="43"/>
      <c r="C625" s="287" t="s">
        <v>623</v>
      </c>
      <c r="D625" s="345"/>
      <c r="E625" s="345">
        <f>6!D70</f>
        <v>201</v>
      </c>
      <c r="F625" s="346">
        <f t="shared" si="19"/>
        <v>201</v>
      </c>
    </row>
    <row r="626" spans="1:6" s="49" customFormat="1" ht="12" customHeight="1">
      <c r="A626" s="42"/>
      <c r="B626" s="43"/>
      <c r="C626" s="287" t="s">
        <v>624</v>
      </c>
      <c r="D626" s="345"/>
      <c r="E626" s="345">
        <f>6!E70</f>
        <v>601</v>
      </c>
      <c r="F626" s="346">
        <f t="shared" si="19"/>
        <v>601</v>
      </c>
    </row>
    <row r="627" spans="1:6" s="49" customFormat="1" ht="12" customHeight="1" thickBot="1">
      <c r="A627" s="42"/>
      <c r="B627" s="43"/>
      <c r="C627" s="299" t="s">
        <v>625</v>
      </c>
      <c r="D627" s="114"/>
      <c r="E627" s="114">
        <f>6!F70</f>
        <v>200</v>
      </c>
      <c r="F627" s="128">
        <f>E627</f>
        <v>200</v>
      </c>
    </row>
    <row r="628" spans="1:6" ht="12" customHeight="1" thickBot="1" thickTop="1">
      <c r="A628" s="47"/>
      <c r="B628" s="48"/>
      <c r="C628" s="224" t="s">
        <v>361</v>
      </c>
      <c r="D628" s="115"/>
      <c r="E628" s="115"/>
      <c r="F628" s="133"/>
    </row>
    <row r="629" spans="1:6" ht="12" customHeight="1" thickTop="1">
      <c r="A629" s="359"/>
      <c r="B629" s="384"/>
      <c r="C629" s="353" t="s">
        <v>623</v>
      </c>
      <c r="D629" s="355"/>
      <c r="E629" s="358">
        <f>E613+E617+E621+E625</f>
        <v>1272101</v>
      </c>
      <c r="F629" s="356">
        <f>E629</f>
        <v>1272101</v>
      </c>
    </row>
    <row r="630" spans="1:6" ht="12" customHeight="1">
      <c r="A630" s="50"/>
      <c r="B630" s="51"/>
      <c r="C630" s="287" t="s">
        <v>624</v>
      </c>
      <c r="D630" s="349"/>
      <c r="E630" s="349">
        <f>E614+E618+E622+E626</f>
        <v>1549528</v>
      </c>
      <c r="F630" s="346">
        <f>E630</f>
        <v>1549528</v>
      </c>
    </row>
    <row r="631" spans="1:6" ht="12" customHeight="1" thickBot="1">
      <c r="A631" s="385"/>
      <c r="B631" s="386"/>
      <c r="C631" s="354" t="s">
        <v>625</v>
      </c>
      <c r="D631" s="351"/>
      <c r="E631" s="351">
        <f>E615+E619+E623+E627</f>
        <v>233693</v>
      </c>
      <c r="F631" s="352">
        <f>E631</f>
        <v>233693</v>
      </c>
    </row>
    <row r="632" spans="1:6" ht="12" customHeight="1" thickTop="1">
      <c r="A632" s="50" t="s">
        <v>378</v>
      </c>
      <c r="B632" s="51"/>
      <c r="C632" s="225" t="s">
        <v>1294</v>
      </c>
      <c r="D632" s="130"/>
      <c r="E632" s="130"/>
      <c r="F632" s="128"/>
    </row>
    <row r="633" spans="1:6" ht="12" customHeight="1">
      <c r="A633" s="50"/>
      <c r="B633" s="51"/>
      <c r="C633" s="225"/>
      <c r="D633" s="130"/>
      <c r="E633" s="130"/>
      <c r="F633" s="128"/>
    </row>
    <row r="634" spans="1:6" ht="12" customHeight="1">
      <c r="A634" s="50"/>
      <c r="B634" s="97" t="s">
        <v>312</v>
      </c>
      <c r="C634" s="347" t="s">
        <v>1298</v>
      </c>
      <c r="D634" s="362"/>
      <c r="E634" s="363"/>
      <c r="F634" s="346"/>
    </row>
    <row r="635" spans="1:6" ht="12" customHeight="1">
      <c r="A635" s="50"/>
      <c r="B635" s="97"/>
      <c r="C635" s="287" t="s">
        <v>623</v>
      </c>
      <c r="D635" s="362">
        <v>0</v>
      </c>
      <c r="E635" s="363">
        <f>6!D77</f>
        <v>10622</v>
      </c>
      <c r="F635" s="346">
        <f>D635</f>
        <v>0</v>
      </c>
    </row>
    <row r="636" spans="1:6" ht="12" customHeight="1">
      <c r="A636" s="50"/>
      <c r="B636" s="97"/>
      <c r="C636" s="287" t="s">
        <v>624</v>
      </c>
      <c r="D636" s="362">
        <v>0</v>
      </c>
      <c r="E636" s="363">
        <f>6!E77</f>
        <v>38266</v>
      </c>
      <c r="F636" s="346">
        <f>D636</f>
        <v>0</v>
      </c>
    </row>
    <row r="637" spans="1:6" ht="12" customHeight="1">
      <c r="A637" s="50"/>
      <c r="B637" s="97"/>
      <c r="C637" s="287" t="s">
        <v>625</v>
      </c>
      <c r="D637" s="362">
        <v>0</v>
      </c>
      <c r="E637" s="363">
        <f>6!F77</f>
        <v>8952</v>
      </c>
      <c r="F637" s="346">
        <f>D637</f>
        <v>0</v>
      </c>
    </row>
    <row r="638" spans="1:6" ht="12" customHeight="1">
      <c r="A638" s="50"/>
      <c r="B638" s="97" t="s">
        <v>314</v>
      </c>
      <c r="C638" s="347" t="s">
        <v>1295</v>
      </c>
      <c r="D638" s="362"/>
      <c r="E638" s="363"/>
      <c r="F638" s="346"/>
    </row>
    <row r="639" spans="1:6" ht="12.75" customHeight="1">
      <c r="A639" s="50"/>
      <c r="B639" s="97"/>
      <c r="C639" s="287" t="s">
        <v>623</v>
      </c>
      <c r="D639" s="362">
        <v>0</v>
      </c>
      <c r="E639" s="363">
        <v>0</v>
      </c>
      <c r="F639" s="346">
        <f>D639</f>
        <v>0</v>
      </c>
    </row>
    <row r="640" spans="1:6" ht="12.75" customHeight="1">
      <c r="A640" s="50"/>
      <c r="B640" s="97"/>
      <c r="C640" s="287" t="s">
        <v>624</v>
      </c>
      <c r="D640" s="362">
        <v>0</v>
      </c>
      <c r="E640" s="363">
        <v>0</v>
      </c>
      <c r="F640" s="346">
        <f>D640</f>
        <v>0</v>
      </c>
    </row>
    <row r="641" spans="1:6" ht="11.25" customHeight="1" thickBot="1">
      <c r="A641" s="50"/>
      <c r="B641" s="97"/>
      <c r="C641" s="299" t="s">
        <v>625</v>
      </c>
      <c r="D641" s="986">
        <v>0</v>
      </c>
      <c r="E641" s="987">
        <v>0</v>
      </c>
      <c r="F641" s="132">
        <f>SUM(D641:E641)</f>
        <v>0</v>
      </c>
    </row>
    <row r="642" spans="1:6" ht="12.75" customHeight="1" thickTop="1">
      <c r="A642" s="359"/>
      <c r="B642" s="384"/>
      <c r="C642" s="364" t="s">
        <v>361</v>
      </c>
      <c r="D642" s="355"/>
      <c r="E642" s="355"/>
      <c r="F642" s="356"/>
    </row>
    <row r="643" spans="1:6" ht="12.75" customHeight="1">
      <c r="A643" s="50"/>
      <c r="B643" s="51"/>
      <c r="C643" s="287" t="s">
        <v>623</v>
      </c>
      <c r="D643" s="349">
        <f aca="true" t="shared" si="20" ref="D643:E645">D635+D639</f>
        <v>0</v>
      </c>
      <c r="E643" s="349">
        <f t="shared" si="20"/>
        <v>10622</v>
      </c>
      <c r="F643" s="346">
        <f>E643</f>
        <v>10622</v>
      </c>
    </row>
    <row r="644" spans="1:6" ht="12.75" customHeight="1">
      <c r="A644" s="50"/>
      <c r="B644" s="51"/>
      <c r="C644" s="287" t="s">
        <v>624</v>
      </c>
      <c r="D644" s="349">
        <f t="shared" si="20"/>
        <v>0</v>
      </c>
      <c r="E644" s="349">
        <f t="shared" si="20"/>
        <v>38266</v>
      </c>
      <c r="F644" s="346">
        <f>E644</f>
        <v>38266</v>
      </c>
    </row>
    <row r="645" spans="1:6" ht="12.75" customHeight="1" thickBot="1">
      <c r="A645" s="385"/>
      <c r="B645" s="386"/>
      <c r="C645" s="354" t="s">
        <v>625</v>
      </c>
      <c r="D645" s="351">
        <f t="shared" si="20"/>
        <v>0</v>
      </c>
      <c r="E645" s="351">
        <f t="shared" si="20"/>
        <v>8952</v>
      </c>
      <c r="F645" s="352">
        <f>E645</f>
        <v>8952</v>
      </c>
    </row>
    <row r="646" spans="1:6" ht="12" customHeight="1" thickTop="1">
      <c r="A646" s="50" t="s">
        <v>409</v>
      </c>
      <c r="B646" s="51"/>
      <c r="C646" s="225" t="s">
        <v>357</v>
      </c>
      <c r="D646" s="118"/>
      <c r="E646" s="118"/>
      <c r="F646" s="138"/>
    </row>
    <row r="647" spans="1:6" s="49" customFormat="1" ht="8.25" customHeight="1">
      <c r="A647" s="42"/>
      <c r="B647" s="43"/>
      <c r="C647" s="222"/>
      <c r="D647" s="139"/>
      <c r="E647" s="139"/>
      <c r="F647" s="140"/>
    </row>
    <row r="648" spans="1:6" ht="12" customHeight="1">
      <c r="A648" s="42"/>
      <c r="B648" s="43" t="s">
        <v>312</v>
      </c>
      <c r="C648" s="365" t="s">
        <v>379</v>
      </c>
      <c r="D648" s="114"/>
      <c r="E648" s="114"/>
      <c r="F648" s="128"/>
    </row>
    <row r="649" spans="1:6" ht="12" customHeight="1">
      <c r="A649" s="42"/>
      <c r="B649" s="43"/>
      <c r="C649" s="287" t="s">
        <v>623</v>
      </c>
      <c r="D649" s="345">
        <v>7000</v>
      </c>
      <c r="E649" s="345"/>
      <c r="F649" s="346">
        <f>SUM(D649:E649)</f>
        <v>7000</v>
      </c>
    </row>
    <row r="650" spans="1:6" ht="12" customHeight="1">
      <c r="A650" s="42"/>
      <c r="B650" s="43"/>
      <c r="C650" s="287" t="s">
        <v>624</v>
      </c>
      <c r="D650" s="345">
        <v>4000</v>
      </c>
      <c r="E650" s="345"/>
      <c r="F650" s="346">
        <f aca="true" t="shared" si="21" ref="F650:F658">SUM(D650:E650)</f>
        <v>4000</v>
      </c>
    </row>
    <row r="651" spans="1:6" ht="12" customHeight="1">
      <c r="A651" s="42"/>
      <c r="B651" s="43"/>
      <c r="C651" s="287" t="s">
        <v>625</v>
      </c>
      <c r="D651" s="345">
        <v>0</v>
      </c>
      <c r="E651" s="345"/>
      <c r="F651" s="346">
        <f t="shared" si="21"/>
        <v>0</v>
      </c>
    </row>
    <row r="652" spans="1:6" ht="12" customHeight="1">
      <c r="A652" s="42"/>
      <c r="B652" s="43" t="s">
        <v>314</v>
      </c>
      <c r="C652" s="347" t="s">
        <v>431</v>
      </c>
      <c r="D652" s="345"/>
      <c r="E652" s="345"/>
      <c r="F652" s="346"/>
    </row>
    <row r="653" spans="1:6" ht="12" customHeight="1">
      <c r="A653" s="42"/>
      <c r="B653" s="43"/>
      <c r="C653" s="287" t="s">
        <v>623</v>
      </c>
      <c r="D653" s="345">
        <v>15447</v>
      </c>
      <c r="E653" s="345"/>
      <c r="F653" s="346">
        <f t="shared" si="21"/>
        <v>15447</v>
      </c>
    </row>
    <row r="654" spans="1:6" ht="12" customHeight="1">
      <c r="A654" s="42"/>
      <c r="B654" s="43"/>
      <c r="C654" s="287" t="s">
        <v>624</v>
      </c>
      <c r="D654" s="345">
        <f>7!D19</f>
        <v>11667</v>
      </c>
      <c r="E654" s="345"/>
      <c r="F654" s="346">
        <f t="shared" si="21"/>
        <v>11667</v>
      </c>
    </row>
    <row r="655" spans="1:6" ht="12" customHeight="1">
      <c r="A655" s="42"/>
      <c r="B655" s="43"/>
      <c r="C655" s="287" t="s">
        <v>625</v>
      </c>
      <c r="D655" s="345">
        <v>0</v>
      </c>
      <c r="E655" s="345"/>
      <c r="F655" s="346">
        <f t="shared" si="21"/>
        <v>0</v>
      </c>
    </row>
    <row r="656" spans="1:6" ht="12" customHeight="1">
      <c r="A656" s="42"/>
      <c r="B656" s="43" t="s">
        <v>316</v>
      </c>
      <c r="C656" s="347" t="s">
        <v>574</v>
      </c>
      <c r="D656" s="345"/>
      <c r="E656" s="345"/>
      <c r="F656" s="346"/>
    </row>
    <row r="657" spans="1:6" ht="12" customHeight="1">
      <c r="A657" s="42"/>
      <c r="B657" s="43"/>
      <c r="C657" s="287" t="s">
        <v>623</v>
      </c>
      <c r="D657" s="345">
        <v>0</v>
      </c>
      <c r="E657" s="345">
        <v>300000</v>
      </c>
      <c r="F657" s="346">
        <f t="shared" si="21"/>
        <v>300000</v>
      </c>
    </row>
    <row r="658" spans="1:6" ht="12" customHeight="1">
      <c r="A658" s="42"/>
      <c r="B658" s="43"/>
      <c r="C658" s="287" t="s">
        <v>624</v>
      </c>
      <c r="D658" s="345">
        <v>0</v>
      </c>
      <c r="E658" s="345">
        <v>300000</v>
      </c>
      <c r="F658" s="346">
        <f t="shared" si="21"/>
        <v>300000</v>
      </c>
    </row>
    <row r="659" spans="1:6" ht="12" customHeight="1" thickBot="1">
      <c r="A659" s="42"/>
      <c r="B659" s="43"/>
      <c r="C659" s="299" t="s">
        <v>625</v>
      </c>
      <c r="D659" s="114">
        <v>0</v>
      </c>
      <c r="E659" s="114">
        <v>0</v>
      </c>
      <c r="F659" s="128">
        <f>SUM(D659:E659)</f>
        <v>0</v>
      </c>
    </row>
    <row r="660" spans="1:6" ht="12" customHeight="1" thickBot="1" thickTop="1">
      <c r="A660" s="47"/>
      <c r="B660" s="48"/>
      <c r="C660" s="224" t="s">
        <v>361</v>
      </c>
      <c r="D660" s="115"/>
      <c r="E660" s="115"/>
      <c r="F660" s="133"/>
    </row>
    <row r="661" spans="1:6" ht="12" customHeight="1" thickTop="1">
      <c r="A661" s="359"/>
      <c r="B661" s="384"/>
      <c r="C661" s="288" t="s">
        <v>623</v>
      </c>
      <c r="D661" s="358">
        <f>D649+D653+D657</f>
        <v>22447</v>
      </c>
      <c r="E661" s="358">
        <f aca="true" t="shared" si="22" ref="D661:E663">E649+E653+E657</f>
        <v>300000</v>
      </c>
      <c r="F661" s="361">
        <f>SUM(D661:E661)</f>
        <v>322447</v>
      </c>
    </row>
    <row r="662" spans="1:6" ht="12" customHeight="1">
      <c r="A662" s="50"/>
      <c r="B662" s="51"/>
      <c r="C662" s="287" t="s">
        <v>624</v>
      </c>
      <c r="D662" s="349">
        <f t="shared" si="22"/>
        <v>15667</v>
      </c>
      <c r="E662" s="349">
        <f t="shared" si="22"/>
        <v>300000</v>
      </c>
      <c r="F662" s="346">
        <f>SUM(D662:E662)</f>
        <v>315667</v>
      </c>
    </row>
    <row r="663" spans="1:6" ht="12" customHeight="1" thickBot="1">
      <c r="A663" s="50"/>
      <c r="B663" s="51"/>
      <c r="C663" s="464" t="s">
        <v>625</v>
      </c>
      <c r="D663" s="130">
        <f t="shared" si="22"/>
        <v>0</v>
      </c>
      <c r="E663" s="130">
        <f t="shared" si="22"/>
        <v>0</v>
      </c>
      <c r="F663" s="128">
        <f>SUM(D663:E663)</f>
        <v>0</v>
      </c>
    </row>
    <row r="664" spans="1:6" ht="12" customHeight="1" thickTop="1">
      <c r="A664" s="359" t="s">
        <v>416</v>
      </c>
      <c r="B664" s="360">
        <v>1</v>
      </c>
      <c r="C664" s="624" t="s">
        <v>913</v>
      </c>
      <c r="D664" s="358"/>
      <c r="E664" s="358"/>
      <c r="F664" s="361"/>
    </row>
    <row r="665" spans="1:6" ht="12" customHeight="1">
      <c r="A665" s="50"/>
      <c r="B665" s="53"/>
      <c r="C665" s="287" t="s">
        <v>623</v>
      </c>
      <c r="D665" s="349">
        <v>0</v>
      </c>
      <c r="E665" s="349">
        <v>978</v>
      </c>
      <c r="F665" s="346">
        <f>E665</f>
        <v>978</v>
      </c>
    </row>
    <row r="666" spans="1:6" ht="12" customHeight="1">
      <c r="A666" s="50"/>
      <c r="B666" s="53"/>
      <c r="C666" s="287" t="s">
        <v>624</v>
      </c>
      <c r="D666" s="349">
        <f>5!J663</f>
        <v>86358</v>
      </c>
      <c r="E666" s="349">
        <f>5!N659</f>
        <v>978</v>
      </c>
      <c r="F666" s="346">
        <f>D666+E666</f>
        <v>87336</v>
      </c>
    </row>
    <row r="667" spans="1:6" ht="12" customHeight="1" thickBot="1">
      <c r="A667" s="50"/>
      <c r="B667" s="53"/>
      <c r="C667" s="398" t="s">
        <v>625</v>
      </c>
      <c r="D667" s="399">
        <f>5!J664</f>
        <v>86358</v>
      </c>
      <c r="E667" s="399">
        <f>5!N660</f>
        <v>978</v>
      </c>
      <c r="F667" s="128">
        <f>D667+E667</f>
        <v>87336</v>
      </c>
    </row>
    <row r="668" spans="1:6" ht="24" customHeight="1" thickBot="1" thickTop="1">
      <c r="A668" s="1976" t="s">
        <v>883</v>
      </c>
      <c r="B668" s="1977"/>
      <c r="C668" s="1978"/>
      <c r="D668" s="136"/>
      <c r="E668" s="136"/>
      <c r="F668" s="137"/>
    </row>
    <row r="669" spans="1:6" ht="12" customHeight="1">
      <c r="A669" s="387"/>
      <c r="B669" s="388"/>
      <c r="C669" s="367" t="s">
        <v>623</v>
      </c>
      <c r="D669" s="368">
        <f aca="true" t="shared" si="23" ref="D669:E671">D607+D629+D643+D661</f>
        <v>1898519</v>
      </c>
      <c r="E669" s="368">
        <f t="shared" si="23"/>
        <v>1582723</v>
      </c>
      <c r="F669" s="369">
        <f>SUM(D669:E669)</f>
        <v>3481242</v>
      </c>
    </row>
    <row r="670" spans="1:6" ht="12" customHeight="1">
      <c r="A670" s="42"/>
      <c r="B670" s="43"/>
      <c r="C670" s="320" t="s">
        <v>624</v>
      </c>
      <c r="D670" s="349">
        <f t="shared" si="23"/>
        <v>2423450</v>
      </c>
      <c r="E670" s="349">
        <f t="shared" si="23"/>
        <v>1887794</v>
      </c>
      <c r="F670" s="357">
        <f>SUM(D670:E670)</f>
        <v>4311244</v>
      </c>
    </row>
    <row r="671" spans="1:6" ht="12" customHeight="1" thickBot="1">
      <c r="A671" s="389"/>
      <c r="B671" s="390"/>
      <c r="C671" s="321" t="s">
        <v>625</v>
      </c>
      <c r="D671" s="131">
        <f t="shared" si="23"/>
        <v>2210909</v>
      </c>
      <c r="E671" s="131">
        <f t="shared" si="23"/>
        <v>242645</v>
      </c>
      <c r="F671" s="628">
        <f>SUM(D671:E671)</f>
        <v>2453554</v>
      </c>
    </row>
    <row r="672" spans="1:6" ht="12" customHeight="1" thickTop="1">
      <c r="A672" s="1967" t="s">
        <v>882</v>
      </c>
      <c r="B672" s="1968"/>
      <c r="C672" s="1969"/>
      <c r="D672" s="1321"/>
      <c r="E672" s="1324"/>
      <c r="F672" s="1322"/>
    </row>
    <row r="673" spans="1:6" ht="12" customHeight="1">
      <c r="A673" s="42"/>
      <c r="B673" s="52"/>
      <c r="C673" s="323" t="s">
        <v>623</v>
      </c>
      <c r="D673" s="1323">
        <f>D665+D669</f>
        <v>1898519</v>
      </c>
      <c r="E673" s="1323">
        <f>E665+E669</f>
        <v>1583701</v>
      </c>
      <c r="F673" s="683">
        <f>F665+F669</f>
        <v>3482220</v>
      </c>
    </row>
    <row r="674" spans="1:6" ht="12" customHeight="1">
      <c r="A674" s="42"/>
      <c r="B674" s="52"/>
      <c r="C674" s="320" t="s">
        <v>624</v>
      </c>
      <c r="D674" s="1323">
        <f aca="true" t="shared" si="24" ref="D674:F675">D666+D670</f>
        <v>2509808</v>
      </c>
      <c r="E674" s="1323">
        <f t="shared" si="24"/>
        <v>1888772</v>
      </c>
      <c r="F674" s="683">
        <f t="shared" si="24"/>
        <v>4398580</v>
      </c>
    </row>
    <row r="675" spans="1:6" ht="12" customHeight="1" thickBot="1">
      <c r="A675" s="389"/>
      <c r="B675" s="99"/>
      <c r="C675" s="321" t="s">
        <v>625</v>
      </c>
      <c r="D675" s="1325">
        <f t="shared" si="24"/>
        <v>2297267</v>
      </c>
      <c r="E675" s="1325">
        <f t="shared" si="24"/>
        <v>243623</v>
      </c>
      <c r="F675" s="1326">
        <f t="shared" si="24"/>
        <v>2540890</v>
      </c>
    </row>
    <row r="676" ht="12" customHeight="1">
      <c r="D676" s="127">
        <f>D674-D675</f>
        <v>212541</v>
      </c>
    </row>
    <row r="677" ht="12" customHeight="1">
      <c r="D677" s="127">
        <f>'3.k'!E199</f>
        <v>190263</v>
      </c>
    </row>
    <row r="678" ht="12" customHeight="1">
      <c r="D678" s="127">
        <f>D676-D677</f>
        <v>22278</v>
      </c>
    </row>
  </sheetData>
  <sheetProtection/>
  <mergeCells count="11">
    <mergeCell ref="A566:C566"/>
    <mergeCell ref="A672:C672"/>
    <mergeCell ref="A574:C574"/>
    <mergeCell ref="A578:F578"/>
    <mergeCell ref="A668:C668"/>
    <mergeCell ref="A6:C7"/>
    <mergeCell ref="F6:F7"/>
    <mergeCell ref="A8:F8"/>
    <mergeCell ref="A570:C570"/>
    <mergeCell ref="C213:D213"/>
    <mergeCell ref="A562:C562"/>
  </mergeCells>
  <printOptions horizontalCentered="1"/>
  <pageMargins left="0.7874015748031497" right="0.7874015748031497" top="0.3937007874015748" bottom="0.3937007874015748" header="0.5118110236220472" footer="0.11811023622047245"/>
  <pageSetup fitToHeight="12" horizontalDpi="600" verticalDpi="600" orientation="portrait" paperSize="9" scale="98" r:id="rId2"/>
  <rowBreaks count="8" manualBreakCount="8">
    <brk id="75" max="5" man="1"/>
    <brk id="146" max="5" man="1"/>
    <brk id="216" max="5" man="1"/>
    <brk id="288" max="5" man="1"/>
    <brk id="352" max="5" man="1"/>
    <brk id="426" max="5" man="1"/>
    <brk id="561" max="5" man="1"/>
    <brk id="623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00390625" style="0" customWidth="1"/>
    <col min="2" max="2" width="21.25390625" style="57" customWidth="1"/>
    <col min="3" max="3" width="9.75390625" style="58" customWidth="1"/>
    <col min="4" max="4" width="13.625" style="58" customWidth="1"/>
    <col min="5" max="5" width="14.00390625" style="58" customWidth="1"/>
    <col min="6" max="6" width="7.00390625" style="58" customWidth="1"/>
    <col min="7" max="7" width="15.875" style="58" customWidth="1"/>
    <col min="8" max="8" width="14.875" style="0" customWidth="1"/>
    <col min="9" max="9" width="10.00390625" style="0" customWidth="1"/>
    <col min="10" max="10" width="7.875" style="0" customWidth="1"/>
    <col min="11" max="11" width="8.25390625" style="0" customWidth="1"/>
    <col min="12" max="12" width="9.125" style="106" customWidth="1"/>
  </cols>
  <sheetData>
    <row r="1" spans="1:12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104"/>
    </row>
    <row r="2" spans="1:12" ht="10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104"/>
    </row>
    <row r="3" spans="1:12" ht="12.7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105" t="s">
        <v>382</v>
      </c>
    </row>
    <row r="4" spans="1:12" s="240" customFormat="1" ht="21" customHeight="1">
      <c r="A4" s="426" t="s">
        <v>432</v>
      </c>
      <c r="B4" s="427" t="s">
        <v>433</v>
      </c>
      <c r="C4" s="1992" t="s">
        <v>244</v>
      </c>
      <c r="D4" s="1993"/>
      <c r="E4" s="1993"/>
      <c r="F4" s="1993"/>
      <c r="G4" s="1993"/>
      <c r="H4" s="1994"/>
      <c r="I4" s="1995" t="s">
        <v>539</v>
      </c>
      <c r="J4" s="1998" t="s">
        <v>245</v>
      </c>
      <c r="K4" s="1998"/>
      <c r="L4" s="430" t="s">
        <v>361</v>
      </c>
    </row>
    <row r="5" spans="1:12" s="240" customFormat="1" ht="24.75" customHeight="1">
      <c r="A5" s="428" t="s">
        <v>434</v>
      </c>
      <c r="B5" s="429" t="s">
        <v>435</v>
      </c>
      <c r="C5" s="242" t="s">
        <v>247</v>
      </c>
      <c r="D5" s="242" t="s">
        <v>717</v>
      </c>
      <c r="E5" s="242" t="s">
        <v>248</v>
      </c>
      <c r="F5" s="246" t="s">
        <v>251</v>
      </c>
      <c r="G5" s="242" t="s">
        <v>719</v>
      </c>
      <c r="H5" s="242" t="s">
        <v>719</v>
      </c>
      <c r="I5" s="1996"/>
      <c r="J5" s="2002" t="s">
        <v>246</v>
      </c>
      <c r="K5" s="2003"/>
      <c r="L5" s="431"/>
    </row>
    <row r="6" spans="1:12" s="240" customFormat="1" ht="34.5" customHeight="1" thickBot="1">
      <c r="A6" s="243"/>
      <c r="B6" s="244"/>
      <c r="C6" s="245" t="s">
        <v>436</v>
      </c>
      <c r="D6" s="245" t="s">
        <v>718</v>
      </c>
      <c r="E6" s="245" t="s">
        <v>250</v>
      </c>
      <c r="F6" s="245"/>
      <c r="G6" s="245" t="s">
        <v>720</v>
      </c>
      <c r="H6" s="245" t="s">
        <v>721</v>
      </c>
      <c r="I6" s="1997"/>
      <c r="J6" s="432" t="s">
        <v>359</v>
      </c>
      <c r="K6" s="432" t="s">
        <v>249</v>
      </c>
      <c r="L6" s="433"/>
    </row>
    <row r="7" spans="1:12" s="1486" customFormat="1" ht="12.75">
      <c r="A7" s="102" t="s">
        <v>312</v>
      </c>
      <c r="B7" s="56" t="s">
        <v>489</v>
      </c>
      <c r="C7" s="375"/>
      <c r="D7" s="375"/>
      <c r="E7" s="375"/>
      <c r="F7" s="375"/>
      <c r="G7" s="375"/>
      <c r="H7" s="375"/>
      <c r="I7" s="201"/>
      <c r="J7" s="375"/>
      <c r="K7" s="375"/>
      <c r="L7" s="376"/>
    </row>
    <row r="8" spans="1:12" s="1486" customFormat="1" ht="12.75">
      <c r="A8" s="102"/>
      <c r="B8" s="287" t="s">
        <v>623</v>
      </c>
      <c r="C8" s="377">
        <v>17475</v>
      </c>
      <c r="D8" s="377"/>
      <c r="E8" s="377"/>
      <c r="F8" s="377"/>
      <c r="G8" s="377"/>
      <c r="H8" s="377"/>
      <c r="I8" s="377">
        <f>5!N9-'4 '!C8-'4 '!E8-'4 '!G8-'4 '!H8-'4 '!J8-'4 '!K8-D8</f>
        <v>73025</v>
      </c>
      <c r="J8" s="377">
        <v>0</v>
      </c>
      <c r="K8" s="377"/>
      <c r="L8" s="378">
        <f>SUM(C8:K8)-F8</f>
        <v>90500</v>
      </c>
    </row>
    <row r="9" spans="1:12" s="1486" customFormat="1" ht="12.75">
      <c r="A9" s="102"/>
      <c r="B9" s="287" t="s">
        <v>624</v>
      </c>
      <c r="C9" s="377">
        <v>9645</v>
      </c>
      <c r="D9" s="377"/>
      <c r="E9" s="377">
        <v>357</v>
      </c>
      <c r="F9" s="377"/>
      <c r="G9" s="377"/>
      <c r="H9" s="377"/>
      <c r="I9" s="377">
        <f>5!N10-'4 '!C9-'4 '!E9-'4 '!G9-'4 '!H9-'4 '!J9-'4 '!K9-D9</f>
        <v>36505</v>
      </c>
      <c r="J9" s="377">
        <v>0</v>
      </c>
      <c r="K9" s="377"/>
      <c r="L9" s="378">
        <f>SUM(C9:K9)-F9</f>
        <v>46507</v>
      </c>
    </row>
    <row r="10" spans="1:12" s="1486" customFormat="1" ht="12.75">
      <c r="A10" s="102"/>
      <c r="B10" s="299" t="s">
        <v>625</v>
      </c>
      <c r="C10" s="377">
        <v>9644</v>
      </c>
      <c r="D10" s="377"/>
      <c r="E10" s="377">
        <v>358</v>
      </c>
      <c r="F10" s="377"/>
      <c r="G10" s="377"/>
      <c r="H10" s="377"/>
      <c r="I10" s="377">
        <f>5!N11-'4 '!C10-'4 '!E10-'4 '!G10-'4 '!H10-'4 '!J10-'4 '!K10-D10</f>
        <v>36505</v>
      </c>
      <c r="J10" s="377">
        <v>0</v>
      </c>
      <c r="K10" s="377"/>
      <c r="L10" s="378">
        <f>SUM(C10:K10)-F10</f>
        <v>46507</v>
      </c>
    </row>
    <row r="11" spans="1:12" s="1486" customFormat="1" ht="12.75" customHeight="1">
      <c r="A11" s="102" t="s">
        <v>314</v>
      </c>
      <c r="B11" s="2007" t="s">
        <v>44</v>
      </c>
      <c r="C11" s="2008"/>
      <c r="D11" s="377"/>
      <c r="E11" s="377"/>
      <c r="F11" s="377"/>
      <c r="G11" s="377"/>
      <c r="H11" s="377"/>
      <c r="I11" s="377"/>
      <c r="J11" s="377"/>
      <c r="K11" s="377"/>
      <c r="L11" s="378"/>
    </row>
    <row r="12" spans="1:12" s="1486" customFormat="1" ht="12.75">
      <c r="A12" s="102"/>
      <c r="B12" s="287" t="s">
        <v>623</v>
      </c>
      <c r="C12" s="377">
        <v>4128</v>
      </c>
      <c r="D12" s="377"/>
      <c r="E12" s="377">
        <v>33100</v>
      </c>
      <c r="F12" s="377">
        <v>33100</v>
      </c>
      <c r="G12" s="377"/>
      <c r="H12" s="377"/>
      <c r="I12" s="377">
        <f>5!N13-'4 '!C12-'4 '!E12-'4 '!G12-'4 '!H12-'4 '!J12-'4 '!K12-D12</f>
        <v>4774</v>
      </c>
      <c r="J12" s="377"/>
      <c r="K12" s="377"/>
      <c r="L12" s="378">
        <f>SUM(C12:K12)-F12</f>
        <v>42002</v>
      </c>
    </row>
    <row r="13" spans="1:12" s="1486" customFormat="1" ht="12.75">
      <c r="A13" s="102"/>
      <c r="B13" s="287" t="s">
        <v>624</v>
      </c>
      <c r="C13" s="377">
        <v>4564</v>
      </c>
      <c r="D13" s="377"/>
      <c r="E13" s="377">
        <v>32826</v>
      </c>
      <c r="F13" s="377">
        <v>32650</v>
      </c>
      <c r="G13" s="377">
        <v>0</v>
      </c>
      <c r="H13" s="377">
        <v>0</v>
      </c>
      <c r="I13" s="377">
        <f>5!N14-'4 '!C13-'4 '!E13-'4 '!G13-'4 '!H13-'4 '!J13-'4 '!K13-D13</f>
        <v>26245</v>
      </c>
      <c r="J13" s="377">
        <v>270</v>
      </c>
      <c r="K13" s="377"/>
      <c r="L13" s="378">
        <f>SUM(C13:K13)-F13</f>
        <v>63905</v>
      </c>
    </row>
    <row r="14" spans="1:12" s="1486" customFormat="1" ht="12.75">
      <c r="A14" s="102"/>
      <c r="B14" s="299" t="s">
        <v>625</v>
      </c>
      <c r="C14" s="377">
        <v>6134</v>
      </c>
      <c r="D14" s="377"/>
      <c r="E14" s="377">
        <v>33011</v>
      </c>
      <c r="F14" s="377">
        <v>32835</v>
      </c>
      <c r="G14" s="377">
        <v>0</v>
      </c>
      <c r="H14" s="377">
        <v>0</v>
      </c>
      <c r="I14" s="377">
        <v>26245</v>
      </c>
      <c r="J14" s="377">
        <v>270</v>
      </c>
      <c r="K14" s="377"/>
      <c r="L14" s="378">
        <f>SUM(C14:K14)-F14</f>
        <v>65660</v>
      </c>
    </row>
    <row r="15" spans="1:12" s="1486" customFormat="1" ht="12.75">
      <c r="A15" s="102" t="s">
        <v>316</v>
      </c>
      <c r="B15" s="2004" t="s">
        <v>517</v>
      </c>
      <c r="C15" s="2005"/>
      <c r="D15" s="1487"/>
      <c r="E15" s="377"/>
      <c r="F15" s="377"/>
      <c r="G15" s="377"/>
      <c r="H15" s="377"/>
      <c r="I15" s="377"/>
      <c r="J15" s="377"/>
      <c r="K15" s="377"/>
      <c r="L15" s="378"/>
    </row>
    <row r="16" spans="1:12" s="1486" customFormat="1" ht="12.75">
      <c r="A16" s="102"/>
      <c r="B16" s="287" t="s">
        <v>623</v>
      </c>
      <c r="C16" s="377">
        <v>6523</v>
      </c>
      <c r="D16" s="377"/>
      <c r="E16" s="377"/>
      <c r="F16" s="377"/>
      <c r="G16" s="377"/>
      <c r="H16" s="377"/>
      <c r="I16" s="377">
        <f>5!N17-'4 '!C16-'4 '!E16-'4 '!G16-'4 '!H16-'4 '!J16-'4 '!K16-D16</f>
        <v>95458</v>
      </c>
      <c r="J16" s="377"/>
      <c r="K16" s="377"/>
      <c r="L16" s="378">
        <f>SUM(C16:K16)-F16</f>
        <v>101981</v>
      </c>
    </row>
    <row r="17" spans="1:12" s="1486" customFormat="1" ht="12.75">
      <c r="A17" s="102"/>
      <c r="B17" s="287" t="s">
        <v>624</v>
      </c>
      <c r="C17" s="377">
        <v>6523</v>
      </c>
      <c r="D17" s="377"/>
      <c r="E17" s="377"/>
      <c r="F17" s="377"/>
      <c r="G17" s="377"/>
      <c r="H17" s="377"/>
      <c r="I17" s="377">
        <f>5!N18-'4 '!C17-'4 '!E17-'4 '!G17-'4 '!H17-'4 '!J17-'4 '!K17-D17</f>
        <v>96668</v>
      </c>
      <c r="J17" s="377">
        <v>35</v>
      </c>
      <c r="K17" s="377"/>
      <c r="L17" s="378">
        <f>SUM(C17:K17)-F17</f>
        <v>103226</v>
      </c>
    </row>
    <row r="18" spans="1:12" s="1486" customFormat="1" ht="12.75">
      <c r="A18" s="102"/>
      <c r="B18" s="299" t="s">
        <v>625</v>
      </c>
      <c r="C18" s="377">
        <f>4106+1708+510+388</f>
        <v>6712</v>
      </c>
      <c r="D18" s="377"/>
      <c r="E18" s="377"/>
      <c r="F18" s="377"/>
      <c r="G18" s="377">
        <v>0</v>
      </c>
      <c r="H18" s="377"/>
      <c r="I18" s="377">
        <v>96668</v>
      </c>
      <c r="J18" s="377">
        <v>35</v>
      </c>
      <c r="K18" s="377"/>
      <c r="L18" s="378">
        <f>SUM(C18:K18)-F18</f>
        <v>103415</v>
      </c>
    </row>
    <row r="19" spans="1:12" s="1486" customFormat="1" ht="12.75">
      <c r="A19" s="102" t="s">
        <v>318</v>
      </c>
      <c r="B19" s="107" t="s">
        <v>518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8"/>
    </row>
    <row r="20" spans="1:12" s="1486" customFormat="1" ht="12.75">
      <c r="A20" s="102"/>
      <c r="B20" s="287" t="s">
        <v>623</v>
      </c>
      <c r="C20" s="377">
        <v>4750</v>
      </c>
      <c r="D20" s="377"/>
      <c r="E20" s="377">
        <v>0</v>
      </c>
      <c r="F20" s="377"/>
      <c r="G20" s="377"/>
      <c r="H20" s="377"/>
      <c r="I20" s="377">
        <f>5!N21-'4 '!C20-'4 '!E20-'4 '!G20-'4 '!H20-'4 '!J20-'4 '!K20-D20</f>
        <v>17306</v>
      </c>
      <c r="J20" s="377"/>
      <c r="K20" s="377"/>
      <c r="L20" s="378">
        <f>SUM(C20:K20)-F20</f>
        <v>22056</v>
      </c>
    </row>
    <row r="21" spans="1:12" s="1486" customFormat="1" ht="12.75">
      <c r="A21" s="102"/>
      <c r="B21" s="287" t="s">
        <v>624</v>
      </c>
      <c r="C21" s="377">
        <v>4766</v>
      </c>
      <c r="D21" s="377"/>
      <c r="E21" s="377">
        <v>582</v>
      </c>
      <c r="F21" s="377"/>
      <c r="G21" s="377"/>
      <c r="H21" s="377"/>
      <c r="I21" s="377">
        <f>5!N22-'4 '!C21-'4 '!E21-'4 '!G21-'4 '!H21-'4 '!J21-'4 '!K21-D21</f>
        <v>17283</v>
      </c>
      <c r="J21" s="377">
        <v>680</v>
      </c>
      <c r="K21" s="377"/>
      <c r="L21" s="378">
        <f>SUM(C21:K21)-F21</f>
        <v>23311</v>
      </c>
    </row>
    <row r="22" spans="1:12" s="1486" customFormat="1" ht="12.75">
      <c r="A22" s="102"/>
      <c r="B22" s="299" t="s">
        <v>625</v>
      </c>
      <c r="C22" s="377">
        <f>150+4453</f>
        <v>4603</v>
      </c>
      <c r="D22" s="377"/>
      <c r="E22" s="377">
        <v>497</v>
      </c>
      <c r="F22" s="377"/>
      <c r="G22" s="377"/>
      <c r="H22" s="377"/>
      <c r="I22" s="377">
        <v>17283</v>
      </c>
      <c r="J22" s="377">
        <v>680</v>
      </c>
      <c r="K22" s="377"/>
      <c r="L22" s="378">
        <f>SUM(C22:K22)-F22</f>
        <v>23063</v>
      </c>
    </row>
    <row r="23" spans="1:12" s="1486" customFormat="1" ht="22.5">
      <c r="A23" s="102" t="s">
        <v>320</v>
      </c>
      <c r="B23" s="107" t="s">
        <v>516</v>
      </c>
      <c r="C23" s="377"/>
      <c r="D23" s="377"/>
      <c r="E23" s="377"/>
      <c r="F23" s="377"/>
      <c r="G23" s="377"/>
      <c r="H23" s="377"/>
      <c r="I23" s="377"/>
      <c r="J23" s="377"/>
      <c r="K23" s="377"/>
      <c r="L23" s="378"/>
    </row>
    <row r="24" spans="1:12" s="1486" customFormat="1" ht="12.75">
      <c r="A24" s="102"/>
      <c r="B24" s="287" t="s">
        <v>623</v>
      </c>
      <c r="C24" s="377">
        <v>895</v>
      </c>
      <c r="D24" s="377"/>
      <c r="E24" s="377"/>
      <c r="F24" s="377"/>
      <c r="G24" s="377"/>
      <c r="H24" s="377"/>
      <c r="I24" s="377">
        <f>5!N25-'4 '!C24-'4 '!E24-'4 '!G24-'4 '!H24-'4 '!J24-'4 '!K24-D24</f>
        <v>27008</v>
      </c>
      <c r="J24" s="377"/>
      <c r="K24" s="377"/>
      <c r="L24" s="378">
        <f>SUM(C24:K24)-F24</f>
        <v>27903</v>
      </c>
    </row>
    <row r="25" spans="1:12" s="1486" customFormat="1" ht="12.75">
      <c r="A25" s="102"/>
      <c r="B25" s="287" t="s">
        <v>624</v>
      </c>
      <c r="C25" s="377">
        <v>1048</v>
      </c>
      <c r="D25" s="377"/>
      <c r="E25" s="377">
        <v>517</v>
      </c>
      <c r="F25" s="377"/>
      <c r="G25" s="377"/>
      <c r="H25" s="377"/>
      <c r="I25" s="377">
        <f>5!N26-'4 '!C25-'4 '!E25-'4 '!G25-'4 '!H25-'4 '!J25-'4 '!K25-D25</f>
        <v>28128</v>
      </c>
      <c r="J25" s="377">
        <v>23</v>
      </c>
      <c r="K25" s="377">
        <v>24</v>
      </c>
      <c r="L25" s="378">
        <f>SUM(C25:K25)-F25</f>
        <v>29740</v>
      </c>
    </row>
    <row r="26" spans="1:12" s="1486" customFormat="1" ht="12.75">
      <c r="A26" s="102"/>
      <c r="B26" s="299" t="s">
        <v>625</v>
      </c>
      <c r="C26" s="377">
        <f>1158</f>
        <v>1158</v>
      </c>
      <c r="D26" s="377"/>
      <c r="E26" s="377">
        <v>356</v>
      </c>
      <c r="F26" s="377"/>
      <c r="G26" s="377"/>
      <c r="H26" s="377">
        <v>0</v>
      </c>
      <c r="I26" s="377">
        <v>28128</v>
      </c>
      <c r="J26" s="377">
        <v>23</v>
      </c>
      <c r="K26" s="377">
        <v>24</v>
      </c>
      <c r="L26" s="378">
        <f>SUM(C26:K26)-F26</f>
        <v>29689</v>
      </c>
    </row>
    <row r="27" spans="1:12" s="1486" customFormat="1" ht="12.75">
      <c r="A27" s="102" t="s">
        <v>322</v>
      </c>
      <c r="B27" s="2004" t="s">
        <v>519</v>
      </c>
      <c r="C27" s="2005"/>
      <c r="D27" s="1487"/>
      <c r="E27" s="377"/>
      <c r="F27" s="377"/>
      <c r="G27" s="377"/>
      <c r="H27" s="377"/>
      <c r="I27" s="377"/>
      <c r="J27" s="377"/>
      <c r="K27" s="377"/>
      <c r="L27" s="378"/>
    </row>
    <row r="28" spans="1:12" s="1486" customFormat="1" ht="12.75">
      <c r="A28" s="102"/>
      <c r="B28" s="287" t="s">
        <v>623</v>
      </c>
      <c r="C28" s="377">
        <v>2695</v>
      </c>
      <c r="D28" s="377"/>
      <c r="E28" s="377">
        <v>560</v>
      </c>
      <c r="F28" s="377"/>
      <c r="G28" s="377"/>
      <c r="H28" s="377"/>
      <c r="I28" s="377">
        <f>5!N29-'4 '!C28-'4 '!E28-'4 '!G28-'4 '!H28-'4 '!J28-'4 '!K28-D28</f>
        <v>18348</v>
      </c>
      <c r="J28" s="377"/>
      <c r="K28" s="377"/>
      <c r="L28" s="378">
        <f>SUM(C28:K28)-F28</f>
        <v>21603</v>
      </c>
    </row>
    <row r="29" spans="1:12" s="1486" customFormat="1" ht="12.75">
      <c r="A29" s="102"/>
      <c r="B29" s="287" t="s">
        <v>624</v>
      </c>
      <c r="C29" s="377">
        <v>3495</v>
      </c>
      <c r="D29" s="377">
        <v>400</v>
      </c>
      <c r="E29" s="377">
        <v>1592</v>
      </c>
      <c r="F29" s="377"/>
      <c r="G29" s="377"/>
      <c r="H29" s="377"/>
      <c r="I29" s="377">
        <f>5!N30-'4 '!C29-'4 '!E29-'4 '!G29-'4 '!H29-'4 '!J29-'4 '!K29-D29</f>
        <v>18505</v>
      </c>
      <c r="J29" s="377">
        <v>697</v>
      </c>
      <c r="K29" s="377">
        <v>0</v>
      </c>
      <c r="L29" s="378">
        <f>SUM(C29:K29)-F29</f>
        <v>24689</v>
      </c>
    </row>
    <row r="30" spans="1:12" s="1486" customFormat="1" ht="12.75">
      <c r="A30" s="102"/>
      <c r="B30" s="299" t="s">
        <v>625</v>
      </c>
      <c r="C30" s="377">
        <v>4359</v>
      </c>
      <c r="D30" s="377">
        <v>400</v>
      </c>
      <c r="E30" s="377">
        <v>1813</v>
      </c>
      <c r="F30" s="377"/>
      <c r="G30" s="377">
        <v>0</v>
      </c>
      <c r="H30" s="377">
        <v>0</v>
      </c>
      <c r="I30" s="377">
        <v>18505</v>
      </c>
      <c r="J30" s="377">
        <v>697</v>
      </c>
      <c r="K30" s="377">
        <v>0</v>
      </c>
      <c r="L30" s="378">
        <f>SUM(C30:K30)-F30</f>
        <v>25774</v>
      </c>
    </row>
    <row r="31" spans="1:12" s="1486" customFormat="1" ht="15.75" customHeight="1">
      <c r="A31" s="102" t="s">
        <v>346</v>
      </c>
      <c r="B31" s="2004" t="s">
        <v>520</v>
      </c>
      <c r="C31" s="2006"/>
      <c r="D31" s="2006"/>
      <c r="E31" s="2005"/>
      <c r="F31" s="377"/>
      <c r="G31" s="377"/>
      <c r="H31" s="377"/>
      <c r="I31" s="377">
        <f>5!N32-'4 '!C31-'4 '!E31-'4 '!G31-'4 '!H31-'4 '!J31-'4 '!K31-D31</f>
        <v>0</v>
      </c>
      <c r="J31" s="377"/>
      <c r="K31" s="377"/>
      <c r="L31" s="378"/>
    </row>
    <row r="32" spans="1:12" s="1486" customFormat="1" ht="13.5" customHeight="1">
      <c r="A32" s="102"/>
      <c r="B32" s="287" t="s">
        <v>623</v>
      </c>
      <c r="C32" s="377">
        <v>2000</v>
      </c>
      <c r="D32" s="377"/>
      <c r="E32" s="377"/>
      <c r="F32" s="377"/>
      <c r="G32" s="377"/>
      <c r="H32" s="377">
        <v>0</v>
      </c>
      <c r="I32" s="377">
        <f>5!N33-'4 '!C32-'4 '!E32-'4 '!G32-'4 '!H32-'4 '!J32-'4 '!K32-D32</f>
        <v>159989</v>
      </c>
      <c r="J32" s="377"/>
      <c r="K32" s="377"/>
      <c r="L32" s="378">
        <f>SUM(C32:K32)-F32</f>
        <v>161989</v>
      </c>
    </row>
    <row r="33" spans="1:12" s="1486" customFormat="1" ht="13.5" customHeight="1">
      <c r="A33" s="102"/>
      <c r="B33" s="287" t="s">
        <v>624</v>
      </c>
      <c r="C33" s="377">
        <v>3146</v>
      </c>
      <c r="D33" s="377"/>
      <c r="E33" s="377">
        <v>28648</v>
      </c>
      <c r="F33" s="377">
        <v>0</v>
      </c>
      <c r="G33" s="377"/>
      <c r="H33" s="377">
        <v>0</v>
      </c>
      <c r="I33" s="377">
        <f>5!N34-'4 '!C33-'4 '!E33-'4 '!G33-'4 '!H33-'4 '!J33-'4 '!K33-D33</f>
        <v>176373</v>
      </c>
      <c r="J33" s="377">
        <v>10241</v>
      </c>
      <c r="K33" s="377">
        <v>201</v>
      </c>
      <c r="L33" s="378">
        <f>SUM(C33:K33)-F33</f>
        <v>218609</v>
      </c>
    </row>
    <row r="34" spans="1:12" s="1486" customFormat="1" ht="13.5" customHeight="1" thickBot="1">
      <c r="A34" s="1488"/>
      <c r="B34" s="303" t="s">
        <v>625</v>
      </c>
      <c r="C34" s="1489">
        <v>3338</v>
      </c>
      <c r="D34" s="1489"/>
      <c r="E34" s="1489">
        <v>28648</v>
      </c>
      <c r="F34" s="1489">
        <v>0</v>
      </c>
      <c r="G34" s="1489">
        <v>0</v>
      </c>
      <c r="H34" s="1489">
        <v>0</v>
      </c>
      <c r="I34" s="1489">
        <v>176373</v>
      </c>
      <c r="J34" s="1489">
        <f>-54+10241</f>
        <v>10187</v>
      </c>
      <c r="K34" s="1489">
        <v>201</v>
      </c>
      <c r="L34" s="436">
        <f>SUM(C34:K34)-F34</f>
        <v>218747</v>
      </c>
    </row>
    <row r="35" spans="1:12" ht="12.75" customHeight="1" thickBot="1">
      <c r="A35" s="434"/>
      <c r="B35" s="1999" t="s">
        <v>282</v>
      </c>
      <c r="C35" s="2000"/>
      <c r="D35" s="2000"/>
      <c r="E35" s="2001"/>
      <c r="F35" s="435"/>
      <c r="G35" s="435"/>
      <c r="H35" s="435"/>
      <c r="I35" s="435"/>
      <c r="J35" s="435"/>
      <c r="K35" s="435"/>
      <c r="L35" s="436"/>
    </row>
    <row r="36" spans="1:12" ht="12.75">
      <c r="A36" s="379"/>
      <c r="B36" s="367" t="s">
        <v>623</v>
      </c>
      <c r="C36" s="420">
        <f>C8+C12+C16+C20+C24+C28+C32</f>
        <v>38466</v>
      </c>
      <c r="D36" s="420"/>
      <c r="E36" s="420">
        <f aca="true" t="shared" si="0" ref="E36:K36">E8+E12+E16+E20+E24+E28+E32</f>
        <v>33660</v>
      </c>
      <c r="F36" s="420">
        <f t="shared" si="0"/>
        <v>33100</v>
      </c>
      <c r="G36" s="420">
        <f t="shared" si="0"/>
        <v>0</v>
      </c>
      <c r="H36" s="420">
        <f t="shared" si="0"/>
        <v>0</v>
      </c>
      <c r="I36" s="420">
        <f t="shared" si="0"/>
        <v>395908</v>
      </c>
      <c r="J36" s="420">
        <f t="shared" si="0"/>
        <v>0</v>
      </c>
      <c r="K36" s="420">
        <f t="shared" si="0"/>
        <v>0</v>
      </c>
      <c r="L36" s="421">
        <f>L8+L12+L16+L20+L24+L28+L32</f>
        <v>468034</v>
      </c>
    </row>
    <row r="37" spans="1:12" ht="12.75">
      <c r="A37" s="380"/>
      <c r="B37" s="320" t="s">
        <v>624</v>
      </c>
      <c r="C37" s="422">
        <f>C9+C13+C17+C21+C25+C29+C33</f>
        <v>33187</v>
      </c>
      <c r="D37" s="422">
        <f>D9+D13+D17+D21+D25+D29+D33</f>
        <v>400</v>
      </c>
      <c r="E37" s="422">
        <f aca="true" t="shared" si="1" ref="E37:L37">E9+E13+E17+E21+E25+E29+E33</f>
        <v>64522</v>
      </c>
      <c r="F37" s="422">
        <f t="shared" si="1"/>
        <v>32650</v>
      </c>
      <c r="G37" s="422">
        <f t="shared" si="1"/>
        <v>0</v>
      </c>
      <c r="H37" s="422">
        <f t="shared" si="1"/>
        <v>0</v>
      </c>
      <c r="I37" s="422">
        <f t="shared" si="1"/>
        <v>399707</v>
      </c>
      <c r="J37" s="422">
        <f>J9+J13+J17+J21+J25+J29+J33</f>
        <v>11946</v>
      </c>
      <c r="K37" s="422">
        <f t="shared" si="1"/>
        <v>225</v>
      </c>
      <c r="L37" s="423">
        <f t="shared" si="1"/>
        <v>509987</v>
      </c>
    </row>
    <row r="38" spans="1:12" ht="13.5" thickBot="1">
      <c r="A38" s="381"/>
      <c r="B38" s="321" t="s">
        <v>625</v>
      </c>
      <c r="C38" s="424">
        <f>C10+C14+C18+C22+C26+C30+C34</f>
        <v>35948</v>
      </c>
      <c r="D38" s="424">
        <f>D10+D14+D18+D22+D26+D30+D34</f>
        <v>400</v>
      </c>
      <c r="E38" s="424">
        <f aca="true" t="shared" si="2" ref="E38:L38">E10+E14+E18+E22+E26+E30+E34</f>
        <v>64683</v>
      </c>
      <c r="F38" s="424">
        <f t="shared" si="2"/>
        <v>32835</v>
      </c>
      <c r="G38" s="424">
        <f t="shared" si="2"/>
        <v>0</v>
      </c>
      <c r="H38" s="424">
        <f>H10+H14+H18+H22+H26+H30+H34</f>
        <v>0</v>
      </c>
      <c r="I38" s="424">
        <f t="shared" si="2"/>
        <v>399707</v>
      </c>
      <c r="J38" s="424">
        <f t="shared" si="2"/>
        <v>11892</v>
      </c>
      <c r="K38" s="424">
        <f t="shared" si="2"/>
        <v>225</v>
      </c>
      <c r="L38" s="425">
        <f t="shared" si="2"/>
        <v>512855</v>
      </c>
    </row>
    <row r="39" ht="12.75">
      <c r="E39" s="640"/>
    </row>
  </sheetData>
  <sheetProtection/>
  <mergeCells count="9">
    <mergeCell ref="C4:H4"/>
    <mergeCell ref="I4:I6"/>
    <mergeCell ref="J4:K4"/>
    <mergeCell ref="B35:E35"/>
    <mergeCell ref="J5:K5"/>
    <mergeCell ref="B27:C27"/>
    <mergeCell ref="B31:E31"/>
    <mergeCell ref="B15:C15"/>
    <mergeCell ref="B11:C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0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676"/>
  <sheetViews>
    <sheetView zoomScaleSheetLayoutView="100" zoomScalePageLayoutView="0" workbookViewId="0" topLeftCell="C1">
      <selection activeCell="I18" sqref="I18"/>
    </sheetView>
  </sheetViews>
  <sheetFormatPr defaultColWidth="9.00390625" defaultRowHeight="12.75" customHeight="1"/>
  <cols>
    <col min="1" max="1" width="4.00390625" style="141" customWidth="1"/>
    <col min="2" max="2" width="3.75390625" style="142" customWidth="1"/>
    <col min="3" max="3" width="38.75390625" style="143" customWidth="1"/>
    <col min="4" max="4" width="8.125" style="143" customWidth="1"/>
    <col min="5" max="5" width="8.375" style="143" customWidth="1"/>
    <col min="6" max="6" width="7.75390625" style="143" customWidth="1"/>
    <col min="7" max="7" width="6.625" style="143" customWidth="1"/>
    <col min="8" max="8" width="7.875" style="143" bestFit="1" customWidth="1"/>
    <col min="9" max="9" width="7.875" style="143" customWidth="1"/>
    <col min="10" max="10" width="9.375" style="144" bestFit="1" customWidth="1"/>
    <col min="11" max="11" width="8.625" style="143" bestFit="1" customWidth="1"/>
    <col min="12" max="12" width="9.25390625" style="143" customWidth="1"/>
    <col min="13" max="13" width="7.625" style="143" customWidth="1"/>
    <col min="14" max="14" width="9.75390625" style="144" customWidth="1"/>
    <col min="15" max="15" width="6.875" style="310" bestFit="1" customWidth="1"/>
    <col min="16" max="16384" width="9.125" style="142" customWidth="1"/>
  </cols>
  <sheetData>
    <row r="2" ht="12.75" customHeight="1">
      <c r="O2" s="309"/>
    </row>
    <row r="4" ht="12.75" customHeight="1" thickBot="1">
      <c r="N4" s="144" t="s">
        <v>297</v>
      </c>
    </row>
    <row r="5" spans="1:15" s="146" customFormat="1" ht="19.5" customHeight="1">
      <c r="A5" s="2009" t="s">
        <v>433</v>
      </c>
      <c r="B5" s="2010"/>
      <c r="C5" s="145" t="s">
        <v>437</v>
      </c>
      <c r="D5" s="145" t="s">
        <v>438</v>
      </c>
      <c r="E5" s="145" t="s">
        <v>1291</v>
      </c>
      <c r="F5" s="145" t="s">
        <v>439</v>
      </c>
      <c r="G5" s="145" t="s">
        <v>440</v>
      </c>
      <c r="H5" s="2020" t="s">
        <v>403</v>
      </c>
      <c r="I5" s="2021"/>
      <c r="J5" s="145" t="s">
        <v>359</v>
      </c>
      <c r="K5" s="145" t="s">
        <v>441</v>
      </c>
      <c r="L5" s="218" t="s">
        <v>1292</v>
      </c>
      <c r="M5" s="145"/>
      <c r="N5" s="145" t="s">
        <v>371</v>
      </c>
      <c r="O5" s="212" t="s">
        <v>442</v>
      </c>
    </row>
    <row r="6" spans="1:15" s="146" customFormat="1" ht="12.75" customHeight="1">
      <c r="A6" s="2011" t="s">
        <v>443</v>
      </c>
      <c r="B6" s="2012"/>
      <c r="C6" s="147" t="s">
        <v>444</v>
      </c>
      <c r="D6" s="147" t="s">
        <v>886</v>
      </c>
      <c r="E6" s="147" t="s">
        <v>446</v>
      </c>
      <c r="F6" s="147" t="s">
        <v>447</v>
      </c>
      <c r="G6" s="147" t="s">
        <v>448</v>
      </c>
      <c r="H6" s="2025" t="s">
        <v>484</v>
      </c>
      <c r="I6" s="2018" t="s">
        <v>482</v>
      </c>
      <c r="J6" s="147" t="s">
        <v>449</v>
      </c>
      <c r="K6" s="147" t="s">
        <v>450</v>
      </c>
      <c r="L6" s="147" t="s">
        <v>50</v>
      </c>
      <c r="M6" s="147" t="s">
        <v>357</v>
      </c>
      <c r="N6" s="147" t="s">
        <v>311</v>
      </c>
      <c r="O6" s="208" t="s">
        <v>451</v>
      </c>
    </row>
    <row r="7" spans="1:15" s="146" customFormat="1" ht="20.25" customHeight="1" thickBot="1">
      <c r="A7" s="2013" t="s">
        <v>452</v>
      </c>
      <c r="B7" s="2014"/>
      <c r="C7" s="148"/>
      <c r="D7" s="148" t="s">
        <v>465</v>
      </c>
      <c r="E7" s="148" t="s">
        <v>453</v>
      </c>
      <c r="F7" s="148"/>
      <c r="G7" s="148" t="s">
        <v>454</v>
      </c>
      <c r="H7" s="2026"/>
      <c r="I7" s="2019"/>
      <c r="J7" s="148" t="s">
        <v>311</v>
      </c>
      <c r="K7" s="148" t="s">
        <v>455</v>
      </c>
      <c r="L7" s="148" t="s">
        <v>49</v>
      </c>
      <c r="M7" s="148"/>
      <c r="N7" s="148"/>
      <c r="O7" s="214"/>
    </row>
    <row r="8" spans="1:15" s="153" customFormat="1" ht="11.25" customHeight="1">
      <c r="A8" s="149" t="s">
        <v>312</v>
      </c>
      <c r="B8" s="150"/>
      <c r="C8" s="293" t="s">
        <v>521</v>
      </c>
      <c r="D8" s="294"/>
      <c r="E8" s="294"/>
      <c r="F8" s="295"/>
      <c r="G8" s="294"/>
      <c r="H8" s="294"/>
      <c r="I8" s="294"/>
      <c r="J8" s="194"/>
      <c r="K8" s="294"/>
      <c r="L8" s="294"/>
      <c r="M8" s="294"/>
      <c r="N8" s="188"/>
      <c r="O8" s="212"/>
    </row>
    <row r="9" spans="1:15" s="153" customFormat="1" ht="11.25" customHeight="1">
      <c r="A9" s="154"/>
      <c r="B9" s="155"/>
      <c r="C9" s="287" t="s">
        <v>623</v>
      </c>
      <c r="D9" s="174">
        <v>50175</v>
      </c>
      <c r="E9" s="174">
        <v>12961</v>
      </c>
      <c r="F9" s="175">
        <v>27364</v>
      </c>
      <c r="G9" s="174"/>
      <c r="H9" s="174"/>
      <c r="I9" s="174"/>
      <c r="J9" s="176">
        <f aca="true" t="shared" si="0" ref="J9:J39">SUM(D9:I9)</f>
        <v>90500</v>
      </c>
      <c r="K9" s="174"/>
      <c r="L9" s="174"/>
      <c r="M9" s="174"/>
      <c r="N9" s="177">
        <f>SUM(J9:M9)</f>
        <v>90500</v>
      </c>
      <c r="O9" s="210">
        <v>30</v>
      </c>
    </row>
    <row r="10" spans="1:15" s="153" customFormat="1" ht="11.25" customHeight="1">
      <c r="A10" s="154"/>
      <c r="B10" s="155"/>
      <c r="C10" s="287" t="s">
        <v>624</v>
      </c>
      <c r="D10" s="174">
        <v>26066</v>
      </c>
      <c r="E10" s="174">
        <v>6746</v>
      </c>
      <c r="F10" s="175">
        <v>13695</v>
      </c>
      <c r="G10" s="174"/>
      <c r="H10" s="174"/>
      <c r="I10" s="174"/>
      <c r="J10" s="176">
        <f t="shared" si="0"/>
        <v>46507</v>
      </c>
      <c r="K10" s="174"/>
      <c r="L10" s="174"/>
      <c r="M10" s="174"/>
      <c r="N10" s="177">
        <f aca="true" t="shared" si="1" ref="N10:N35">SUM(J10:M10)</f>
        <v>46507</v>
      </c>
      <c r="O10" s="210">
        <v>15</v>
      </c>
    </row>
    <row r="11" spans="1:15" s="153" customFormat="1" ht="11.25" customHeight="1">
      <c r="A11" s="154"/>
      <c r="B11" s="155"/>
      <c r="C11" s="287" t="s">
        <v>625</v>
      </c>
      <c r="D11" s="174">
        <f>26042+19</f>
        <v>26061</v>
      </c>
      <c r="E11" s="174">
        <v>6745</v>
      </c>
      <c r="F11" s="175">
        <v>13701</v>
      </c>
      <c r="G11" s="174"/>
      <c r="H11" s="174"/>
      <c r="I11" s="174"/>
      <c r="J11" s="176">
        <f t="shared" si="0"/>
        <v>46507</v>
      </c>
      <c r="K11" s="174"/>
      <c r="L11" s="174"/>
      <c r="M11" s="174"/>
      <c r="N11" s="177">
        <f t="shared" si="1"/>
        <v>46507</v>
      </c>
      <c r="O11" s="210">
        <v>14</v>
      </c>
    </row>
    <row r="12" spans="1:15" ht="11.25" customHeight="1">
      <c r="A12" s="154" t="s">
        <v>314</v>
      </c>
      <c r="B12" s="155"/>
      <c r="C12" s="173" t="s">
        <v>44</v>
      </c>
      <c r="D12" s="175"/>
      <c r="E12" s="174"/>
      <c r="F12" s="175"/>
      <c r="G12" s="174"/>
      <c r="H12" s="174"/>
      <c r="I12" s="174"/>
      <c r="J12" s="176"/>
      <c r="K12" s="174"/>
      <c r="L12" s="174"/>
      <c r="M12" s="174"/>
      <c r="N12" s="177"/>
      <c r="O12" s="210"/>
    </row>
    <row r="13" spans="1:15" ht="11.25" customHeight="1">
      <c r="A13" s="154"/>
      <c r="B13" s="155"/>
      <c r="C13" s="287" t="s">
        <v>623</v>
      </c>
      <c r="D13" s="175">
        <v>24700</v>
      </c>
      <c r="E13" s="174">
        <v>6392</v>
      </c>
      <c r="F13" s="175">
        <v>10910</v>
      </c>
      <c r="G13" s="174"/>
      <c r="H13" s="174"/>
      <c r="I13" s="174"/>
      <c r="J13" s="176">
        <f t="shared" si="0"/>
        <v>42002</v>
      </c>
      <c r="K13" s="174"/>
      <c r="L13" s="174"/>
      <c r="M13" s="174"/>
      <c r="N13" s="177">
        <f t="shared" si="1"/>
        <v>42002</v>
      </c>
      <c r="O13" s="210">
        <v>13.3</v>
      </c>
    </row>
    <row r="14" spans="1:15" ht="11.25" customHeight="1">
      <c r="A14" s="154"/>
      <c r="B14" s="155"/>
      <c r="C14" s="287" t="s">
        <v>624</v>
      </c>
      <c r="D14" s="175">
        <v>36493</v>
      </c>
      <c r="E14" s="174">
        <v>9560</v>
      </c>
      <c r="F14" s="175">
        <v>17852</v>
      </c>
      <c r="G14" s="174"/>
      <c r="H14" s="174"/>
      <c r="I14" s="174"/>
      <c r="J14" s="176">
        <f t="shared" si="0"/>
        <v>63905</v>
      </c>
      <c r="K14" s="174"/>
      <c r="L14" s="174"/>
      <c r="M14" s="174"/>
      <c r="N14" s="177">
        <f t="shared" si="1"/>
        <v>63905</v>
      </c>
      <c r="O14" s="210">
        <v>20.8</v>
      </c>
    </row>
    <row r="15" spans="1:15" ht="11.25" customHeight="1">
      <c r="A15" s="154"/>
      <c r="B15" s="155"/>
      <c r="C15" s="287" t="s">
        <v>625</v>
      </c>
      <c r="D15" s="175">
        <f>34599+634</f>
        <v>35233</v>
      </c>
      <c r="E15" s="174">
        <v>9102</v>
      </c>
      <c r="F15" s="175">
        <f>1190+10832+2167+826+1</f>
        <v>15016</v>
      </c>
      <c r="G15" s="174"/>
      <c r="H15" s="174"/>
      <c r="I15" s="174"/>
      <c r="J15" s="176">
        <f t="shared" si="0"/>
        <v>59351</v>
      </c>
      <c r="K15" s="174"/>
      <c r="L15" s="174"/>
      <c r="M15" s="174"/>
      <c r="N15" s="177">
        <f t="shared" si="1"/>
        <v>59351</v>
      </c>
      <c r="O15" s="210">
        <v>18</v>
      </c>
    </row>
    <row r="16" spans="1:15" ht="11.25" customHeight="1">
      <c r="A16" s="154" t="s">
        <v>316</v>
      </c>
      <c r="B16" s="155"/>
      <c r="C16" s="173" t="s">
        <v>522</v>
      </c>
      <c r="D16" s="174"/>
      <c r="E16" s="174"/>
      <c r="F16" s="175"/>
      <c r="G16" s="174"/>
      <c r="H16" s="174"/>
      <c r="I16" s="174"/>
      <c r="J16" s="176"/>
      <c r="K16" s="174"/>
      <c r="L16" s="174"/>
      <c r="M16" s="174"/>
      <c r="N16" s="177"/>
      <c r="O16" s="210"/>
    </row>
    <row r="17" spans="1:15" ht="11.25" customHeight="1">
      <c r="A17" s="154"/>
      <c r="B17" s="155"/>
      <c r="C17" s="287" t="s">
        <v>623</v>
      </c>
      <c r="D17" s="174">
        <v>73514</v>
      </c>
      <c r="E17" s="174">
        <v>18974</v>
      </c>
      <c r="F17" s="175">
        <v>9493</v>
      </c>
      <c r="G17" s="174"/>
      <c r="H17" s="174"/>
      <c r="I17" s="174"/>
      <c r="J17" s="176">
        <f t="shared" si="0"/>
        <v>101981</v>
      </c>
      <c r="K17" s="174"/>
      <c r="L17" s="174"/>
      <c r="M17" s="174"/>
      <c r="N17" s="177">
        <f t="shared" si="1"/>
        <v>101981</v>
      </c>
      <c r="O17" s="210">
        <v>35.1</v>
      </c>
    </row>
    <row r="18" spans="1:15" ht="11.25" customHeight="1">
      <c r="A18" s="154"/>
      <c r="B18" s="155"/>
      <c r="C18" s="287" t="s">
        <v>624</v>
      </c>
      <c r="D18" s="174">
        <v>75231</v>
      </c>
      <c r="E18" s="174">
        <v>19393</v>
      </c>
      <c r="F18" s="175">
        <v>8602</v>
      </c>
      <c r="G18" s="174"/>
      <c r="H18" s="174"/>
      <c r="I18" s="174"/>
      <c r="J18" s="176">
        <f t="shared" si="0"/>
        <v>103226</v>
      </c>
      <c r="K18" s="174"/>
      <c r="L18" s="174"/>
      <c r="M18" s="174"/>
      <c r="N18" s="177">
        <f t="shared" si="1"/>
        <v>103226</v>
      </c>
      <c r="O18" s="210">
        <v>35.1</v>
      </c>
    </row>
    <row r="19" spans="1:15" ht="11.25" customHeight="1">
      <c r="A19" s="154"/>
      <c r="B19" s="155"/>
      <c r="C19" s="287" t="s">
        <v>625</v>
      </c>
      <c r="D19" s="174">
        <f>39264+1980+13660+4577+7190+129+3266+129+1</f>
        <v>70196</v>
      </c>
      <c r="E19" s="174">
        <f>11054+4572+1874+902+1</f>
        <v>18403</v>
      </c>
      <c r="F19" s="175">
        <v>6273</v>
      </c>
      <c r="G19" s="174"/>
      <c r="H19" s="174"/>
      <c r="I19" s="174"/>
      <c r="J19" s="176">
        <f t="shared" si="0"/>
        <v>94872</v>
      </c>
      <c r="K19" s="174"/>
      <c r="L19" s="174"/>
      <c r="M19" s="174"/>
      <c r="N19" s="177">
        <f t="shared" si="1"/>
        <v>94872</v>
      </c>
      <c r="O19" s="210">
        <v>27</v>
      </c>
    </row>
    <row r="20" spans="1:15" ht="11.25" customHeight="1">
      <c r="A20" s="154" t="s">
        <v>318</v>
      </c>
      <c r="B20" s="155"/>
      <c r="C20" s="173" t="s">
        <v>523</v>
      </c>
      <c r="D20" s="174"/>
      <c r="E20" s="174"/>
      <c r="F20" s="175"/>
      <c r="G20" s="174"/>
      <c r="H20" s="174"/>
      <c r="I20" s="174"/>
      <c r="J20" s="176"/>
      <c r="K20" s="174"/>
      <c r="L20" s="174"/>
      <c r="M20" s="174"/>
      <c r="N20" s="177"/>
      <c r="O20" s="210"/>
    </row>
    <row r="21" spans="1:15" ht="11.25" customHeight="1">
      <c r="A21" s="154"/>
      <c r="B21" s="155"/>
      <c r="C21" s="287" t="s">
        <v>623</v>
      </c>
      <c r="D21" s="174">
        <v>12189</v>
      </c>
      <c r="E21" s="174">
        <v>3126</v>
      </c>
      <c r="F21" s="175">
        <v>6741</v>
      </c>
      <c r="G21" s="174"/>
      <c r="H21" s="174"/>
      <c r="I21" s="174"/>
      <c r="J21" s="176">
        <f t="shared" si="0"/>
        <v>22056</v>
      </c>
      <c r="K21" s="174"/>
      <c r="L21" s="174"/>
      <c r="M21" s="174"/>
      <c r="N21" s="177">
        <f t="shared" si="1"/>
        <v>22056</v>
      </c>
      <c r="O21" s="210">
        <v>7</v>
      </c>
    </row>
    <row r="22" spans="1:15" ht="11.25" customHeight="1">
      <c r="A22" s="154"/>
      <c r="B22" s="155"/>
      <c r="C22" s="287" t="s">
        <v>624</v>
      </c>
      <c r="D22" s="174">
        <v>12656</v>
      </c>
      <c r="E22" s="174">
        <v>3186</v>
      </c>
      <c r="F22" s="175">
        <v>7469</v>
      </c>
      <c r="G22" s="174"/>
      <c r="H22" s="174"/>
      <c r="I22" s="174"/>
      <c r="J22" s="176">
        <f t="shared" si="0"/>
        <v>23311</v>
      </c>
      <c r="K22" s="174"/>
      <c r="L22" s="174"/>
      <c r="M22" s="174"/>
      <c r="N22" s="177">
        <f t="shared" si="1"/>
        <v>23311</v>
      </c>
      <c r="O22" s="210">
        <v>7</v>
      </c>
    </row>
    <row r="23" spans="1:15" ht="11.25" customHeight="1">
      <c r="A23" s="154"/>
      <c r="B23" s="155"/>
      <c r="C23" s="287" t="s">
        <v>625</v>
      </c>
      <c r="D23" s="174">
        <f>11392+585</f>
        <v>11977</v>
      </c>
      <c r="E23" s="174">
        <v>3001</v>
      </c>
      <c r="F23" s="175">
        <f>2060+2804+1219+175-1</f>
        <v>6257</v>
      </c>
      <c r="G23" s="174"/>
      <c r="H23" s="174"/>
      <c r="I23" s="174"/>
      <c r="J23" s="176">
        <f t="shared" si="0"/>
        <v>21235</v>
      </c>
      <c r="K23" s="174"/>
      <c r="L23" s="174"/>
      <c r="M23" s="174"/>
      <c r="N23" s="177">
        <f t="shared" si="1"/>
        <v>21235</v>
      </c>
      <c r="O23" s="210">
        <v>7</v>
      </c>
    </row>
    <row r="24" spans="1:15" ht="11.25" customHeight="1">
      <c r="A24" s="154" t="s">
        <v>320</v>
      </c>
      <c r="B24" s="155"/>
      <c r="C24" s="173" t="s">
        <v>516</v>
      </c>
      <c r="D24" s="174"/>
      <c r="E24" s="174"/>
      <c r="F24" s="175"/>
      <c r="G24" s="174"/>
      <c r="H24" s="174"/>
      <c r="I24" s="174"/>
      <c r="J24" s="176"/>
      <c r="K24" s="174"/>
      <c r="L24" s="174"/>
      <c r="M24" s="174"/>
      <c r="N24" s="177"/>
      <c r="O24" s="210"/>
    </row>
    <row r="25" spans="1:15" ht="11.25" customHeight="1">
      <c r="A25" s="154"/>
      <c r="B25" s="155"/>
      <c r="C25" s="287" t="s">
        <v>623</v>
      </c>
      <c r="D25" s="174">
        <v>16269</v>
      </c>
      <c r="E25" s="174">
        <v>4208</v>
      </c>
      <c r="F25" s="175">
        <v>7402</v>
      </c>
      <c r="G25" s="174"/>
      <c r="H25" s="174"/>
      <c r="I25" s="174"/>
      <c r="J25" s="176">
        <f t="shared" si="0"/>
        <v>27879</v>
      </c>
      <c r="K25" s="174">
        <v>24</v>
      </c>
      <c r="L25" s="174"/>
      <c r="M25" s="174"/>
      <c r="N25" s="177">
        <f t="shared" si="1"/>
        <v>27903</v>
      </c>
      <c r="O25" s="210">
        <v>9</v>
      </c>
    </row>
    <row r="26" spans="1:15" ht="11.25" customHeight="1">
      <c r="A26" s="154"/>
      <c r="B26" s="155"/>
      <c r="C26" s="287" t="s">
        <v>624</v>
      </c>
      <c r="D26" s="174">
        <v>16800</v>
      </c>
      <c r="E26" s="174">
        <v>4326</v>
      </c>
      <c r="F26" s="175">
        <v>8590</v>
      </c>
      <c r="G26" s="174"/>
      <c r="H26" s="174"/>
      <c r="I26" s="174"/>
      <c r="J26" s="176">
        <f t="shared" si="0"/>
        <v>29716</v>
      </c>
      <c r="K26" s="174">
        <v>24</v>
      </c>
      <c r="L26" s="174"/>
      <c r="M26" s="174"/>
      <c r="N26" s="177">
        <f t="shared" si="1"/>
        <v>29740</v>
      </c>
      <c r="O26" s="210">
        <v>9</v>
      </c>
    </row>
    <row r="27" spans="1:15" ht="11.25" customHeight="1">
      <c r="A27" s="154"/>
      <c r="B27" s="155"/>
      <c r="C27" s="287" t="s">
        <v>625</v>
      </c>
      <c r="D27" s="174">
        <v>16266</v>
      </c>
      <c r="E27" s="174">
        <v>4146</v>
      </c>
      <c r="F27" s="175">
        <f>3831+3098+1007+166</f>
        <v>8102</v>
      </c>
      <c r="G27" s="174"/>
      <c r="H27" s="174"/>
      <c r="I27" s="174"/>
      <c r="J27" s="176">
        <f t="shared" si="0"/>
        <v>28514</v>
      </c>
      <c r="K27" s="174">
        <v>24</v>
      </c>
      <c r="L27" s="174"/>
      <c r="M27" s="174"/>
      <c r="N27" s="177">
        <f t="shared" si="1"/>
        <v>28538</v>
      </c>
      <c r="O27" s="210">
        <v>8</v>
      </c>
    </row>
    <row r="28" spans="1:15" ht="11.25" customHeight="1">
      <c r="A28" s="154" t="s">
        <v>322</v>
      </c>
      <c r="B28" s="155"/>
      <c r="C28" s="173" t="s">
        <v>519</v>
      </c>
      <c r="D28" s="174"/>
      <c r="E28" s="174"/>
      <c r="F28" s="175"/>
      <c r="G28" s="174"/>
      <c r="H28" s="174"/>
      <c r="I28" s="174"/>
      <c r="J28" s="176"/>
      <c r="K28" s="174"/>
      <c r="L28" s="174"/>
      <c r="M28" s="174"/>
      <c r="N28" s="177"/>
      <c r="O28" s="210"/>
    </row>
    <row r="29" spans="1:15" ht="11.25" customHeight="1">
      <c r="A29" s="158"/>
      <c r="B29" s="159"/>
      <c r="C29" s="287" t="s">
        <v>623</v>
      </c>
      <c r="D29" s="174">
        <v>12681</v>
      </c>
      <c r="E29" s="174">
        <v>3310</v>
      </c>
      <c r="F29" s="175">
        <v>5612</v>
      </c>
      <c r="G29" s="174"/>
      <c r="H29" s="174"/>
      <c r="I29" s="174"/>
      <c r="J29" s="176">
        <f t="shared" si="0"/>
        <v>21603</v>
      </c>
      <c r="K29" s="174"/>
      <c r="L29" s="174"/>
      <c r="M29" s="174"/>
      <c r="N29" s="177">
        <f t="shared" si="1"/>
        <v>21603</v>
      </c>
      <c r="O29" s="210">
        <v>6</v>
      </c>
    </row>
    <row r="30" spans="1:15" ht="11.25" customHeight="1">
      <c r="A30" s="171"/>
      <c r="B30" s="298"/>
      <c r="C30" s="287" t="s">
        <v>624</v>
      </c>
      <c r="D30" s="174">
        <v>13590</v>
      </c>
      <c r="E30" s="174">
        <v>3460</v>
      </c>
      <c r="F30" s="175">
        <v>7239</v>
      </c>
      <c r="G30" s="174"/>
      <c r="H30" s="174"/>
      <c r="I30" s="174"/>
      <c r="J30" s="176">
        <f t="shared" si="0"/>
        <v>24289</v>
      </c>
      <c r="K30" s="174">
        <v>400</v>
      </c>
      <c r="L30" s="174"/>
      <c r="M30" s="174"/>
      <c r="N30" s="177">
        <f t="shared" si="1"/>
        <v>24689</v>
      </c>
      <c r="O30" s="210">
        <v>6</v>
      </c>
    </row>
    <row r="31" spans="1:15" ht="11.25" customHeight="1">
      <c r="A31" s="171"/>
      <c r="B31" s="298"/>
      <c r="C31" s="287" t="s">
        <v>625</v>
      </c>
      <c r="D31" s="174">
        <f>13298+35</f>
        <v>13333</v>
      </c>
      <c r="E31" s="174">
        <v>3341</v>
      </c>
      <c r="F31" s="175">
        <v>6196</v>
      </c>
      <c r="G31" s="174"/>
      <c r="H31" s="174"/>
      <c r="I31" s="174"/>
      <c r="J31" s="176">
        <f t="shared" si="0"/>
        <v>22870</v>
      </c>
      <c r="K31" s="174"/>
      <c r="L31" s="174"/>
      <c r="M31" s="174"/>
      <c r="N31" s="177">
        <f t="shared" si="1"/>
        <v>22870</v>
      </c>
      <c r="O31" s="210">
        <v>7</v>
      </c>
    </row>
    <row r="32" spans="1:15" ht="11.25" customHeight="1">
      <c r="A32" s="171" t="s">
        <v>346</v>
      </c>
      <c r="B32" s="298"/>
      <c r="C32" s="173" t="s">
        <v>520</v>
      </c>
      <c r="D32" s="174"/>
      <c r="E32" s="174"/>
      <c r="F32" s="175"/>
      <c r="G32" s="174"/>
      <c r="H32" s="174"/>
      <c r="I32" s="174"/>
      <c r="J32" s="176"/>
      <c r="K32" s="174"/>
      <c r="L32" s="174"/>
      <c r="M32" s="174"/>
      <c r="N32" s="177"/>
      <c r="O32" s="210"/>
    </row>
    <row r="33" spans="1:15" ht="11.25" customHeight="1">
      <c r="A33" s="171"/>
      <c r="B33" s="298"/>
      <c r="C33" s="287" t="s">
        <v>623</v>
      </c>
      <c r="D33" s="174">
        <v>125349</v>
      </c>
      <c r="E33" s="174">
        <v>30318</v>
      </c>
      <c r="F33" s="175">
        <v>6121</v>
      </c>
      <c r="G33" s="174"/>
      <c r="H33" s="174"/>
      <c r="I33" s="174"/>
      <c r="J33" s="176">
        <f t="shared" si="0"/>
        <v>161788</v>
      </c>
      <c r="K33" s="174">
        <v>201</v>
      </c>
      <c r="L33" s="174"/>
      <c r="M33" s="174"/>
      <c r="N33" s="177">
        <f t="shared" si="1"/>
        <v>161989</v>
      </c>
      <c r="O33" s="210">
        <v>43</v>
      </c>
    </row>
    <row r="34" spans="1:15" ht="11.25" customHeight="1">
      <c r="A34" s="171"/>
      <c r="B34" s="298"/>
      <c r="C34" s="287" t="s">
        <v>624</v>
      </c>
      <c r="D34" s="174">
        <v>157066</v>
      </c>
      <c r="E34" s="174">
        <v>41657</v>
      </c>
      <c r="F34" s="175">
        <v>19635</v>
      </c>
      <c r="G34" s="174"/>
      <c r="H34" s="174"/>
      <c r="I34" s="174"/>
      <c r="J34" s="176">
        <f t="shared" si="0"/>
        <v>218358</v>
      </c>
      <c r="K34" s="174">
        <v>251</v>
      </c>
      <c r="L34" s="174"/>
      <c r="M34" s="174"/>
      <c r="N34" s="177">
        <f t="shared" si="1"/>
        <v>218609</v>
      </c>
      <c r="O34" s="210">
        <v>43</v>
      </c>
    </row>
    <row r="35" spans="1:15" ht="11.25" customHeight="1" thickBot="1">
      <c r="A35" s="158"/>
      <c r="B35" s="159"/>
      <c r="C35" s="287" t="s">
        <v>625</v>
      </c>
      <c r="D35" s="160">
        <v>155671</v>
      </c>
      <c r="E35" s="160">
        <v>41118</v>
      </c>
      <c r="F35" s="161">
        <v>18837</v>
      </c>
      <c r="G35" s="160"/>
      <c r="H35" s="160"/>
      <c r="I35" s="160"/>
      <c r="J35" s="162">
        <f t="shared" si="0"/>
        <v>215626</v>
      </c>
      <c r="K35" s="160">
        <v>200</v>
      </c>
      <c r="L35" s="160"/>
      <c r="M35" s="160"/>
      <c r="N35" s="157">
        <f t="shared" si="1"/>
        <v>215826</v>
      </c>
      <c r="O35" s="207">
        <v>41</v>
      </c>
    </row>
    <row r="36" spans="1:15" ht="12.75" customHeight="1" thickBot="1">
      <c r="A36" s="2029" t="s">
        <v>524</v>
      </c>
      <c r="B36" s="2030"/>
      <c r="C36" s="2030"/>
      <c r="D36" s="164"/>
      <c r="E36" s="164"/>
      <c r="F36" s="164"/>
      <c r="G36" s="164"/>
      <c r="H36" s="164"/>
      <c r="I36" s="164"/>
      <c r="J36" s="194"/>
      <c r="K36" s="164"/>
      <c r="L36" s="164"/>
      <c r="M36" s="164"/>
      <c r="N36" s="164"/>
      <c r="O36" s="213"/>
    </row>
    <row r="37" spans="1:15" ht="12.75" customHeight="1">
      <c r="A37" s="289"/>
      <c r="B37" s="290"/>
      <c r="C37" s="287" t="s">
        <v>623</v>
      </c>
      <c r="D37" s="194">
        <f aca="true" t="shared" si="2" ref="D37:I37">D9+D13+D17+D21+D25+D29+D33</f>
        <v>314877</v>
      </c>
      <c r="E37" s="194">
        <f t="shared" si="2"/>
        <v>79289</v>
      </c>
      <c r="F37" s="194">
        <f t="shared" si="2"/>
        <v>73643</v>
      </c>
      <c r="G37" s="194">
        <f t="shared" si="2"/>
        <v>0</v>
      </c>
      <c r="H37" s="194">
        <f t="shared" si="2"/>
        <v>0</v>
      </c>
      <c r="I37" s="194">
        <f t="shared" si="2"/>
        <v>0</v>
      </c>
      <c r="J37" s="194">
        <f t="shared" si="0"/>
        <v>467809</v>
      </c>
      <c r="K37" s="194">
        <f>K9+K13+K17+K21+K25+K29+K33</f>
        <v>225</v>
      </c>
      <c r="L37" s="194">
        <f>L9+L13+L17+L21+L25+L29+L33</f>
        <v>0</v>
      </c>
      <c r="M37" s="194">
        <f>M9+M13+M17+M21+M25+M29+M33</f>
        <v>0</v>
      </c>
      <c r="N37" s="194">
        <f>SUM(J37:M37)</f>
        <v>468034</v>
      </c>
      <c r="O37" s="212">
        <f>O9+O13+O17+O21+O25+O29+O33</f>
        <v>143.4</v>
      </c>
    </row>
    <row r="38" spans="1:15" ht="12.75" customHeight="1">
      <c r="A38" s="296"/>
      <c r="B38" s="297"/>
      <c r="C38" s="287" t="s">
        <v>624</v>
      </c>
      <c r="D38" s="176">
        <f aca="true" t="shared" si="3" ref="D38:I39">D10+D14+D18+D22+D26+D30+D34</f>
        <v>337902</v>
      </c>
      <c r="E38" s="176">
        <f t="shared" si="3"/>
        <v>88328</v>
      </c>
      <c r="F38" s="176">
        <f t="shared" si="3"/>
        <v>83082</v>
      </c>
      <c r="G38" s="176">
        <f t="shared" si="3"/>
        <v>0</v>
      </c>
      <c r="H38" s="176">
        <f t="shared" si="3"/>
        <v>0</v>
      </c>
      <c r="I38" s="176">
        <f t="shared" si="3"/>
        <v>0</v>
      </c>
      <c r="J38" s="176">
        <f t="shared" si="0"/>
        <v>509312</v>
      </c>
      <c r="K38" s="176">
        <f aca="true" t="shared" si="4" ref="K38:M39">K10+K14+K18+K22+K26+K30+K34</f>
        <v>675</v>
      </c>
      <c r="L38" s="176">
        <f t="shared" si="4"/>
        <v>0</v>
      </c>
      <c r="M38" s="176">
        <f t="shared" si="4"/>
        <v>0</v>
      </c>
      <c r="N38" s="176">
        <f>SUM(J38:M38)</f>
        <v>509987</v>
      </c>
      <c r="O38" s="210">
        <f>O10+O14+O18+O22+O26+O30+O34</f>
        <v>135.9</v>
      </c>
    </row>
    <row r="39" spans="1:15" ht="12.75" customHeight="1" thickBot="1">
      <c r="A39" s="291"/>
      <c r="B39" s="292"/>
      <c r="C39" s="287" t="s">
        <v>625</v>
      </c>
      <c r="D39" s="156">
        <f t="shared" si="3"/>
        <v>328737</v>
      </c>
      <c r="E39" s="156">
        <f t="shared" si="3"/>
        <v>85856</v>
      </c>
      <c r="F39" s="156">
        <f t="shared" si="3"/>
        <v>74382</v>
      </c>
      <c r="G39" s="156">
        <f t="shared" si="3"/>
        <v>0</v>
      </c>
      <c r="H39" s="156">
        <f t="shared" si="3"/>
        <v>0</v>
      </c>
      <c r="I39" s="156">
        <f t="shared" si="3"/>
        <v>0</v>
      </c>
      <c r="J39" s="196">
        <f t="shared" si="0"/>
        <v>488975</v>
      </c>
      <c r="K39" s="156">
        <f t="shared" si="4"/>
        <v>224</v>
      </c>
      <c r="L39" s="156">
        <f t="shared" si="4"/>
        <v>0</v>
      </c>
      <c r="M39" s="156">
        <f t="shared" si="4"/>
        <v>0</v>
      </c>
      <c r="N39" s="156">
        <f>SUM(J39:M39)</f>
        <v>489199</v>
      </c>
      <c r="O39" s="208">
        <f>O11+O15+O19+O23+O27+O31+O35</f>
        <v>122</v>
      </c>
    </row>
    <row r="40" spans="1:15" ht="12.75" customHeight="1">
      <c r="A40" s="186" t="s">
        <v>347</v>
      </c>
      <c r="B40" s="202"/>
      <c r="C40" s="202" t="s">
        <v>5</v>
      </c>
      <c r="D40" s="194"/>
      <c r="E40" s="595"/>
      <c r="F40" s="595"/>
      <c r="G40" s="194"/>
      <c r="H40" s="194"/>
      <c r="I40" s="194"/>
      <c r="J40" s="194"/>
      <c r="K40" s="194"/>
      <c r="L40" s="194"/>
      <c r="M40" s="194"/>
      <c r="N40" s="194"/>
      <c r="O40" s="212"/>
    </row>
    <row r="41" spans="1:15" ht="12.75" customHeight="1">
      <c r="A41" s="171"/>
      <c r="B41" s="300"/>
      <c r="C41" s="287" t="s">
        <v>623</v>
      </c>
      <c r="D41" s="176">
        <f aca="true" t="shared" si="5" ref="D41:I41">D45+D49+D53+D57+D61+D65+D69</f>
        <v>189198</v>
      </c>
      <c r="E41" s="176">
        <f t="shared" si="5"/>
        <v>51094</v>
      </c>
      <c r="F41" s="176">
        <f t="shared" si="5"/>
        <v>44733</v>
      </c>
      <c r="G41" s="176">
        <f t="shared" si="5"/>
        <v>0</v>
      </c>
      <c r="H41" s="176">
        <f t="shared" si="5"/>
        <v>0</v>
      </c>
      <c r="I41" s="176">
        <f t="shared" si="5"/>
        <v>0</v>
      </c>
      <c r="J41" s="176">
        <f>SUM(D41:I41)</f>
        <v>285025</v>
      </c>
      <c r="K41" s="176">
        <f>K45+K49+K53+K57</f>
        <v>2344</v>
      </c>
      <c r="L41" s="176">
        <f>L45+L49+L53+L57</f>
        <v>0</v>
      </c>
      <c r="M41" s="176">
        <f>M45+M49+M53+M57</f>
        <v>0</v>
      </c>
      <c r="N41" s="176">
        <f>SUM(J41:M41)</f>
        <v>287369</v>
      </c>
      <c r="O41" s="210">
        <f>O45+O49+O53+O57</f>
        <v>63.800000000000004</v>
      </c>
    </row>
    <row r="42" spans="1:15" ht="12.75" customHeight="1">
      <c r="A42" s="171"/>
      <c r="B42" s="300"/>
      <c r="C42" s="287" t="s">
        <v>624</v>
      </c>
      <c r="D42" s="176">
        <f aca="true" t="shared" si="6" ref="D42:I42">D46+D50+D54+D58+D62+D66+D70</f>
        <v>210042</v>
      </c>
      <c r="E42" s="176">
        <f t="shared" si="6"/>
        <v>56383</v>
      </c>
      <c r="F42" s="176">
        <f t="shared" si="6"/>
        <v>56548</v>
      </c>
      <c r="G42" s="176">
        <f t="shared" si="6"/>
        <v>0</v>
      </c>
      <c r="H42" s="176">
        <f t="shared" si="6"/>
        <v>120</v>
      </c>
      <c r="I42" s="176">
        <f t="shared" si="6"/>
        <v>0</v>
      </c>
      <c r="J42" s="176">
        <f>SUM(D42:I42)</f>
        <v>323093</v>
      </c>
      <c r="K42" s="176">
        <f aca="true" t="shared" si="7" ref="K42:M43">K46+K50+K54+K58</f>
        <v>5134</v>
      </c>
      <c r="L42" s="176">
        <f t="shared" si="7"/>
        <v>0</v>
      </c>
      <c r="M42" s="176">
        <f t="shared" si="7"/>
        <v>0</v>
      </c>
      <c r="N42" s="176">
        <f aca="true" t="shared" si="8" ref="N42:N68">SUM(J42:M42)</f>
        <v>328227</v>
      </c>
      <c r="O42" s="210">
        <f>O46+O50+O54+O58+O70</f>
        <v>66.26</v>
      </c>
    </row>
    <row r="43" spans="1:15" ht="12.75" customHeight="1">
      <c r="A43" s="171"/>
      <c r="B43" s="300"/>
      <c r="C43" s="287" t="s">
        <v>625</v>
      </c>
      <c r="D43" s="176">
        <f>D47+D51+D55+D59+D63+D67+D71</f>
        <v>193646</v>
      </c>
      <c r="E43" s="176">
        <f>E47+E51+E55+E59+E63+E67+E71</f>
        <v>49100</v>
      </c>
      <c r="F43" s="176">
        <f>F47+F51+F55+F59+F63+F67+F71</f>
        <v>54634</v>
      </c>
      <c r="G43" s="176">
        <f>G47+G51+G55+G59+G63+G67+G71</f>
        <v>0</v>
      </c>
      <c r="H43" s="176">
        <f>H47+H51+H55+H59+H63+H67+H71</f>
        <v>120</v>
      </c>
      <c r="I43" s="176">
        <f>I47+I51+I55+I59</f>
        <v>0</v>
      </c>
      <c r="J43" s="176">
        <f>SUM(D43:I43)</f>
        <v>297500</v>
      </c>
      <c r="K43" s="176">
        <f t="shared" si="7"/>
        <v>2636</v>
      </c>
      <c r="L43" s="176">
        <f t="shared" si="7"/>
        <v>0</v>
      </c>
      <c r="M43" s="176">
        <f t="shared" si="7"/>
        <v>0</v>
      </c>
      <c r="N43" s="176">
        <f t="shared" si="8"/>
        <v>300136</v>
      </c>
      <c r="O43" s="210">
        <f>O47+O51+O55+O59+O71</f>
        <v>57.8</v>
      </c>
    </row>
    <row r="44" spans="1:15" ht="11.25" customHeight="1">
      <c r="A44" s="203"/>
      <c r="B44" s="172" t="s">
        <v>312</v>
      </c>
      <c r="C44" s="204" t="s">
        <v>6</v>
      </c>
      <c r="D44" s="174"/>
      <c r="E44" s="174"/>
      <c r="F44" s="174"/>
      <c r="G44" s="174"/>
      <c r="H44" s="174"/>
      <c r="I44" s="174"/>
      <c r="J44" s="176"/>
      <c r="K44" s="174"/>
      <c r="L44" s="174"/>
      <c r="M44" s="174"/>
      <c r="N44" s="176"/>
      <c r="O44" s="210"/>
    </row>
    <row r="45" spans="1:15" ht="11.25" customHeight="1">
      <c r="A45" s="203"/>
      <c r="B45" s="172"/>
      <c r="C45" s="287" t="s">
        <v>623</v>
      </c>
      <c r="D45" s="174">
        <v>177216</v>
      </c>
      <c r="E45" s="174">
        <v>47849</v>
      </c>
      <c r="F45" s="174">
        <v>44443</v>
      </c>
      <c r="G45" s="174"/>
      <c r="H45" s="174"/>
      <c r="I45" s="174"/>
      <c r="J45" s="176">
        <f aca="true" t="shared" si="9" ref="J45:J58">SUM(D45:I45)</f>
        <v>269508</v>
      </c>
      <c r="K45" s="174">
        <v>2344</v>
      </c>
      <c r="L45" s="174"/>
      <c r="M45" s="174"/>
      <c r="N45" s="176">
        <f t="shared" si="8"/>
        <v>271852</v>
      </c>
      <c r="O45" s="210">
        <v>58.6</v>
      </c>
    </row>
    <row r="46" spans="1:15" ht="11.25" customHeight="1">
      <c r="A46" s="203"/>
      <c r="B46" s="172"/>
      <c r="C46" s="287" t="s">
        <v>624</v>
      </c>
      <c r="D46" s="174">
        <v>179534</v>
      </c>
      <c r="E46" s="174">
        <v>48584</v>
      </c>
      <c r="F46" s="174">
        <v>52888</v>
      </c>
      <c r="G46" s="174"/>
      <c r="H46" s="174">
        <v>120</v>
      </c>
      <c r="I46" s="174"/>
      <c r="J46" s="176">
        <f t="shared" si="9"/>
        <v>281126</v>
      </c>
      <c r="K46" s="174">
        <v>5134</v>
      </c>
      <c r="L46" s="174"/>
      <c r="M46" s="174"/>
      <c r="N46" s="176">
        <f t="shared" si="8"/>
        <v>286260</v>
      </c>
      <c r="O46" s="210">
        <v>58.6</v>
      </c>
    </row>
    <row r="47" spans="1:15" ht="11.25" customHeight="1">
      <c r="A47" s="203"/>
      <c r="B47" s="172"/>
      <c r="C47" s="287" t="s">
        <v>625</v>
      </c>
      <c r="D47" s="174">
        <f>158363+6242+1</f>
        <v>164606</v>
      </c>
      <c r="E47" s="174">
        <f>41800+2</f>
        <v>41802</v>
      </c>
      <c r="F47" s="174">
        <f>4542+30815+6857+9535</f>
        <v>51749</v>
      </c>
      <c r="G47" s="174"/>
      <c r="H47" s="174">
        <v>120</v>
      </c>
      <c r="I47" s="174"/>
      <c r="J47" s="176">
        <f t="shared" si="9"/>
        <v>258277</v>
      </c>
      <c r="K47" s="174">
        <f>43+2065+527+1</f>
        <v>2636</v>
      </c>
      <c r="L47" s="174"/>
      <c r="M47" s="174"/>
      <c r="N47" s="176">
        <f t="shared" si="8"/>
        <v>260913</v>
      </c>
      <c r="O47" s="210">
        <v>53.8</v>
      </c>
    </row>
    <row r="48" spans="1:15" ht="11.25" customHeight="1">
      <c r="A48" s="203"/>
      <c r="B48" s="172" t="s">
        <v>314</v>
      </c>
      <c r="C48" s="204" t="s">
        <v>490</v>
      </c>
      <c r="D48" s="174"/>
      <c r="E48" s="174"/>
      <c r="F48" s="174"/>
      <c r="G48" s="174"/>
      <c r="H48" s="174"/>
      <c r="I48" s="174"/>
      <c r="J48" s="176"/>
      <c r="K48" s="174"/>
      <c r="L48" s="174"/>
      <c r="M48" s="174"/>
      <c r="N48" s="176"/>
      <c r="O48" s="210"/>
    </row>
    <row r="49" spans="1:15" ht="11.25" customHeight="1">
      <c r="A49" s="203"/>
      <c r="B49" s="172"/>
      <c r="C49" s="287" t="s">
        <v>623</v>
      </c>
      <c r="D49" s="174"/>
      <c r="E49" s="174"/>
      <c r="F49" s="174">
        <v>190</v>
      </c>
      <c r="G49" s="174"/>
      <c r="H49" s="174"/>
      <c r="I49" s="174"/>
      <c r="J49" s="176">
        <f t="shared" si="9"/>
        <v>190</v>
      </c>
      <c r="K49" s="174"/>
      <c r="L49" s="174"/>
      <c r="M49" s="174"/>
      <c r="N49" s="176">
        <f t="shared" si="8"/>
        <v>190</v>
      </c>
      <c r="O49" s="210">
        <v>0</v>
      </c>
    </row>
    <row r="50" spans="1:15" ht="11.25" customHeight="1">
      <c r="A50" s="203"/>
      <c r="B50" s="172"/>
      <c r="C50" s="287" t="s">
        <v>624</v>
      </c>
      <c r="D50" s="174"/>
      <c r="E50" s="174"/>
      <c r="F50" s="174">
        <v>190</v>
      </c>
      <c r="G50" s="174"/>
      <c r="H50" s="174"/>
      <c r="I50" s="174"/>
      <c r="J50" s="176">
        <f t="shared" si="9"/>
        <v>190</v>
      </c>
      <c r="K50" s="174"/>
      <c r="L50" s="174"/>
      <c r="M50" s="174"/>
      <c r="N50" s="176">
        <f t="shared" si="8"/>
        <v>190</v>
      </c>
      <c r="O50" s="210">
        <v>0</v>
      </c>
    </row>
    <row r="51" spans="1:15" ht="11.25" customHeight="1">
      <c r="A51" s="203"/>
      <c r="B51" s="172"/>
      <c r="C51" s="287" t="s">
        <v>625</v>
      </c>
      <c r="D51" s="174"/>
      <c r="E51" s="174"/>
      <c r="F51" s="174"/>
      <c r="G51" s="174"/>
      <c r="H51" s="174"/>
      <c r="I51" s="174"/>
      <c r="J51" s="176">
        <f t="shared" si="9"/>
        <v>0</v>
      </c>
      <c r="K51" s="174"/>
      <c r="L51" s="174"/>
      <c r="M51" s="174"/>
      <c r="N51" s="176">
        <f t="shared" si="8"/>
        <v>0</v>
      </c>
      <c r="O51" s="210"/>
    </row>
    <row r="52" spans="1:15" ht="11.25" customHeight="1">
      <c r="A52" s="203"/>
      <c r="B52" s="172" t="s">
        <v>316</v>
      </c>
      <c r="C52" s="204" t="s">
        <v>7</v>
      </c>
      <c r="D52" s="174"/>
      <c r="E52" s="174"/>
      <c r="F52" s="174"/>
      <c r="G52" s="174"/>
      <c r="H52" s="174"/>
      <c r="I52" s="174"/>
      <c r="J52" s="176"/>
      <c r="K52" s="174"/>
      <c r="L52" s="174"/>
      <c r="M52" s="174"/>
      <c r="N52" s="176"/>
      <c r="O52" s="210"/>
    </row>
    <row r="53" spans="1:15" ht="11.25" customHeight="1">
      <c r="A53" s="203"/>
      <c r="B53" s="172"/>
      <c r="C53" s="287" t="s">
        <v>623</v>
      </c>
      <c r="D53" s="174">
        <v>11982</v>
      </c>
      <c r="E53" s="174">
        <v>3245</v>
      </c>
      <c r="F53" s="174"/>
      <c r="G53" s="174"/>
      <c r="H53" s="174"/>
      <c r="I53" s="174"/>
      <c r="J53" s="176">
        <f t="shared" si="9"/>
        <v>15227</v>
      </c>
      <c r="K53" s="174"/>
      <c r="L53" s="174"/>
      <c r="M53" s="174"/>
      <c r="N53" s="176">
        <f t="shared" si="8"/>
        <v>15227</v>
      </c>
      <c r="O53" s="210">
        <v>5.2</v>
      </c>
    </row>
    <row r="54" spans="1:15" ht="11.25" customHeight="1">
      <c r="A54" s="203"/>
      <c r="B54" s="172"/>
      <c r="C54" s="287" t="s">
        <v>624</v>
      </c>
      <c r="D54" s="174">
        <v>12420</v>
      </c>
      <c r="E54" s="174">
        <v>3101</v>
      </c>
      <c r="F54" s="174">
        <v>170</v>
      </c>
      <c r="G54" s="174"/>
      <c r="H54" s="174"/>
      <c r="I54" s="174"/>
      <c r="J54" s="176">
        <f t="shared" si="9"/>
        <v>15691</v>
      </c>
      <c r="K54" s="174"/>
      <c r="L54" s="174"/>
      <c r="M54" s="174"/>
      <c r="N54" s="176">
        <f t="shared" si="8"/>
        <v>15691</v>
      </c>
      <c r="O54" s="210">
        <v>5.2</v>
      </c>
    </row>
    <row r="55" spans="1:15" ht="11.25" customHeight="1">
      <c r="A55" s="203"/>
      <c r="B55" s="172"/>
      <c r="C55" s="287" t="s">
        <v>625</v>
      </c>
      <c r="D55" s="174">
        <f>11557+825</f>
        <v>12382</v>
      </c>
      <c r="E55" s="174">
        <v>2980</v>
      </c>
      <c r="F55" s="174">
        <v>163</v>
      </c>
      <c r="G55" s="174"/>
      <c r="H55" s="174"/>
      <c r="I55" s="174"/>
      <c r="J55" s="176">
        <f t="shared" si="9"/>
        <v>15525</v>
      </c>
      <c r="K55" s="174"/>
      <c r="L55" s="174"/>
      <c r="M55" s="174"/>
      <c r="N55" s="176">
        <f t="shared" si="8"/>
        <v>15525</v>
      </c>
      <c r="O55" s="210">
        <v>4</v>
      </c>
    </row>
    <row r="56" spans="1:15" ht="11.25" customHeight="1">
      <c r="A56" s="203"/>
      <c r="B56" s="172" t="s">
        <v>318</v>
      </c>
      <c r="C56" s="204" t="s">
        <v>795</v>
      </c>
      <c r="D56" s="174"/>
      <c r="E56" s="174"/>
      <c r="F56" s="174"/>
      <c r="G56" s="174"/>
      <c r="H56" s="174"/>
      <c r="I56" s="174"/>
      <c r="J56" s="176"/>
      <c r="K56" s="174"/>
      <c r="L56" s="174"/>
      <c r="M56" s="174"/>
      <c r="N56" s="176"/>
      <c r="O56" s="210"/>
    </row>
    <row r="57" spans="1:15" ht="11.25" customHeight="1">
      <c r="A57" s="203"/>
      <c r="B57" s="172"/>
      <c r="C57" s="287" t="s">
        <v>623</v>
      </c>
      <c r="D57" s="174">
        <v>0</v>
      </c>
      <c r="E57" s="174">
        <v>0</v>
      </c>
      <c r="F57" s="174">
        <v>100</v>
      </c>
      <c r="G57" s="174"/>
      <c r="H57" s="174"/>
      <c r="I57" s="174"/>
      <c r="J57" s="176">
        <f t="shared" si="9"/>
        <v>100</v>
      </c>
      <c r="K57" s="174"/>
      <c r="L57" s="174"/>
      <c r="M57" s="174"/>
      <c r="N57" s="176">
        <f t="shared" si="8"/>
        <v>100</v>
      </c>
      <c r="O57" s="210">
        <v>0</v>
      </c>
    </row>
    <row r="58" spans="1:15" ht="11.25" customHeight="1">
      <c r="A58" s="203"/>
      <c r="B58" s="172"/>
      <c r="C58" s="287" t="s">
        <v>624</v>
      </c>
      <c r="D58" s="174"/>
      <c r="E58" s="174"/>
      <c r="F58" s="174">
        <v>100</v>
      </c>
      <c r="G58" s="174"/>
      <c r="H58" s="174"/>
      <c r="I58" s="174"/>
      <c r="J58" s="176">
        <f t="shared" si="9"/>
        <v>100</v>
      </c>
      <c r="K58" s="174"/>
      <c r="L58" s="174"/>
      <c r="M58" s="174"/>
      <c r="N58" s="176">
        <f t="shared" si="8"/>
        <v>100</v>
      </c>
      <c r="O58" s="210">
        <v>0</v>
      </c>
    </row>
    <row r="59" spans="1:15" ht="11.25" customHeight="1">
      <c r="A59" s="203"/>
      <c r="B59" s="172"/>
      <c r="C59" s="287" t="s">
        <v>625</v>
      </c>
      <c r="D59" s="174"/>
      <c r="E59" s="174"/>
      <c r="F59" s="174">
        <v>97</v>
      </c>
      <c r="G59" s="174"/>
      <c r="H59" s="174"/>
      <c r="I59" s="174"/>
      <c r="J59" s="176">
        <f>SUM(D59:I59)</f>
        <v>97</v>
      </c>
      <c r="K59" s="174"/>
      <c r="L59" s="174"/>
      <c r="M59" s="174"/>
      <c r="N59" s="176">
        <f t="shared" si="8"/>
        <v>97</v>
      </c>
      <c r="O59" s="210">
        <v>0</v>
      </c>
    </row>
    <row r="60" spans="1:15" ht="11.25" customHeight="1">
      <c r="A60" s="203"/>
      <c r="B60" s="172" t="s">
        <v>320</v>
      </c>
      <c r="C60" s="287" t="s">
        <v>902</v>
      </c>
      <c r="D60" s="174"/>
      <c r="E60" s="174"/>
      <c r="F60" s="174"/>
      <c r="G60" s="174"/>
      <c r="H60" s="174"/>
      <c r="I60" s="174"/>
      <c r="J60" s="176"/>
      <c r="K60" s="174"/>
      <c r="L60" s="174"/>
      <c r="M60" s="174"/>
      <c r="N60" s="176"/>
      <c r="O60" s="210"/>
    </row>
    <row r="61" spans="1:15" ht="11.25" customHeight="1">
      <c r="A61" s="203"/>
      <c r="B61" s="172"/>
      <c r="C61" s="287" t="s">
        <v>623</v>
      </c>
      <c r="D61" s="174"/>
      <c r="E61" s="174"/>
      <c r="F61" s="174">
        <v>0</v>
      </c>
      <c r="G61" s="174"/>
      <c r="H61" s="174"/>
      <c r="I61" s="174"/>
      <c r="J61" s="176">
        <f aca="true" t="shared" si="10" ref="J61:J70">SUM(D61:I61)</f>
        <v>0</v>
      </c>
      <c r="K61" s="174"/>
      <c r="L61" s="174"/>
      <c r="M61" s="174"/>
      <c r="N61" s="176">
        <f t="shared" si="8"/>
        <v>0</v>
      </c>
      <c r="O61" s="210"/>
    </row>
    <row r="62" spans="1:15" ht="11.25" customHeight="1">
      <c r="A62" s="203"/>
      <c r="B62" s="172"/>
      <c r="C62" s="287" t="s">
        <v>624</v>
      </c>
      <c r="D62" s="174"/>
      <c r="E62" s="174"/>
      <c r="F62" s="174">
        <v>500</v>
      </c>
      <c r="G62" s="174"/>
      <c r="H62" s="174"/>
      <c r="I62" s="174"/>
      <c r="J62" s="176">
        <f t="shared" si="10"/>
        <v>500</v>
      </c>
      <c r="K62" s="174"/>
      <c r="L62" s="174"/>
      <c r="M62" s="174"/>
      <c r="N62" s="176">
        <f t="shared" si="8"/>
        <v>500</v>
      </c>
      <c r="O62" s="210"/>
    </row>
    <row r="63" spans="1:15" ht="11.25" customHeight="1">
      <c r="A63" s="203"/>
      <c r="B63" s="172"/>
      <c r="C63" s="287" t="s">
        <v>625</v>
      </c>
      <c r="D63" s="174"/>
      <c r="E63" s="174"/>
      <c r="F63" s="174">
        <v>50</v>
      </c>
      <c r="G63" s="174"/>
      <c r="H63" s="174"/>
      <c r="I63" s="174"/>
      <c r="J63" s="176">
        <f t="shared" si="10"/>
        <v>50</v>
      </c>
      <c r="K63" s="174"/>
      <c r="L63" s="174"/>
      <c r="M63" s="174"/>
      <c r="N63" s="176">
        <f t="shared" si="8"/>
        <v>50</v>
      </c>
      <c r="O63" s="210"/>
    </row>
    <row r="64" spans="1:15" ht="11.25" customHeight="1">
      <c r="A64" s="203"/>
      <c r="B64" s="172" t="s">
        <v>322</v>
      </c>
      <c r="C64" s="601" t="s">
        <v>737</v>
      </c>
      <c r="D64" s="174"/>
      <c r="E64" s="174"/>
      <c r="F64" s="174"/>
      <c r="G64" s="174"/>
      <c r="H64" s="174"/>
      <c r="I64" s="174"/>
      <c r="J64" s="176">
        <f t="shared" si="10"/>
        <v>0</v>
      </c>
      <c r="K64" s="174"/>
      <c r="L64" s="174"/>
      <c r="M64" s="174"/>
      <c r="N64" s="176">
        <f t="shared" si="8"/>
        <v>0</v>
      </c>
      <c r="O64" s="210"/>
    </row>
    <row r="65" spans="1:15" ht="11.25" customHeight="1">
      <c r="A65" s="203"/>
      <c r="B65" s="172"/>
      <c r="C65" s="287" t="s">
        <v>623</v>
      </c>
      <c r="D65" s="174"/>
      <c r="E65" s="174"/>
      <c r="F65" s="174"/>
      <c r="G65" s="174"/>
      <c r="H65" s="174"/>
      <c r="I65" s="174"/>
      <c r="J65" s="176">
        <f t="shared" si="10"/>
        <v>0</v>
      </c>
      <c r="K65" s="174"/>
      <c r="L65" s="174"/>
      <c r="M65" s="174"/>
      <c r="N65" s="176">
        <f t="shared" si="8"/>
        <v>0</v>
      </c>
      <c r="O65" s="210"/>
    </row>
    <row r="66" spans="1:15" ht="11.25" customHeight="1">
      <c r="A66" s="203"/>
      <c r="B66" s="172"/>
      <c r="C66" s="287" t="s">
        <v>624</v>
      </c>
      <c r="D66" s="174">
        <v>6870</v>
      </c>
      <c r="E66" s="174">
        <v>1669</v>
      </c>
      <c r="F66" s="174">
        <v>500</v>
      </c>
      <c r="G66" s="174"/>
      <c r="H66" s="174"/>
      <c r="I66" s="174"/>
      <c r="J66" s="176">
        <f t="shared" si="10"/>
        <v>9039</v>
      </c>
      <c r="K66" s="174"/>
      <c r="L66" s="174"/>
      <c r="M66" s="174"/>
      <c r="N66" s="176">
        <f t="shared" si="8"/>
        <v>9039</v>
      </c>
      <c r="O66" s="210"/>
    </row>
    <row r="67" spans="1:15" ht="11.25" customHeight="1">
      <c r="A67" s="203"/>
      <c r="B67" s="172"/>
      <c r="C67" s="287" t="s">
        <v>625</v>
      </c>
      <c r="D67" s="174">
        <v>6870</v>
      </c>
      <c r="E67" s="174">
        <v>1669</v>
      </c>
      <c r="F67" s="174">
        <v>500</v>
      </c>
      <c r="G67" s="174"/>
      <c r="H67" s="174"/>
      <c r="I67" s="174"/>
      <c r="J67" s="176">
        <f t="shared" si="10"/>
        <v>9039</v>
      </c>
      <c r="K67" s="174"/>
      <c r="L67" s="174"/>
      <c r="M67" s="174"/>
      <c r="N67" s="176">
        <f t="shared" si="8"/>
        <v>9039</v>
      </c>
      <c r="O67" s="210"/>
    </row>
    <row r="68" spans="1:15" ht="11.25" customHeight="1">
      <c r="A68" s="203"/>
      <c r="B68" s="172" t="s">
        <v>346</v>
      </c>
      <c r="C68" s="601" t="s">
        <v>796</v>
      </c>
      <c r="D68" s="174"/>
      <c r="E68" s="174"/>
      <c r="F68" s="174"/>
      <c r="G68" s="174"/>
      <c r="H68" s="174"/>
      <c r="I68" s="174"/>
      <c r="J68" s="176"/>
      <c r="K68" s="174"/>
      <c r="L68" s="174"/>
      <c r="M68" s="174"/>
      <c r="N68" s="176">
        <f t="shared" si="8"/>
        <v>0</v>
      </c>
      <c r="O68" s="210"/>
    </row>
    <row r="69" spans="1:15" ht="11.25" customHeight="1">
      <c r="A69" s="203"/>
      <c r="B69" s="172"/>
      <c r="C69" s="287" t="s">
        <v>623</v>
      </c>
      <c r="D69" s="174"/>
      <c r="E69" s="174"/>
      <c r="F69" s="174"/>
      <c r="G69" s="174"/>
      <c r="H69" s="174"/>
      <c r="I69" s="174"/>
      <c r="J69" s="176">
        <f t="shared" si="10"/>
        <v>0</v>
      </c>
      <c r="K69" s="174"/>
      <c r="L69" s="174"/>
      <c r="M69" s="174"/>
      <c r="N69" s="176"/>
      <c r="O69" s="210"/>
    </row>
    <row r="70" spans="1:15" ht="11.25" customHeight="1">
      <c r="A70" s="203"/>
      <c r="B70" s="172"/>
      <c r="C70" s="287" t="s">
        <v>624</v>
      </c>
      <c r="D70" s="174">
        <v>11218</v>
      </c>
      <c r="E70" s="174">
        <v>3029</v>
      </c>
      <c r="F70" s="174">
        <v>2200</v>
      </c>
      <c r="G70" s="174"/>
      <c r="H70" s="174"/>
      <c r="I70" s="174"/>
      <c r="J70" s="176">
        <f t="shared" si="10"/>
        <v>16447</v>
      </c>
      <c r="K70" s="174"/>
      <c r="L70" s="174"/>
      <c r="M70" s="174"/>
      <c r="N70" s="176">
        <f>J70</f>
        <v>16447</v>
      </c>
      <c r="O70" s="210">
        <v>2.46</v>
      </c>
    </row>
    <row r="71" spans="1:15" ht="11.25" customHeight="1" thickBot="1">
      <c r="A71" s="205"/>
      <c r="B71" s="178"/>
      <c r="C71" s="299" t="s">
        <v>625</v>
      </c>
      <c r="D71" s="160">
        <f>5619+4169</f>
        <v>9788</v>
      </c>
      <c r="E71" s="160">
        <v>2649</v>
      </c>
      <c r="F71" s="160">
        <f>1660+415</f>
        <v>2075</v>
      </c>
      <c r="G71" s="160"/>
      <c r="H71" s="160"/>
      <c r="I71" s="160"/>
      <c r="J71" s="162">
        <f>F71+E71+D71</f>
        <v>14512</v>
      </c>
      <c r="K71" s="160"/>
      <c r="L71" s="160"/>
      <c r="M71" s="160"/>
      <c r="N71" s="162">
        <f>J71</f>
        <v>14512</v>
      </c>
      <c r="O71" s="208"/>
    </row>
    <row r="72" spans="1:15" ht="12.75" customHeight="1">
      <c r="A72" s="186">
        <v>9</v>
      </c>
      <c r="B72" s="253" t="s">
        <v>312</v>
      </c>
      <c r="C72" s="188" t="s">
        <v>53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88"/>
      <c r="O72" s="212"/>
    </row>
    <row r="73" spans="1:15" ht="12.75" customHeight="1">
      <c r="A73" s="171"/>
      <c r="B73" s="301"/>
      <c r="C73" s="287" t="s">
        <v>623</v>
      </c>
      <c r="D73" s="176"/>
      <c r="E73" s="176"/>
      <c r="F73" s="176">
        <v>1449</v>
      </c>
      <c r="G73" s="176"/>
      <c r="H73" s="176"/>
      <c r="I73" s="176">
        <v>698</v>
      </c>
      <c r="J73" s="176">
        <f>SUM(D73:I73)</f>
        <v>2147</v>
      </c>
      <c r="K73" s="176">
        <v>2500</v>
      </c>
      <c r="L73" s="176"/>
      <c r="M73" s="176"/>
      <c r="N73" s="177">
        <f>SUM(J73:M73)</f>
        <v>4647</v>
      </c>
      <c r="O73" s="210"/>
    </row>
    <row r="74" spans="1:15" ht="12.75" customHeight="1">
      <c r="A74" s="171"/>
      <c r="B74" s="301"/>
      <c r="C74" s="287" t="s">
        <v>624</v>
      </c>
      <c r="D74" s="176"/>
      <c r="E74" s="176"/>
      <c r="F74" s="176">
        <v>1449</v>
      </c>
      <c r="G74" s="176"/>
      <c r="H74" s="176"/>
      <c r="I74" s="176">
        <v>698</v>
      </c>
      <c r="J74" s="176">
        <f>SUM(D74:I74)</f>
        <v>2147</v>
      </c>
      <c r="K74" s="176">
        <v>15483</v>
      </c>
      <c r="L74" s="176">
        <v>0</v>
      </c>
      <c r="M74" s="176">
        <v>0</v>
      </c>
      <c r="N74" s="177">
        <f>J74+K74</f>
        <v>17630</v>
      </c>
      <c r="O74" s="210"/>
    </row>
    <row r="75" spans="1:15" ht="12.75" customHeight="1" thickBot="1">
      <c r="A75" s="158"/>
      <c r="B75" s="255"/>
      <c r="C75" s="299" t="s">
        <v>625</v>
      </c>
      <c r="D75" s="162"/>
      <c r="E75" s="162"/>
      <c r="F75" s="162">
        <f>483+120</f>
        <v>603</v>
      </c>
      <c r="G75" s="162"/>
      <c r="H75" s="162"/>
      <c r="I75" s="162">
        <v>697</v>
      </c>
      <c r="J75" s="162">
        <f>F75+I75</f>
        <v>1300</v>
      </c>
      <c r="K75" s="162">
        <f>2078+519</f>
        <v>2597</v>
      </c>
      <c r="L75" s="162"/>
      <c r="M75" s="162"/>
      <c r="N75" s="163">
        <f>K75+J75</f>
        <v>3897</v>
      </c>
      <c r="O75" s="208"/>
    </row>
    <row r="76" spans="1:15" ht="12.75" customHeight="1">
      <c r="A76" s="186">
        <v>10</v>
      </c>
      <c r="B76" s="253"/>
      <c r="C76" s="188" t="s">
        <v>570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88"/>
      <c r="O76" s="212"/>
    </row>
    <row r="77" spans="1:15" ht="12.75" customHeight="1">
      <c r="A77" s="171"/>
      <c r="B77" s="301"/>
      <c r="C77" s="287" t="s">
        <v>623</v>
      </c>
      <c r="D77" s="176">
        <f aca="true" t="shared" si="11" ref="D77:I77">D81+D85</f>
        <v>0</v>
      </c>
      <c r="E77" s="176">
        <f t="shared" si="11"/>
        <v>0</v>
      </c>
      <c r="F77" s="176">
        <f t="shared" si="11"/>
        <v>1000</v>
      </c>
      <c r="G77" s="176">
        <f t="shared" si="11"/>
        <v>0</v>
      </c>
      <c r="H77" s="176">
        <f t="shared" si="11"/>
        <v>0</v>
      </c>
      <c r="I77" s="176">
        <f t="shared" si="11"/>
        <v>0</v>
      </c>
      <c r="J77" s="176">
        <f>SUM(D77:I77)</f>
        <v>1000</v>
      </c>
      <c r="K77" s="176">
        <f>K81+K85</f>
        <v>67777</v>
      </c>
      <c r="L77" s="176">
        <f>L81+L85</f>
        <v>0</v>
      </c>
      <c r="M77" s="176">
        <f>M81+M85</f>
        <v>0</v>
      </c>
      <c r="N77" s="177">
        <f>SUM(J77:M77)</f>
        <v>68777</v>
      </c>
      <c r="O77" s="210"/>
    </row>
    <row r="78" spans="1:15" ht="12.75" customHeight="1">
      <c r="A78" s="171"/>
      <c r="B78" s="301"/>
      <c r="C78" s="287" t="s">
        <v>624</v>
      </c>
      <c r="D78" s="176">
        <f aca="true" t="shared" si="12" ref="D78:I79">D82+D86</f>
        <v>0</v>
      </c>
      <c r="E78" s="176">
        <f t="shared" si="12"/>
        <v>0</v>
      </c>
      <c r="F78" s="176">
        <f t="shared" si="12"/>
        <v>1000</v>
      </c>
      <c r="G78" s="176">
        <f t="shared" si="12"/>
        <v>0</v>
      </c>
      <c r="H78" s="176">
        <f t="shared" si="12"/>
        <v>0</v>
      </c>
      <c r="I78" s="176">
        <f t="shared" si="12"/>
        <v>0</v>
      </c>
      <c r="J78" s="176">
        <f aca="true" t="shared" si="13" ref="J78:J87">SUM(D78:I78)</f>
        <v>1000</v>
      </c>
      <c r="K78" s="176">
        <f aca="true" t="shared" si="14" ref="K78:M79">K82+K86</f>
        <v>502946</v>
      </c>
      <c r="L78" s="176">
        <f t="shared" si="14"/>
        <v>0</v>
      </c>
      <c r="M78" s="176">
        <f t="shared" si="14"/>
        <v>0</v>
      </c>
      <c r="N78" s="177">
        <f aca="true" t="shared" si="15" ref="N78:N87">SUM(J78:M78)</f>
        <v>503946</v>
      </c>
      <c r="O78" s="210"/>
    </row>
    <row r="79" spans="1:15" ht="12.75" customHeight="1">
      <c r="A79" s="171"/>
      <c r="B79" s="301"/>
      <c r="C79" s="287" t="s">
        <v>625</v>
      </c>
      <c r="D79" s="176">
        <f t="shared" si="12"/>
        <v>0</v>
      </c>
      <c r="E79" s="176">
        <f t="shared" si="12"/>
        <v>0</v>
      </c>
      <c r="F79" s="176">
        <f t="shared" si="12"/>
        <v>68</v>
      </c>
      <c r="G79" s="176">
        <f t="shared" si="12"/>
        <v>0</v>
      </c>
      <c r="H79" s="176">
        <f t="shared" si="12"/>
        <v>0</v>
      </c>
      <c r="I79" s="176">
        <f t="shared" si="12"/>
        <v>0</v>
      </c>
      <c r="J79" s="176">
        <f t="shared" si="13"/>
        <v>68</v>
      </c>
      <c r="K79" s="176">
        <f t="shared" si="14"/>
        <v>31680</v>
      </c>
      <c r="L79" s="176">
        <f t="shared" si="14"/>
        <v>0</v>
      </c>
      <c r="M79" s="176">
        <f t="shared" si="14"/>
        <v>0</v>
      </c>
      <c r="N79" s="177">
        <f t="shared" si="15"/>
        <v>31748</v>
      </c>
      <c r="O79" s="210"/>
    </row>
    <row r="80" spans="1:15" ht="12.75" customHeight="1">
      <c r="A80" s="171" t="s">
        <v>465</v>
      </c>
      <c r="B80" s="256" t="s">
        <v>312</v>
      </c>
      <c r="C80" s="173" t="s">
        <v>289</v>
      </c>
      <c r="D80" s="174"/>
      <c r="E80" s="174"/>
      <c r="F80" s="174"/>
      <c r="G80" s="174"/>
      <c r="H80" s="174"/>
      <c r="I80" s="174"/>
      <c r="J80" s="176"/>
      <c r="K80" s="174"/>
      <c r="L80" s="174"/>
      <c r="M80" s="174"/>
      <c r="N80" s="177"/>
      <c r="O80" s="210"/>
    </row>
    <row r="81" spans="1:15" ht="12.75" customHeight="1">
      <c r="A81" s="171"/>
      <c r="B81" s="256"/>
      <c r="C81" s="287" t="s">
        <v>623</v>
      </c>
      <c r="D81" s="174"/>
      <c r="E81" s="174"/>
      <c r="F81" s="174">
        <v>1000</v>
      </c>
      <c r="G81" s="174"/>
      <c r="H81" s="174"/>
      <c r="I81" s="174"/>
      <c r="J81" s="176">
        <f t="shared" si="13"/>
        <v>1000</v>
      </c>
      <c r="K81" s="174"/>
      <c r="L81" s="174"/>
      <c r="M81" s="174"/>
      <c r="N81" s="177">
        <f t="shared" si="15"/>
        <v>1000</v>
      </c>
      <c r="O81" s="210"/>
    </row>
    <row r="82" spans="1:15" ht="12.75" customHeight="1">
      <c r="A82" s="171"/>
      <c r="B82" s="256"/>
      <c r="C82" s="287" t="s">
        <v>624</v>
      </c>
      <c r="D82" s="174">
        <v>0</v>
      </c>
      <c r="E82" s="174">
        <v>0</v>
      </c>
      <c r="F82" s="174">
        <v>1000</v>
      </c>
      <c r="G82" s="174">
        <v>0</v>
      </c>
      <c r="H82" s="174">
        <v>0</v>
      </c>
      <c r="I82" s="174">
        <v>0</v>
      </c>
      <c r="J82" s="176">
        <f t="shared" si="13"/>
        <v>1000</v>
      </c>
      <c r="K82" s="174">
        <v>0</v>
      </c>
      <c r="L82" s="174">
        <v>0</v>
      </c>
      <c r="M82" s="174">
        <v>0</v>
      </c>
      <c r="N82" s="177">
        <f t="shared" si="15"/>
        <v>1000</v>
      </c>
      <c r="O82" s="210"/>
    </row>
    <row r="83" spans="1:15" ht="12.75" customHeight="1">
      <c r="A83" s="171"/>
      <c r="B83" s="256"/>
      <c r="C83" s="287" t="s">
        <v>625</v>
      </c>
      <c r="D83" s="174"/>
      <c r="E83" s="174"/>
      <c r="F83" s="174">
        <v>68</v>
      </c>
      <c r="G83" s="174"/>
      <c r="H83" s="174"/>
      <c r="I83" s="174"/>
      <c r="J83" s="176">
        <f t="shared" si="13"/>
        <v>68</v>
      </c>
      <c r="K83" s="174"/>
      <c r="L83" s="174"/>
      <c r="M83" s="174"/>
      <c r="N83" s="177">
        <f t="shared" si="15"/>
        <v>68</v>
      </c>
      <c r="O83" s="210"/>
    </row>
    <row r="84" spans="1:15" ht="12.75" customHeight="1">
      <c r="A84" s="171"/>
      <c r="B84" s="256" t="s">
        <v>314</v>
      </c>
      <c r="C84" s="173" t="s">
        <v>797</v>
      </c>
      <c r="D84" s="174"/>
      <c r="E84" s="174"/>
      <c r="F84" s="174"/>
      <c r="G84" s="174"/>
      <c r="H84" s="174"/>
      <c r="I84" s="174"/>
      <c r="J84" s="176"/>
      <c r="K84" s="174"/>
      <c r="L84" s="174"/>
      <c r="M84" s="174"/>
      <c r="N84" s="177">
        <f t="shared" si="15"/>
        <v>0</v>
      </c>
      <c r="O84" s="210"/>
    </row>
    <row r="85" spans="1:15" ht="12.75" customHeight="1">
      <c r="A85" s="171"/>
      <c r="B85" s="256"/>
      <c r="C85" s="287" t="s">
        <v>623</v>
      </c>
      <c r="D85" s="174"/>
      <c r="E85" s="174"/>
      <c r="F85" s="174"/>
      <c r="G85" s="174"/>
      <c r="H85" s="174"/>
      <c r="I85" s="174"/>
      <c r="J85" s="176">
        <f t="shared" si="13"/>
        <v>0</v>
      </c>
      <c r="K85" s="174">
        <v>67777</v>
      </c>
      <c r="L85" s="174"/>
      <c r="M85" s="174"/>
      <c r="N85" s="177">
        <f t="shared" si="15"/>
        <v>67777</v>
      </c>
      <c r="O85" s="210"/>
    </row>
    <row r="86" spans="1:15" ht="12.75" customHeight="1">
      <c r="A86" s="171"/>
      <c r="B86" s="256"/>
      <c r="C86" s="287" t="s">
        <v>624</v>
      </c>
      <c r="D86" s="174"/>
      <c r="E86" s="174"/>
      <c r="F86" s="174"/>
      <c r="G86" s="174"/>
      <c r="H86" s="174"/>
      <c r="I86" s="174"/>
      <c r="J86" s="176">
        <f t="shared" si="13"/>
        <v>0</v>
      </c>
      <c r="K86" s="174">
        <v>502946</v>
      </c>
      <c r="L86" s="174">
        <v>0</v>
      </c>
      <c r="M86" s="174"/>
      <c r="N86" s="177">
        <f t="shared" si="15"/>
        <v>502946</v>
      </c>
      <c r="O86" s="210"/>
    </row>
    <row r="87" spans="1:15" ht="12.75" customHeight="1" thickBot="1">
      <c r="A87" s="158"/>
      <c r="B87" s="257"/>
      <c r="C87" s="299" t="s">
        <v>625</v>
      </c>
      <c r="D87" s="160"/>
      <c r="E87" s="160"/>
      <c r="F87" s="160"/>
      <c r="G87" s="160"/>
      <c r="H87" s="160"/>
      <c r="I87" s="160"/>
      <c r="J87" s="162">
        <f t="shared" si="13"/>
        <v>0</v>
      </c>
      <c r="K87" s="160">
        <v>31680</v>
      </c>
      <c r="L87" s="160">
        <v>0</v>
      </c>
      <c r="M87" s="160"/>
      <c r="N87" s="163">
        <f t="shared" si="15"/>
        <v>31680</v>
      </c>
      <c r="O87" s="208"/>
    </row>
    <row r="88" spans="1:15" ht="12.75" customHeight="1">
      <c r="A88" s="149">
        <v>11</v>
      </c>
      <c r="B88" s="150"/>
      <c r="C88" s="152" t="s">
        <v>54</v>
      </c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2"/>
      <c r="O88" s="206"/>
    </row>
    <row r="89" spans="1:15" ht="12.75" customHeight="1">
      <c r="A89" s="158"/>
      <c r="B89" s="159"/>
      <c r="C89" s="288" t="s">
        <v>623</v>
      </c>
      <c r="D89" s="162">
        <f aca="true" t="shared" si="16" ref="D89:I89">D93+D97+D101</f>
        <v>0</v>
      </c>
      <c r="E89" s="162">
        <f t="shared" si="16"/>
        <v>0</v>
      </c>
      <c r="F89" s="162">
        <f t="shared" si="16"/>
        <v>0</v>
      </c>
      <c r="G89" s="162">
        <f t="shared" si="16"/>
        <v>0</v>
      </c>
      <c r="H89" s="162">
        <f t="shared" si="16"/>
        <v>975</v>
      </c>
      <c r="I89" s="162">
        <f t="shared" si="16"/>
        <v>0</v>
      </c>
      <c r="J89" s="162">
        <f>SUM(D89:I89)</f>
        <v>975</v>
      </c>
      <c r="K89" s="162">
        <f>K93+K97+K101</f>
        <v>565668</v>
      </c>
      <c r="L89" s="162">
        <f>L93+L97+L101</f>
        <v>0</v>
      </c>
      <c r="M89" s="162">
        <f>M93+M97+M101</f>
        <v>0</v>
      </c>
      <c r="N89" s="162">
        <f>SUM(J89:M89)</f>
        <v>566643</v>
      </c>
      <c r="O89" s="208"/>
    </row>
    <row r="90" spans="1:15" ht="12.75" customHeight="1">
      <c r="A90" s="171"/>
      <c r="B90" s="298"/>
      <c r="C90" s="287" t="s">
        <v>624</v>
      </c>
      <c r="D90" s="176">
        <f aca="true" t="shared" si="17" ref="D90:I91">D94+D98+D102</f>
        <v>0</v>
      </c>
      <c r="E90" s="176">
        <f t="shared" si="17"/>
        <v>0</v>
      </c>
      <c r="F90" s="176">
        <f t="shared" si="17"/>
        <v>0</v>
      </c>
      <c r="G90" s="176">
        <f t="shared" si="17"/>
        <v>0</v>
      </c>
      <c r="H90" s="176">
        <f t="shared" si="17"/>
        <v>975</v>
      </c>
      <c r="I90" s="176">
        <f t="shared" si="17"/>
        <v>0</v>
      </c>
      <c r="J90" s="176">
        <f aca="true" t="shared" si="18" ref="J90:J103">SUM(D90:I90)</f>
        <v>975</v>
      </c>
      <c r="K90" s="176">
        <f aca="true" t="shared" si="19" ref="K90:M91">K94+K98+K102</f>
        <v>590668</v>
      </c>
      <c r="L90" s="176">
        <f t="shared" si="19"/>
        <v>3933</v>
      </c>
      <c r="M90" s="176">
        <f t="shared" si="19"/>
        <v>0</v>
      </c>
      <c r="N90" s="176">
        <f aca="true" t="shared" si="20" ref="N90:N103">SUM(J90:M90)</f>
        <v>595576</v>
      </c>
      <c r="O90" s="210"/>
    </row>
    <row r="91" spans="1:15" ht="12.75" customHeight="1">
      <c r="A91" s="171"/>
      <c r="B91" s="298"/>
      <c r="C91" s="287" t="s">
        <v>625</v>
      </c>
      <c r="D91" s="176">
        <f t="shared" si="17"/>
        <v>0</v>
      </c>
      <c r="E91" s="176">
        <f t="shared" si="17"/>
        <v>0</v>
      </c>
      <c r="F91" s="176">
        <f t="shared" si="17"/>
        <v>0</v>
      </c>
      <c r="G91" s="176">
        <f t="shared" si="17"/>
        <v>0</v>
      </c>
      <c r="H91" s="176">
        <f t="shared" si="17"/>
        <v>0</v>
      </c>
      <c r="I91" s="176"/>
      <c r="J91" s="176">
        <f t="shared" si="18"/>
        <v>0</v>
      </c>
      <c r="K91" s="176">
        <f t="shared" si="19"/>
        <v>160985</v>
      </c>
      <c r="L91" s="176">
        <f t="shared" si="19"/>
        <v>3933</v>
      </c>
      <c r="M91" s="176">
        <f t="shared" si="19"/>
        <v>0</v>
      </c>
      <c r="N91" s="176">
        <f t="shared" si="20"/>
        <v>164918</v>
      </c>
      <c r="O91" s="210"/>
    </row>
    <row r="92" spans="1:15" ht="11.25" customHeight="1">
      <c r="A92" s="171"/>
      <c r="B92" s="172" t="s">
        <v>312</v>
      </c>
      <c r="C92" s="258" t="s">
        <v>55</v>
      </c>
      <c r="D92" s="174"/>
      <c r="E92" s="174"/>
      <c r="F92" s="175"/>
      <c r="G92" s="174"/>
      <c r="H92" s="174"/>
      <c r="I92" s="174"/>
      <c r="J92" s="176"/>
      <c r="K92" s="174"/>
      <c r="L92" s="174"/>
      <c r="M92" s="174"/>
      <c r="N92" s="176"/>
      <c r="O92" s="210"/>
    </row>
    <row r="93" spans="1:15" ht="11.25" customHeight="1">
      <c r="A93" s="171"/>
      <c r="B93" s="172"/>
      <c r="C93" s="287" t="s">
        <v>623</v>
      </c>
      <c r="D93" s="174"/>
      <c r="E93" s="174"/>
      <c r="F93" s="175"/>
      <c r="G93" s="174"/>
      <c r="H93" s="174"/>
      <c r="I93" s="174"/>
      <c r="J93" s="176">
        <f t="shared" si="18"/>
        <v>0</v>
      </c>
      <c r="K93" s="174">
        <v>565668</v>
      </c>
      <c r="L93" s="174"/>
      <c r="M93" s="174"/>
      <c r="N93" s="176">
        <f t="shared" si="20"/>
        <v>565668</v>
      </c>
      <c r="O93" s="210"/>
    </row>
    <row r="94" spans="1:15" ht="11.25" customHeight="1">
      <c r="A94" s="171"/>
      <c r="B94" s="172"/>
      <c r="C94" s="287" t="s">
        <v>624</v>
      </c>
      <c r="D94" s="174"/>
      <c r="E94" s="174"/>
      <c r="F94" s="175"/>
      <c r="G94" s="174"/>
      <c r="H94" s="174"/>
      <c r="I94" s="174"/>
      <c r="J94" s="176">
        <f t="shared" si="18"/>
        <v>0</v>
      </c>
      <c r="K94" s="174">
        <v>590668</v>
      </c>
      <c r="L94" s="174">
        <v>3933</v>
      </c>
      <c r="M94" s="174"/>
      <c r="N94" s="176">
        <f t="shared" si="20"/>
        <v>594601</v>
      </c>
      <c r="O94" s="210"/>
    </row>
    <row r="95" spans="1:15" ht="11.25" customHeight="1">
      <c r="A95" s="171"/>
      <c r="B95" s="172"/>
      <c r="C95" s="287" t="s">
        <v>625</v>
      </c>
      <c r="D95" s="174"/>
      <c r="E95" s="174"/>
      <c r="F95" s="175"/>
      <c r="G95" s="174"/>
      <c r="H95" s="174"/>
      <c r="I95" s="174"/>
      <c r="J95" s="176">
        <f t="shared" si="18"/>
        <v>0</v>
      </c>
      <c r="K95" s="174">
        <f>104013+32004+24968</f>
        <v>160985</v>
      </c>
      <c r="L95" s="174">
        <v>3933</v>
      </c>
      <c r="M95" s="174"/>
      <c r="N95" s="176">
        <f t="shared" si="20"/>
        <v>164918</v>
      </c>
      <c r="O95" s="210"/>
    </row>
    <row r="96" spans="1:15" ht="10.5" customHeight="1">
      <c r="A96" s="171"/>
      <c r="B96" s="172" t="s">
        <v>314</v>
      </c>
      <c r="C96" s="173" t="s">
        <v>491</v>
      </c>
      <c r="D96" s="174"/>
      <c r="E96" s="174"/>
      <c r="F96" s="175"/>
      <c r="G96" s="174"/>
      <c r="H96" s="174"/>
      <c r="I96" s="174"/>
      <c r="J96" s="176"/>
      <c r="K96" s="174"/>
      <c r="L96" s="174"/>
      <c r="M96" s="174"/>
      <c r="N96" s="176"/>
      <c r="O96" s="210"/>
    </row>
    <row r="97" spans="1:15" ht="10.5" customHeight="1">
      <c r="A97" s="171"/>
      <c r="B97" s="172"/>
      <c r="C97" s="287" t="s">
        <v>623</v>
      </c>
      <c r="D97" s="174"/>
      <c r="E97" s="174"/>
      <c r="F97" s="175"/>
      <c r="G97" s="174"/>
      <c r="H97" s="174">
        <v>475</v>
      </c>
      <c r="I97" s="174"/>
      <c r="J97" s="176">
        <f t="shared" si="18"/>
        <v>475</v>
      </c>
      <c r="K97" s="174"/>
      <c r="L97" s="174"/>
      <c r="M97" s="174"/>
      <c r="N97" s="176">
        <f t="shared" si="20"/>
        <v>475</v>
      </c>
      <c r="O97" s="210"/>
    </row>
    <row r="98" spans="1:15" ht="10.5" customHeight="1">
      <c r="A98" s="171"/>
      <c r="B98" s="172"/>
      <c r="C98" s="287" t="s">
        <v>624</v>
      </c>
      <c r="D98" s="174"/>
      <c r="E98" s="174"/>
      <c r="F98" s="175"/>
      <c r="G98" s="174"/>
      <c r="H98" s="174">
        <v>475</v>
      </c>
      <c r="I98" s="174"/>
      <c r="J98" s="176">
        <f t="shared" si="18"/>
        <v>475</v>
      </c>
      <c r="K98" s="174"/>
      <c r="L98" s="174"/>
      <c r="M98" s="174"/>
      <c r="N98" s="176">
        <f t="shared" si="20"/>
        <v>475</v>
      </c>
      <c r="O98" s="210"/>
    </row>
    <row r="99" spans="1:15" ht="10.5" customHeight="1">
      <c r="A99" s="171"/>
      <c r="B99" s="172"/>
      <c r="C99" s="287" t="s">
        <v>625</v>
      </c>
      <c r="D99" s="174"/>
      <c r="E99" s="174"/>
      <c r="F99" s="175"/>
      <c r="G99" s="174"/>
      <c r="H99" s="174">
        <v>0</v>
      </c>
      <c r="I99" s="174"/>
      <c r="J99" s="176">
        <f t="shared" si="18"/>
        <v>0</v>
      </c>
      <c r="K99" s="174"/>
      <c r="L99" s="174"/>
      <c r="M99" s="174"/>
      <c r="N99" s="176">
        <f t="shared" si="20"/>
        <v>0</v>
      </c>
      <c r="O99" s="210"/>
    </row>
    <row r="100" spans="1:15" ht="12" customHeight="1">
      <c r="A100" s="171"/>
      <c r="B100" s="172" t="s">
        <v>316</v>
      </c>
      <c r="C100" s="173" t="s">
        <v>492</v>
      </c>
      <c r="D100" s="174"/>
      <c r="E100" s="174"/>
      <c r="F100" s="175"/>
      <c r="G100" s="174"/>
      <c r="H100" s="174"/>
      <c r="I100" s="174"/>
      <c r="J100" s="176"/>
      <c r="K100" s="174"/>
      <c r="L100" s="174"/>
      <c r="M100" s="174"/>
      <c r="N100" s="176"/>
      <c r="O100" s="210"/>
    </row>
    <row r="101" spans="1:15" ht="12" customHeight="1">
      <c r="A101" s="171"/>
      <c r="B101" s="172"/>
      <c r="C101" s="287" t="s">
        <v>623</v>
      </c>
      <c r="D101" s="174"/>
      <c r="E101" s="174"/>
      <c r="F101" s="175"/>
      <c r="G101" s="174"/>
      <c r="H101" s="174">
        <v>500</v>
      </c>
      <c r="I101" s="174"/>
      <c r="J101" s="176">
        <f t="shared" si="18"/>
        <v>500</v>
      </c>
      <c r="K101" s="174"/>
      <c r="L101" s="174"/>
      <c r="M101" s="174"/>
      <c r="N101" s="176">
        <f t="shared" si="20"/>
        <v>500</v>
      </c>
      <c r="O101" s="210"/>
    </row>
    <row r="102" spans="1:15" ht="12" customHeight="1">
      <c r="A102" s="171"/>
      <c r="B102" s="172"/>
      <c r="C102" s="287" t="s">
        <v>624</v>
      </c>
      <c r="D102" s="174"/>
      <c r="E102" s="174"/>
      <c r="F102" s="175"/>
      <c r="G102" s="174"/>
      <c r="H102" s="174">
        <v>500</v>
      </c>
      <c r="I102" s="174"/>
      <c r="J102" s="176">
        <f t="shared" si="18"/>
        <v>500</v>
      </c>
      <c r="K102" s="174"/>
      <c r="L102" s="174"/>
      <c r="M102" s="174"/>
      <c r="N102" s="176">
        <f t="shared" si="20"/>
        <v>500</v>
      </c>
      <c r="O102" s="210"/>
    </row>
    <row r="103" spans="1:15" ht="12" customHeight="1" thickBot="1">
      <c r="A103" s="158"/>
      <c r="B103" s="178"/>
      <c r="C103" s="299" t="s">
        <v>625</v>
      </c>
      <c r="D103" s="160"/>
      <c r="E103" s="160"/>
      <c r="F103" s="161"/>
      <c r="G103" s="160"/>
      <c r="H103" s="160">
        <v>0</v>
      </c>
      <c r="I103" s="160"/>
      <c r="J103" s="162">
        <f t="shared" si="18"/>
        <v>0</v>
      </c>
      <c r="K103" s="160"/>
      <c r="L103" s="160"/>
      <c r="M103" s="160"/>
      <c r="N103" s="162">
        <f t="shared" si="20"/>
        <v>0</v>
      </c>
      <c r="O103" s="208"/>
    </row>
    <row r="104" spans="1:15" s="179" customFormat="1" ht="11.25" customHeight="1">
      <c r="A104" s="186">
        <v>12</v>
      </c>
      <c r="B104" s="250" t="s">
        <v>312</v>
      </c>
      <c r="C104" s="254" t="s">
        <v>56</v>
      </c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88"/>
      <c r="O104" s="212"/>
    </row>
    <row r="105" spans="1:15" s="179" customFormat="1" ht="11.25" customHeight="1">
      <c r="A105" s="171"/>
      <c r="B105" s="251"/>
      <c r="C105" s="287" t="s">
        <v>623</v>
      </c>
      <c r="D105" s="176"/>
      <c r="E105" s="176"/>
      <c r="F105" s="176"/>
      <c r="G105" s="176"/>
      <c r="H105" s="176"/>
      <c r="I105" s="176"/>
      <c r="J105" s="176">
        <v>0</v>
      </c>
      <c r="K105" s="176">
        <v>5910</v>
      </c>
      <c r="L105" s="176"/>
      <c r="M105" s="176"/>
      <c r="N105" s="177">
        <f>K105</f>
        <v>5910</v>
      </c>
      <c r="O105" s="210"/>
    </row>
    <row r="106" spans="1:15" s="179" customFormat="1" ht="11.25" customHeight="1">
      <c r="A106" s="171"/>
      <c r="B106" s="251"/>
      <c r="C106" s="287" t="s">
        <v>624</v>
      </c>
      <c r="D106" s="176"/>
      <c r="E106" s="176"/>
      <c r="F106" s="176">
        <v>445</v>
      </c>
      <c r="G106" s="176"/>
      <c r="H106" s="176"/>
      <c r="I106" s="176"/>
      <c r="J106" s="176">
        <f>SUM(D106:I106)</f>
        <v>445</v>
      </c>
      <c r="K106" s="176">
        <v>5465</v>
      </c>
      <c r="L106" s="176"/>
      <c r="M106" s="176"/>
      <c r="N106" s="177">
        <f>SUM(J106:M106)</f>
        <v>5910</v>
      </c>
      <c r="O106" s="210"/>
    </row>
    <row r="107" spans="1:15" s="179" customFormat="1" ht="11.25" customHeight="1" thickBot="1">
      <c r="A107" s="165"/>
      <c r="B107" s="311"/>
      <c r="C107" s="302" t="s">
        <v>625</v>
      </c>
      <c r="D107" s="169"/>
      <c r="E107" s="169"/>
      <c r="F107" s="169">
        <v>445</v>
      </c>
      <c r="G107" s="169"/>
      <c r="H107" s="169"/>
      <c r="I107" s="169"/>
      <c r="J107" s="169">
        <f>SUM(F107:I107)</f>
        <v>445</v>
      </c>
      <c r="K107" s="169">
        <v>5317</v>
      </c>
      <c r="L107" s="169"/>
      <c r="M107" s="169"/>
      <c r="N107" s="170">
        <f>K107</f>
        <v>5317</v>
      </c>
      <c r="O107" s="209"/>
    </row>
    <row r="108" spans="1:15" s="179" customFormat="1" ht="11.25" customHeight="1">
      <c r="A108" s="149">
        <v>13</v>
      </c>
      <c r="B108" s="615"/>
      <c r="C108" s="1492" t="s">
        <v>569</v>
      </c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2"/>
      <c r="O108" s="206"/>
    </row>
    <row r="109" spans="1:15" s="179" customFormat="1" ht="11.25" customHeight="1">
      <c r="A109" s="171"/>
      <c r="B109" s="251"/>
      <c r="C109" s="287" t="s">
        <v>623</v>
      </c>
      <c r="D109" s="176">
        <f aca="true" t="shared" si="21" ref="D109:I109">D113+D117</f>
        <v>0</v>
      </c>
      <c r="E109" s="176">
        <f t="shared" si="21"/>
        <v>0</v>
      </c>
      <c r="F109" s="176">
        <f>F113+F117</f>
        <v>14392</v>
      </c>
      <c r="G109" s="176">
        <f t="shared" si="21"/>
        <v>0</v>
      </c>
      <c r="H109" s="176">
        <f t="shared" si="21"/>
        <v>0</v>
      </c>
      <c r="I109" s="176">
        <f t="shared" si="21"/>
        <v>0</v>
      </c>
      <c r="J109" s="176">
        <f>SUM(D109:I109)</f>
        <v>14392</v>
      </c>
      <c r="K109" s="176">
        <f>K113+K117</f>
        <v>337865</v>
      </c>
      <c r="L109" s="176">
        <f>L113+L117</f>
        <v>0</v>
      </c>
      <c r="M109" s="176">
        <f>M113+M117</f>
        <v>0</v>
      </c>
      <c r="N109" s="177">
        <f>SUM(J109:M109)</f>
        <v>352257</v>
      </c>
      <c r="O109" s="210"/>
    </row>
    <row r="110" spans="1:15" s="179" customFormat="1" ht="11.25" customHeight="1">
      <c r="A110" s="171"/>
      <c r="B110" s="251"/>
      <c r="C110" s="287" t="s">
        <v>624</v>
      </c>
      <c r="D110" s="176">
        <f aca="true" t="shared" si="22" ref="D110:I111">D114+D118</f>
        <v>0</v>
      </c>
      <c r="E110" s="176">
        <f t="shared" si="22"/>
        <v>0</v>
      </c>
      <c r="F110" s="176">
        <f>F114+F118+F122</f>
        <v>12917</v>
      </c>
      <c r="G110" s="176">
        <f t="shared" si="22"/>
        <v>0</v>
      </c>
      <c r="H110" s="176">
        <f t="shared" si="22"/>
        <v>0</v>
      </c>
      <c r="I110" s="176">
        <f t="shared" si="22"/>
        <v>0</v>
      </c>
      <c r="J110" s="176">
        <f aca="true" t="shared" si="23" ref="J110:J117">SUM(D110:I110)</f>
        <v>12917</v>
      </c>
      <c r="K110" s="176">
        <f aca="true" t="shared" si="24" ref="K110:M111">K114+K118</f>
        <v>166190</v>
      </c>
      <c r="L110" s="176">
        <f t="shared" si="24"/>
        <v>20939</v>
      </c>
      <c r="M110" s="176">
        <f t="shared" si="24"/>
        <v>0</v>
      </c>
      <c r="N110" s="177">
        <f aca="true" t="shared" si="25" ref="N110:N119">SUM(J110:M110)</f>
        <v>200046</v>
      </c>
      <c r="O110" s="210"/>
    </row>
    <row r="111" spans="1:15" s="179" customFormat="1" ht="11.25" customHeight="1">
      <c r="A111" s="171"/>
      <c r="B111" s="251"/>
      <c r="C111" s="287" t="s">
        <v>625</v>
      </c>
      <c r="D111" s="176">
        <f t="shared" si="22"/>
        <v>0</v>
      </c>
      <c r="E111" s="176">
        <f t="shared" si="22"/>
        <v>0</v>
      </c>
      <c r="F111" s="176">
        <f>F115+F119+F123</f>
        <v>8402</v>
      </c>
      <c r="G111" s="176">
        <f t="shared" si="22"/>
        <v>0</v>
      </c>
      <c r="H111" s="176">
        <f t="shared" si="22"/>
        <v>0</v>
      </c>
      <c r="I111" s="176">
        <f t="shared" si="22"/>
        <v>0</v>
      </c>
      <c r="J111" s="176">
        <f t="shared" si="23"/>
        <v>8402</v>
      </c>
      <c r="K111" s="176">
        <f t="shared" si="24"/>
        <v>10852</v>
      </c>
      <c r="L111" s="176">
        <f t="shared" si="24"/>
        <v>0</v>
      </c>
      <c r="M111" s="176">
        <f t="shared" si="24"/>
        <v>0</v>
      </c>
      <c r="N111" s="177">
        <f t="shared" si="25"/>
        <v>19254</v>
      </c>
      <c r="O111" s="210"/>
    </row>
    <row r="112" spans="1:15" s="179" customFormat="1" ht="11.25" customHeight="1">
      <c r="A112" s="171" t="s">
        <v>465</v>
      </c>
      <c r="B112" s="172" t="s">
        <v>312</v>
      </c>
      <c r="C112" s="173" t="s">
        <v>187</v>
      </c>
      <c r="D112" s="174"/>
      <c r="E112" s="174"/>
      <c r="F112" s="174"/>
      <c r="G112" s="174"/>
      <c r="H112" s="174"/>
      <c r="I112" s="174"/>
      <c r="J112" s="176"/>
      <c r="K112" s="174"/>
      <c r="L112" s="174"/>
      <c r="M112" s="174"/>
      <c r="N112" s="177"/>
      <c r="O112" s="210"/>
    </row>
    <row r="113" spans="1:15" s="179" customFormat="1" ht="11.25" customHeight="1">
      <c r="A113" s="171"/>
      <c r="B113" s="172"/>
      <c r="C113" s="287" t="s">
        <v>623</v>
      </c>
      <c r="D113" s="174"/>
      <c r="E113" s="174"/>
      <c r="F113" s="174">
        <v>14392</v>
      </c>
      <c r="G113" s="174"/>
      <c r="H113" s="174"/>
      <c r="I113" s="174"/>
      <c r="J113" s="176"/>
      <c r="K113" s="174"/>
      <c r="L113" s="174"/>
      <c r="M113" s="174"/>
      <c r="N113" s="177">
        <f t="shared" si="25"/>
        <v>0</v>
      </c>
      <c r="O113" s="210"/>
    </row>
    <row r="114" spans="1:15" s="179" customFormat="1" ht="11.25" customHeight="1">
      <c r="A114" s="171"/>
      <c r="B114" s="172"/>
      <c r="C114" s="287" t="s">
        <v>624</v>
      </c>
      <c r="D114" s="174"/>
      <c r="E114" s="174"/>
      <c r="F114" s="174">
        <v>11917</v>
      </c>
      <c r="G114" s="174"/>
      <c r="H114" s="174"/>
      <c r="I114" s="174"/>
      <c r="J114" s="176">
        <f t="shared" si="23"/>
        <v>11917</v>
      </c>
      <c r="K114" s="174"/>
      <c r="L114" s="174"/>
      <c r="M114" s="174"/>
      <c r="N114" s="177">
        <f t="shared" si="25"/>
        <v>11917</v>
      </c>
      <c r="O114" s="210"/>
    </row>
    <row r="115" spans="1:15" s="179" customFormat="1" ht="11.25" customHeight="1">
      <c r="A115" s="171"/>
      <c r="B115" s="172"/>
      <c r="C115" s="287" t="s">
        <v>625</v>
      </c>
      <c r="D115" s="174"/>
      <c r="E115" s="174"/>
      <c r="F115" s="174">
        <f>170+5958+1564+130</f>
        <v>7822</v>
      </c>
      <c r="G115" s="174"/>
      <c r="H115" s="174"/>
      <c r="I115" s="174"/>
      <c r="J115" s="176">
        <f t="shared" si="23"/>
        <v>7822</v>
      </c>
      <c r="K115" s="174"/>
      <c r="L115" s="174"/>
      <c r="M115" s="174"/>
      <c r="N115" s="177">
        <f t="shared" si="25"/>
        <v>7822</v>
      </c>
      <c r="O115" s="210"/>
    </row>
    <row r="116" spans="1:15" s="179" customFormat="1" ht="11.25" customHeight="1">
      <c r="A116" s="171"/>
      <c r="B116" s="172" t="s">
        <v>314</v>
      </c>
      <c r="C116" s="173" t="s">
        <v>568</v>
      </c>
      <c r="D116" s="174"/>
      <c r="E116" s="174"/>
      <c r="F116" s="174"/>
      <c r="G116" s="174"/>
      <c r="H116" s="174"/>
      <c r="I116" s="174"/>
      <c r="J116" s="176"/>
      <c r="K116" s="174"/>
      <c r="L116" s="174"/>
      <c r="M116" s="174"/>
      <c r="N116" s="177"/>
      <c r="O116" s="210"/>
    </row>
    <row r="117" spans="1:15" s="179" customFormat="1" ht="11.25" customHeight="1">
      <c r="A117" s="171"/>
      <c r="B117" s="172"/>
      <c r="C117" s="287" t="s">
        <v>623</v>
      </c>
      <c r="D117" s="174"/>
      <c r="E117" s="174"/>
      <c r="F117" s="174"/>
      <c r="G117" s="174"/>
      <c r="H117" s="174"/>
      <c r="I117" s="174"/>
      <c r="J117" s="176">
        <f t="shared" si="23"/>
        <v>0</v>
      </c>
      <c r="K117" s="174">
        <v>337865</v>
      </c>
      <c r="L117" s="174"/>
      <c r="M117" s="174"/>
      <c r="N117" s="177">
        <f t="shared" si="25"/>
        <v>337865</v>
      </c>
      <c r="O117" s="210"/>
    </row>
    <row r="118" spans="1:15" s="179" customFormat="1" ht="11.25" customHeight="1">
      <c r="A118" s="171"/>
      <c r="B118" s="172"/>
      <c r="C118" s="287" t="s">
        <v>624</v>
      </c>
      <c r="D118" s="174"/>
      <c r="E118" s="174"/>
      <c r="F118" s="174"/>
      <c r="G118" s="174"/>
      <c r="H118" s="174"/>
      <c r="I118" s="174"/>
      <c r="J118" s="176">
        <f>SUM(D118:I118)</f>
        <v>0</v>
      </c>
      <c r="K118" s="174">
        <v>166190</v>
      </c>
      <c r="L118" s="174">
        <v>20939</v>
      </c>
      <c r="M118" s="174"/>
      <c r="N118" s="177">
        <f t="shared" si="25"/>
        <v>187129</v>
      </c>
      <c r="O118" s="210"/>
    </row>
    <row r="119" spans="1:15" s="179" customFormat="1" ht="11.25" customHeight="1">
      <c r="A119" s="607"/>
      <c r="B119" s="609"/>
      <c r="C119" s="288" t="s">
        <v>625</v>
      </c>
      <c r="D119" s="604"/>
      <c r="E119" s="604"/>
      <c r="F119" s="604"/>
      <c r="G119" s="604"/>
      <c r="H119" s="604"/>
      <c r="I119" s="604"/>
      <c r="J119" s="176">
        <f>SUM(D119:I119)</f>
        <v>0</v>
      </c>
      <c r="K119" s="604">
        <f>10757+94+1</f>
        <v>10852</v>
      </c>
      <c r="L119" s="604">
        <v>0</v>
      </c>
      <c r="M119" s="604"/>
      <c r="N119" s="605">
        <f t="shared" si="25"/>
        <v>10852</v>
      </c>
      <c r="O119" s="211"/>
    </row>
    <row r="120" spans="1:15" s="179" customFormat="1" ht="11.25" customHeight="1">
      <c r="A120" s="171"/>
      <c r="B120" s="172" t="s">
        <v>316</v>
      </c>
      <c r="C120" s="601" t="s">
        <v>798</v>
      </c>
      <c r="D120" s="174"/>
      <c r="E120" s="174"/>
      <c r="F120" s="174"/>
      <c r="G120" s="174"/>
      <c r="H120" s="174"/>
      <c r="I120" s="174"/>
      <c r="J120" s="176"/>
      <c r="K120" s="174"/>
      <c r="L120" s="174"/>
      <c r="M120" s="174"/>
      <c r="N120" s="177"/>
      <c r="O120" s="210"/>
    </row>
    <row r="121" spans="1:15" s="179" customFormat="1" ht="11.25" customHeight="1">
      <c r="A121" s="171"/>
      <c r="B121" s="172"/>
      <c r="C121" s="287" t="s">
        <v>623</v>
      </c>
      <c r="D121" s="174"/>
      <c r="E121" s="174"/>
      <c r="F121" s="174"/>
      <c r="G121" s="174"/>
      <c r="H121" s="174"/>
      <c r="I121" s="174"/>
      <c r="J121" s="176">
        <f>SUM(D121:I121)</f>
        <v>0</v>
      </c>
      <c r="K121" s="174"/>
      <c r="L121" s="174"/>
      <c r="M121" s="174"/>
      <c r="N121" s="177"/>
      <c r="O121" s="210"/>
    </row>
    <row r="122" spans="1:15" s="179" customFormat="1" ht="11.25" customHeight="1">
      <c r="A122" s="171"/>
      <c r="B122" s="172"/>
      <c r="C122" s="287" t="s">
        <v>624</v>
      </c>
      <c r="D122" s="174"/>
      <c r="E122" s="174"/>
      <c r="F122" s="174">
        <v>1000</v>
      </c>
      <c r="G122" s="174"/>
      <c r="H122" s="174"/>
      <c r="I122" s="174"/>
      <c r="J122" s="176">
        <f>SUM(D122:I122)</f>
        <v>1000</v>
      </c>
      <c r="K122" s="174"/>
      <c r="L122" s="174"/>
      <c r="M122" s="174"/>
      <c r="N122" s="177">
        <f>J122</f>
        <v>1000</v>
      </c>
      <c r="O122" s="210"/>
    </row>
    <row r="123" spans="1:15" s="179" customFormat="1" ht="11.25" customHeight="1" thickBot="1">
      <c r="A123" s="165"/>
      <c r="B123" s="166"/>
      <c r="C123" s="288" t="s">
        <v>625</v>
      </c>
      <c r="D123" s="167"/>
      <c r="E123" s="167"/>
      <c r="F123" s="167">
        <v>580</v>
      </c>
      <c r="G123" s="167"/>
      <c r="H123" s="167"/>
      <c r="I123" s="167"/>
      <c r="J123" s="169">
        <f>SUM(D123:I123)</f>
        <v>580</v>
      </c>
      <c r="K123" s="167"/>
      <c r="L123" s="167"/>
      <c r="M123" s="167"/>
      <c r="N123" s="170">
        <f>J123</f>
        <v>580</v>
      </c>
      <c r="O123" s="209"/>
    </row>
    <row r="124" spans="1:15" s="179" customFormat="1" ht="11.25" customHeight="1">
      <c r="A124" s="158">
        <v>14</v>
      </c>
      <c r="B124" s="249"/>
      <c r="C124" s="666" t="s">
        <v>500</v>
      </c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3"/>
      <c r="O124" s="208"/>
    </row>
    <row r="125" spans="1:15" s="179" customFormat="1" ht="11.25" customHeight="1">
      <c r="A125" s="171"/>
      <c r="B125" s="251"/>
      <c r="C125" s="287" t="s">
        <v>623</v>
      </c>
      <c r="D125" s="176">
        <f aca="true" t="shared" si="26" ref="D125:I127">D129+D133+D137+D141</f>
        <v>466</v>
      </c>
      <c r="E125" s="176">
        <f t="shared" si="26"/>
        <v>146</v>
      </c>
      <c r="F125" s="176">
        <f t="shared" si="26"/>
        <v>40210</v>
      </c>
      <c r="G125" s="176">
        <f t="shared" si="26"/>
        <v>0</v>
      </c>
      <c r="H125" s="176">
        <f t="shared" si="26"/>
        <v>283</v>
      </c>
      <c r="I125" s="176">
        <f t="shared" si="26"/>
        <v>0</v>
      </c>
      <c r="J125" s="176">
        <f>SUM(D125:I125)</f>
        <v>41105</v>
      </c>
      <c r="K125" s="176"/>
      <c r="L125" s="176"/>
      <c r="M125" s="176"/>
      <c r="N125" s="177">
        <f>SUM(J125:M125)</f>
        <v>41105</v>
      </c>
      <c r="O125" s="210"/>
    </row>
    <row r="126" spans="1:15" s="179" customFormat="1" ht="11.25" customHeight="1">
      <c r="A126" s="171"/>
      <c r="B126" s="251"/>
      <c r="C126" s="287" t="s">
        <v>624</v>
      </c>
      <c r="D126" s="176">
        <f t="shared" si="26"/>
        <v>306</v>
      </c>
      <c r="E126" s="176">
        <f t="shared" si="26"/>
        <v>86</v>
      </c>
      <c r="F126" s="176">
        <f t="shared" si="26"/>
        <v>58640</v>
      </c>
      <c r="G126" s="176">
        <f t="shared" si="26"/>
        <v>0</v>
      </c>
      <c r="H126" s="176">
        <f t="shared" si="26"/>
        <v>283</v>
      </c>
      <c r="I126" s="176">
        <f t="shared" si="26"/>
        <v>0</v>
      </c>
      <c r="J126" s="176">
        <f aca="true" t="shared" si="27" ref="J126:J139">SUM(D126:I126)</f>
        <v>59315</v>
      </c>
      <c r="K126" s="176"/>
      <c r="L126" s="176"/>
      <c r="M126" s="176"/>
      <c r="N126" s="177">
        <f aca="true" t="shared" si="28" ref="N126:N139">SUM(J126:M126)</f>
        <v>59315</v>
      </c>
      <c r="O126" s="210"/>
    </row>
    <row r="127" spans="1:15" s="179" customFormat="1" ht="11.25" customHeight="1">
      <c r="A127" s="171"/>
      <c r="B127" s="251"/>
      <c r="C127" s="287" t="s">
        <v>625</v>
      </c>
      <c r="D127" s="176">
        <f t="shared" si="26"/>
        <v>271</v>
      </c>
      <c r="E127" s="176">
        <f t="shared" si="26"/>
        <v>66</v>
      </c>
      <c r="F127" s="176">
        <f t="shared" si="26"/>
        <v>50784</v>
      </c>
      <c r="G127" s="176">
        <f t="shared" si="26"/>
        <v>0</v>
      </c>
      <c r="H127" s="176">
        <f t="shared" si="26"/>
        <v>0</v>
      </c>
      <c r="I127" s="176">
        <f t="shared" si="26"/>
        <v>0</v>
      </c>
      <c r="J127" s="176">
        <f t="shared" si="27"/>
        <v>51121</v>
      </c>
      <c r="K127" s="176"/>
      <c r="L127" s="176"/>
      <c r="M127" s="176"/>
      <c r="N127" s="177">
        <f t="shared" si="28"/>
        <v>51121</v>
      </c>
      <c r="O127" s="210"/>
    </row>
    <row r="128" spans="1:15" ht="11.25" customHeight="1">
      <c r="A128" s="171"/>
      <c r="B128" s="183" t="s">
        <v>312</v>
      </c>
      <c r="C128" s="175" t="s">
        <v>58</v>
      </c>
      <c r="D128" s="174"/>
      <c r="E128" s="174"/>
      <c r="F128" s="175"/>
      <c r="G128" s="174"/>
      <c r="H128" s="174"/>
      <c r="I128" s="174"/>
      <c r="J128" s="176"/>
      <c r="K128" s="174"/>
      <c r="L128" s="174"/>
      <c r="M128" s="174"/>
      <c r="N128" s="177"/>
      <c r="O128" s="210"/>
    </row>
    <row r="129" spans="1:15" ht="11.25" customHeight="1">
      <c r="A129" s="171"/>
      <c r="B129" s="183"/>
      <c r="C129" s="287" t="s">
        <v>623</v>
      </c>
      <c r="D129" s="174">
        <v>466</v>
      </c>
      <c r="E129" s="174">
        <v>146</v>
      </c>
      <c r="F129" s="175">
        <v>19528</v>
      </c>
      <c r="G129" s="174"/>
      <c r="H129" s="174">
        <v>283</v>
      </c>
      <c r="I129" s="174"/>
      <c r="J129" s="176">
        <f t="shared" si="27"/>
        <v>20423</v>
      </c>
      <c r="K129" s="174"/>
      <c r="L129" s="174"/>
      <c r="M129" s="174"/>
      <c r="N129" s="177">
        <f t="shared" si="28"/>
        <v>20423</v>
      </c>
      <c r="O129" s="210"/>
    </row>
    <row r="130" spans="1:15" ht="11.25" customHeight="1">
      <c r="A130" s="171"/>
      <c r="B130" s="183"/>
      <c r="C130" s="287" t="s">
        <v>624</v>
      </c>
      <c r="D130" s="174">
        <v>306</v>
      </c>
      <c r="E130" s="174">
        <v>86</v>
      </c>
      <c r="F130" s="175">
        <v>19994</v>
      </c>
      <c r="G130" s="174"/>
      <c r="H130" s="174">
        <v>283</v>
      </c>
      <c r="I130" s="174"/>
      <c r="J130" s="176">
        <f t="shared" si="27"/>
        <v>20669</v>
      </c>
      <c r="K130" s="174"/>
      <c r="L130" s="174"/>
      <c r="M130" s="174"/>
      <c r="N130" s="177">
        <f t="shared" si="28"/>
        <v>20669</v>
      </c>
      <c r="O130" s="210"/>
    </row>
    <row r="131" spans="1:15" ht="11.25" customHeight="1">
      <c r="A131" s="171"/>
      <c r="B131" s="183"/>
      <c r="C131" s="287" t="s">
        <v>625</v>
      </c>
      <c r="D131" s="174">
        <v>271</v>
      </c>
      <c r="E131" s="174">
        <v>66</v>
      </c>
      <c r="F131" s="175">
        <f>150+6346+114+6998+1689+1832</f>
        <v>17129</v>
      </c>
      <c r="G131" s="174"/>
      <c r="H131" s="174"/>
      <c r="I131" s="174"/>
      <c r="J131" s="176">
        <f t="shared" si="27"/>
        <v>17466</v>
      </c>
      <c r="K131" s="174"/>
      <c r="L131" s="174"/>
      <c r="M131" s="174"/>
      <c r="N131" s="177">
        <f t="shared" si="28"/>
        <v>17466</v>
      </c>
      <c r="O131" s="210"/>
    </row>
    <row r="132" spans="1:15" ht="11.25" customHeight="1">
      <c r="A132" s="171"/>
      <c r="B132" s="183" t="s">
        <v>314</v>
      </c>
      <c r="C132" s="175" t="s">
        <v>1293</v>
      </c>
      <c r="D132" s="174"/>
      <c r="E132" s="174"/>
      <c r="F132" s="175"/>
      <c r="G132" s="174"/>
      <c r="H132" s="174"/>
      <c r="I132" s="174"/>
      <c r="J132" s="176"/>
      <c r="K132" s="174"/>
      <c r="L132" s="174"/>
      <c r="M132" s="174"/>
      <c r="N132" s="177"/>
      <c r="O132" s="210"/>
    </row>
    <row r="133" spans="1:15" ht="11.25" customHeight="1">
      <c r="A133" s="171"/>
      <c r="B133" s="183"/>
      <c r="C133" s="287" t="s">
        <v>623</v>
      </c>
      <c r="D133" s="174"/>
      <c r="E133" s="174"/>
      <c r="F133" s="175">
        <v>10000</v>
      </c>
      <c r="G133" s="174"/>
      <c r="H133" s="174"/>
      <c r="I133" s="174"/>
      <c r="J133" s="176">
        <f t="shared" si="27"/>
        <v>10000</v>
      </c>
      <c r="K133" s="174"/>
      <c r="L133" s="174"/>
      <c r="M133" s="174"/>
      <c r="N133" s="177">
        <f t="shared" si="28"/>
        <v>10000</v>
      </c>
      <c r="O133" s="210"/>
    </row>
    <row r="134" spans="1:15" ht="11.25" customHeight="1">
      <c r="A134" s="171"/>
      <c r="B134" s="183"/>
      <c r="C134" s="287" t="s">
        <v>624</v>
      </c>
      <c r="D134" s="174"/>
      <c r="E134" s="174"/>
      <c r="F134" s="175">
        <v>27000</v>
      </c>
      <c r="G134" s="174"/>
      <c r="H134" s="174"/>
      <c r="I134" s="174"/>
      <c r="J134" s="176">
        <f t="shared" si="27"/>
        <v>27000</v>
      </c>
      <c r="K134" s="174"/>
      <c r="L134" s="174"/>
      <c r="M134" s="174"/>
      <c r="N134" s="177">
        <f t="shared" si="28"/>
        <v>27000</v>
      </c>
      <c r="O134" s="210"/>
    </row>
    <row r="135" spans="1:15" ht="11.25" customHeight="1">
      <c r="A135" s="171"/>
      <c r="B135" s="183"/>
      <c r="C135" s="287" t="s">
        <v>625</v>
      </c>
      <c r="D135" s="174"/>
      <c r="E135" s="174"/>
      <c r="F135" s="175">
        <v>24055</v>
      </c>
      <c r="G135" s="174"/>
      <c r="H135" s="174"/>
      <c r="I135" s="174"/>
      <c r="J135" s="176">
        <f t="shared" si="27"/>
        <v>24055</v>
      </c>
      <c r="K135" s="174"/>
      <c r="L135" s="174"/>
      <c r="M135" s="174"/>
      <c r="N135" s="177">
        <f t="shared" si="28"/>
        <v>24055</v>
      </c>
      <c r="O135" s="210"/>
    </row>
    <row r="136" spans="1:15" ht="20.25" customHeight="1">
      <c r="A136" s="171"/>
      <c r="B136" s="183" t="s">
        <v>316</v>
      </c>
      <c r="C136" s="198" t="s">
        <v>495</v>
      </c>
      <c r="D136" s="174"/>
      <c r="E136" s="174"/>
      <c r="F136" s="175"/>
      <c r="G136" s="174"/>
      <c r="H136" s="174"/>
      <c r="I136" s="174"/>
      <c r="J136" s="176">
        <f t="shared" si="27"/>
        <v>0</v>
      </c>
      <c r="K136" s="174"/>
      <c r="L136" s="174"/>
      <c r="M136" s="174"/>
      <c r="N136" s="177">
        <f t="shared" si="28"/>
        <v>0</v>
      </c>
      <c r="O136" s="210"/>
    </row>
    <row r="137" spans="1:15" ht="12.75" customHeight="1">
      <c r="A137" s="171"/>
      <c r="B137" s="183"/>
      <c r="C137" s="287" t="s">
        <v>623</v>
      </c>
      <c r="D137" s="174"/>
      <c r="E137" s="174"/>
      <c r="F137" s="175">
        <v>1710</v>
      </c>
      <c r="G137" s="174"/>
      <c r="H137" s="174"/>
      <c r="I137" s="174"/>
      <c r="J137" s="176">
        <f t="shared" si="27"/>
        <v>1710</v>
      </c>
      <c r="K137" s="174"/>
      <c r="L137" s="174"/>
      <c r="M137" s="174"/>
      <c r="N137" s="177">
        <f t="shared" si="28"/>
        <v>1710</v>
      </c>
      <c r="O137" s="210"/>
    </row>
    <row r="138" spans="1:15" ht="12.75" customHeight="1">
      <c r="A138" s="171"/>
      <c r="B138" s="183"/>
      <c r="C138" s="287" t="s">
        <v>624</v>
      </c>
      <c r="D138" s="174"/>
      <c r="E138" s="174"/>
      <c r="F138" s="175">
        <v>1716</v>
      </c>
      <c r="G138" s="174"/>
      <c r="H138" s="174"/>
      <c r="I138" s="174"/>
      <c r="J138" s="176">
        <f t="shared" si="27"/>
        <v>1716</v>
      </c>
      <c r="K138" s="174"/>
      <c r="L138" s="174"/>
      <c r="M138" s="174"/>
      <c r="N138" s="177">
        <f t="shared" si="28"/>
        <v>1716</v>
      </c>
      <c r="O138" s="210"/>
    </row>
    <row r="139" spans="1:15" ht="12.75" customHeight="1">
      <c r="A139" s="158"/>
      <c r="B139" s="184"/>
      <c r="C139" s="464" t="s">
        <v>625</v>
      </c>
      <c r="D139" s="160"/>
      <c r="E139" s="160"/>
      <c r="F139" s="161">
        <v>986</v>
      </c>
      <c r="G139" s="160"/>
      <c r="H139" s="160"/>
      <c r="I139" s="160"/>
      <c r="J139" s="162">
        <f t="shared" si="27"/>
        <v>986</v>
      </c>
      <c r="K139" s="160"/>
      <c r="L139" s="160"/>
      <c r="M139" s="160"/>
      <c r="N139" s="163">
        <f t="shared" si="28"/>
        <v>986</v>
      </c>
      <c r="O139" s="208"/>
    </row>
    <row r="140" spans="1:15" ht="12.75" customHeight="1">
      <c r="A140" s="171"/>
      <c r="B140" s="183" t="s">
        <v>318</v>
      </c>
      <c r="C140" s="601" t="s">
        <v>903</v>
      </c>
      <c r="D140" s="174"/>
      <c r="E140" s="174"/>
      <c r="F140" s="175"/>
      <c r="G140" s="174"/>
      <c r="H140" s="174"/>
      <c r="I140" s="174"/>
      <c r="J140" s="176"/>
      <c r="K140" s="174"/>
      <c r="L140" s="174"/>
      <c r="M140" s="174"/>
      <c r="N140" s="177"/>
      <c r="O140" s="210"/>
    </row>
    <row r="141" spans="1:15" ht="12.75" customHeight="1">
      <c r="A141" s="171"/>
      <c r="B141" s="183"/>
      <c r="C141" s="287" t="s">
        <v>623</v>
      </c>
      <c r="D141" s="174"/>
      <c r="E141" s="174"/>
      <c r="F141" s="175">
        <v>8972</v>
      </c>
      <c r="G141" s="174"/>
      <c r="H141" s="174"/>
      <c r="I141" s="174"/>
      <c r="J141" s="176">
        <f>F141</f>
        <v>8972</v>
      </c>
      <c r="K141" s="174"/>
      <c r="L141" s="174"/>
      <c r="M141" s="174"/>
      <c r="N141" s="177">
        <f>J141</f>
        <v>8972</v>
      </c>
      <c r="O141" s="210"/>
    </row>
    <row r="142" spans="1:15" ht="12.75" customHeight="1">
      <c r="A142" s="171"/>
      <c r="B142" s="183"/>
      <c r="C142" s="287" t="s">
        <v>624</v>
      </c>
      <c r="D142" s="174"/>
      <c r="E142" s="174"/>
      <c r="F142" s="175">
        <v>9930</v>
      </c>
      <c r="G142" s="174"/>
      <c r="H142" s="174"/>
      <c r="I142" s="174"/>
      <c r="J142" s="176">
        <f>F142</f>
        <v>9930</v>
      </c>
      <c r="K142" s="174"/>
      <c r="L142" s="174"/>
      <c r="M142" s="174"/>
      <c r="N142" s="177">
        <f>J142</f>
        <v>9930</v>
      </c>
      <c r="O142" s="210"/>
    </row>
    <row r="143" spans="1:15" ht="12.75" customHeight="1" thickBot="1">
      <c r="A143" s="158"/>
      <c r="B143" s="184"/>
      <c r="C143" s="303" t="s">
        <v>625</v>
      </c>
      <c r="D143" s="160"/>
      <c r="E143" s="160"/>
      <c r="F143" s="161">
        <f>8981-367</f>
        <v>8614</v>
      </c>
      <c r="G143" s="160"/>
      <c r="H143" s="160"/>
      <c r="I143" s="160"/>
      <c r="J143" s="162">
        <f>F143</f>
        <v>8614</v>
      </c>
      <c r="K143" s="160"/>
      <c r="L143" s="160"/>
      <c r="M143" s="160"/>
      <c r="N143" s="163">
        <f>J143</f>
        <v>8614</v>
      </c>
      <c r="O143" s="208"/>
    </row>
    <row r="144" spans="1:15" ht="11.25" customHeight="1">
      <c r="A144" s="186">
        <v>15</v>
      </c>
      <c r="B144" s="253" t="s">
        <v>312</v>
      </c>
      <c r="C144" s="188" t="s">
        <v>59</v>
      </c>
      <c r="D144" s="294"/>
      <c r="E144" s="294"/>
      <c r="F144" s="188"/>
      <c r="G144" s="294"/>
      <c r="H144" s="294"/>
      <c r="I144" s="294"/>
      <c r="J144" s="194"/>
      <c r="K144" s="294"/>
      <c r="L144" s="294"/>
      <c r="M144" s="294"/>
      <c r="N144" s="188"/>
      <c r="O144" s="211"/>
    </row>
    <row r="145" spans="1:15" ht="11.25" customHeight="1">
      <c r="A145" s="171"/>
      <c r="B145" s="301"/>
      <c r="C145" s="287" t="s">
        <v>623</v>
      </c>
      <c r="D145" s="174"/>
      <c r="E145" s="174"/>
      <c r="F145" s="177">
        <v>15156</v>
      </c>
      <c r="G145" s="174"/>
      <c r="H145" s="174"/>
      <c r="I145" s="174"/>
      <c r="J145" s="176">
        <f>SUM(D145:I145)</f>
        <v>15156</v>
      </c>
      <c r="K145" s="174"/>
      <c r="L145" s="174"/>
      <c r="M145" s="174"/>
      <c r="N145" s="177">
        <f>SUM(J145:M145)</f>
        <v>15156</v>
      </c>
      <c r="O145" s="210"/>
    </row>
    <row r="146" spans="1:15" ht="11.25" customHeight="1">
      <c r="A146" s="171"/>
      <c r="B146" s="301"/>
      <c r="C146" s="287" t="s">
        <v>624</v>
      </c>
      <c r="D146" s="174"/>
      <c r="E146" s="174"/>
      <c r="F146" s="177">
        <v>15156</v>
      </c>
      <c r="G146" s="174"/>
      <c r="H146" s="174"/>
      <c r="I146" s="174"/>
      <c r="J146" s="176">
        <f>SUM(D146:I146)</f>
        <v>15156</v>
      </c>
      <c r="K146" s="174"/>
      <c r="L146" s="174"/>
      <c r="M146" s="174"/>
      <c r="N146" s="177">
        <f>SUM(J146:M146)</f>
        <v>15156</v>
      </c>
      <c r="O146" s="210"/>
    </row>
    <row r="147" spans="1:15" ht="11.25" customHeight="1" thickBot="1">
      <c r="A147" s="165"/>
      <c r="B147" s="304"/>
      <c r="C147" s="302" t="s">
        <v>625</v>
      </c>
      <c r="D147" s="167"/>
      <c r="E147" s="167"/>
      <c r="F147" s="170">
        <v>14825</v>
      </c>
      <c r="G147" s="167"/>
      <c r="H147" s="167"/>
      <c r="I147" s="167"/>
      <c r="J147" s="169">
        <f>SUM(D147:I147)</f>
        <v>14825</v>
      </c>
      <c r="K147" s="167"/>
      <c r="L147" s="167"/>
      <c r="M147" s="167"/>
      <c r="N147" s="170">
        <f>SUM(J147:M147)</f>
        <v>14825</v>
      </c>
      <c r="O147" s="209"/>
    </row>
    <row r="148" spans="1:15" s="179" customFormat="1" ht="11.25" customHeight="1">
      <c r="A148" s="158">
        <v>16</v>
      </c>
      <c r="B148" s="249"/>
      <c r="C148" s="163" t="s">
        <v>60</v>
      </c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3"/>
      <c r="O148" s="208"/>
    </row>
    <row r="149" spans="1:15" s="179" customFormat="1" ht="11.25" customHeight="1">
      <c r="A149" s="171"/>
      <c r="B149" s="251"/>
      <c r="C149" s="287" t="s">
        <v>623</v>
      </c>
      <c r="D149" s="176">
        <f aca="true" t="shared" si="29" ref="D149:I149">D153+D157</f>
        <v>26661</v>
      </c>
      <c r="E149" s="176">
        <f t="shared" si="29"/>
        <v>6761</v>
      </c>
      <c r="F149" s="176">
        <f t="shared" si="29"/>
        <v>3736</v>
      </c>
      <c r="G149" s="176">
        <f t="shared" si="29"/>
        <v>0</v>
      </c>
      <c r="H149" s="176">
        <f t="shared" si="29"/>
        <v>0</v>
      </c>
      <c r="I149" s="176">
        <f t="shared" si="29"/>
        <v>0</v>
      </c>
      <c r="J149" s="176">
        <f>SUM(D149:I149)</f>
        <v>37158</v>
      </c>
      <c r="K149" s="176">
        <f>K153+K157</f>
        <v>1800</v>
      </c>
      <c r="L149" s="176">
        <f>L153+L157</f>
        <v>0</v>
      </c>
      <c r="M149" s="176">
        <f>M153+M157</f>
        <v>0</v>
      </c>
      <c r="N149" s="177">
        <f>SUM(J149:M149)</f>
        <v>38958</v>
      </c>
      <c r="O149" s="210">
        <f>O153</f>
        <v>1.2</v>
      </c>
    </row>
    <row r="150" spans="1:15" s="179" customFormat="1" ht="11.25" customHeight="1">
      <c r="A150" s="171"/>
      <c r="B150" s="251"/>
      <c r="C150" s="287" t="s">
        <v>624</v>
      </c>
      <c r="D150" s="176">
        <f aca="true" t="shared" si="30" ref="D150:I151">D154+D158</f>
        <v>26505</v>
      </c>
      <c r="E150" s="176">
        <f t="shared" si="30"/>
        <v>6761</v>
      </c>
      <c r="F150" s="176">
        <f t="shared" si="30"/>
        <v>3743</v>
      </c>
      <c r="G150" s="176">
        <f t="shared" si="30"/>
        <v>0</v>
      </c>
      <c r="H150" s="176">
        <f t="shared" si="30"/>
        <v>78</v>
      </c>
      <c r="I150" s="176">
        <f t="shared" si="30"/>
        <v>78</v>
      </c>
      <c r="J150" s="176">
        <f aca="true" t="shared" si="31" ref="J150:J159">SUM(D150:I150)</f>
        <v>37165</v>
      </c>
      <c r="K150" s="176">
        <f aca="true" t="shared" si="32" ref="K150:M151">K154+K158</f>
        <v>1800</v>
      </c>
      <c r="L150" s="176">
        <f t="shared" si="32"/>
        <v>0</v>
      </c>
      <c r="M150" s="176">
        <f t="shared" si="32"/>
        <v>0</v>
      </c>
      <c r="N150" s="177">
        <f aca="true" t="shared" si="33" ref="N150:N171">SUM(J150:M150)</f>
        <v>38965</v>
      </c>
      <c r="O150" s="210">
        <f>O154+O158</f>
        <v>1.2</v>
      </c>
    </row>
    <row r="151" spans="1:15" s="179" customFormat="1" ht="11.25" customHeight="1">
      <c r="A151" s="171"/>
      <c r="B151" s="251"/>
      <c r="C151" s="287" t="s">
        <v>625</v>
      </c>
      <c r="D151" s="176">
        <f t="shared" si="30"/>
        <v>25710</v>
      </c>
      <c r="E151" s="176">
        <f t="shared" si="30"/>
        <v>6903</v>
      </c>
      <c r="F151" s="176">
        <f t="shared" si="30"/>
        <v>2631</v>
      </c>
      <c r="G151" s="176">
        <f t="shared" si="30"/>
        <v>0</v>
      </c>
      <c r="H151" s="176">
        <f t="shared" si="30"/>
        <v>77</v>
      </c>
      <c r="I151" s="176">
        <f t="shared" si="30"/>
        <v>77</v>
      </c>
      <c r="J151" s="176">
        <f t="shared" si="31"/>
        <v>35398</v>
      </c>
      <c r="K151" s="176">
        <f t="shared" si="32"/>
        <v>1674</v>
      </c>
      <c r="L151" s="176"/>
      <c r="M151" s="176"/>
      <c r="N151" s="177">
        <f t="shared" si="33"/>
        <v>37072</v>
      </c>
      <c r="O151" s="210">
        <f>O155+O159</f>
        <v>1.2</v>
      </c>
    </row>
    <row r="152" spans="1:15" ht="12" customHeight="1">
      <c r="A152" s="171"/>
      <c r="B152" s="172" t="s">
        <v>312</v>
      </c>
      <c r="C152" s="173" t="s">
        <v>61</v>
      </c>
      <c r="D152" s="174"/>
      <c r="E152" s="174"/>
      <c r="F152" s="174"/>
      <c r="G152" s="174"/>
      <c r="H152" s="174"/>
      <c r="I152" s="174"/>
      <c r="J152" s="176"/>
      <c r="K152" s="174"/>
      <c r="L152" s="174"/>
      <c r="M152" s="174"/>
      <c r="N152" s="177"/>
      <c r="O152" s="210"/>
    </row>
    <row r="153" spans="1:15" ht="12" customHeight="1">
      <c r="A153" s="171"/>
      <c r="B153" s="172"/>
      <c r="C153" s="287" t="s">
        <v>623</v>
      </c>
      <c r="D153" s="174">
        <v>26661</v>
      </c>
      <c r="E153" s="174">
        <v>6761</v>
      </c>
      <c r="F153" s="174">
        <v>2336</v>
      </c>
      <c r="G153" s="174"/>
      <c r="H153" s="174"/>
      <c r="I153" s="174"/>
      <c r="J153" s="176">
        <f t="shared" si="31"/>
        <v>35758</v>
      </c>
      <c r="K153" s="174">
        <v>1800</v>
      </c>
      <c r="L153" s="174"/>
      <c r="M153" s="174"/>
      <c r="N153" s="177">
        <f t="shared" si="33"/>
        <v>37558</v>
      </c>
      <c r="O153" s="210">
        <v>1.2</v>
      </c>
    </row>
    <row r="154" spans="1:15" ht="12" customHeight="1">
      <c r="A154" s="171"/>
      <c r="B154" s="172"/>
      <c r="C154" s="287" t="s">
        <v>624</v>
      </c>
      <c r="D154" s="174">
        <v>26505</v>
      </c>
      <c r="E154" s="174">
        <v>6761</v>
      </c>
      <c r="F154" s="174">
        <v>2343</v>
      </c>
      <c r="G154" s="174"/>
      <c r="H154" s="174">
        <v>78</v>
      </c>
      <c r="I154" s="174">
        <v>78</v>
      </c>
      <c r="J154" s="176">
        <f t="shared" si="31"/>
        <v>35765</v>
      </c>
      <c r="K154" s="174">
        <v>1800</v>
      </c>
      <c r="L154" s="174"/>
      <c r="M154" s="174"/>
      <c r="N154" s="177">
        <f t="shared" si="33"/>
        <v>37565</v>
      </c>
      <c r="O154" s="210">
        <v>1.2</v>
      </c>
    </row>
    <row r="155" spans="1:15" ht="12" customHeight="1">
      <c r="A155" s="171"/>
      <c r="B155" s="172"/>
      <c r="C155" s="287" t="s">
        <v>625</v>
      </c>
      <c r="D155" s="174">
        <f>9585+16125</f>
        <v>25710</v>
      </c>
      <c r="E155" s="174">
        <v>6903</v>
      </c>
      <c r="F155" s="174">
        <f>107+102+864+122+1+35</f>
        <v>1231</v>
      </c>
      <c r="G155" s="174"/>
      <c r="H155" s="174">
        <v>77</v>
      </c>
      <c r="I155" s="174">
        <v>77</v>
      </c>
      <c r="J155" s="176">
        <f t="shared" si="31"/>
        <v>33998</v>
      </c>
      <c r="K155" s="174">
        <f>1339+335</f>
        <v>1674</v>
      </c>
      <c r="L155" s="174"/>
      <c r="M155" s="174"/>
      <c r="N155" s="177">
        <f t="shared" si="33"/>
        <v>35672</v>
      </c>
      <c r="O155" s="210">
        <v>1.2</v>
      </c>
    </row>
    <row r="156" spans="1:15" ht="11.25" customHeight="1">
      <c r="A156" s="171"/>
      <c r="B156" s="172" t="s">
        <v>314</v>
      </c>
      <c r="C156" s="173" t="s">
        <v>288</v>
      </c>
      <c r="D156" s="174"/>
      <c r="E156" s="174"/>
      <c r="F156" s="174"/>
      <c r="G156" s="174"/>
      <c r="H156" s="174"/>
      <c r="I156" s="174"/>
      <c r="J156" s="176"/>
      <c r="K156" s="174"/>
      <c r="L156" s="174"/>
      <c r="M156" s="174"/>
      <c r="N156" s="177"/>
      <c r="O156" s="210"/>
    </row>
    <row r="157" spans="1:15" ht="11.25" customHeight="1">
      <c r="A157" s="171"/>
      <c r="B157" s="172"/>
      <c r="C157" s="287" t="s">
        <v>623</v>
      </c>
      <c r="D157" s="174"/>
      <c r="E157" s="174"/>
      <c r="F157" s="174">
        <v>1400</v>
      </c>
      <c r="G157" s="174"/>
      <c r="H157" s="174"/>
      <c r="I157" s="174"/>
      <c r="J157" s="176">
        <f t="shared" si="31"/>
        <v>1400</v>
      </c>
      <c r="K157" s="174"/>
      <c r="L157" s="174"/>
      <c r="M157" s="174"/>
      <c r="N157" s="177">
        <f t="shared" si="33"/>
        <v>1400</v>
      </c>
      <c r="O157" s="210"/>
    </row>
    <row r="158" spans="1:15" ht="11.25" customHeight="1">
      <c r="A158" s="171"/>
      <c r="B158" s="172"/>
      <c r="C158" s="287" t="s">
        <v>624</v>
      </c>
      <c r="D158" s="174"/>
      <c r="E158" s="174"/>
      <c r="F158" s="174">
        <v>1400</v>
      </c>
      <c r="G158" s="174"/>
      <c r="H158" s="174"/>
      <c r="I158" s="174"/>
      <c r="J158" s="176">
        <f t="shared" si="31"/>
        <v>1400</v>
      </c>
      <c r="K158" s="174"/>
      <c r="L158" s="174"/>
      <c r="M158" s="174"/>
      <c r="N158" s="177">
        <f t="shared" si="33"/>
        <v>1400</v>
      </c>
      <c r="O158" s="210"/>
    </row>
    <row r="159" spans="1:15" ht="11.25" customHeight="1" thickBot="1">
      <c r="A159" s="165"/>
      <c r="B159" s="166"/>
      <c r="C159" s="302" t="s">
        <v>625</v>
      </c>
      <c r="D159" s="167"/>
      <c r="E159" s="167"/>
      <c r="F159" s="167">
        <v>1400</v>
      </c>
      <c r="G159" s="167"/>
      <c r="H159" s="167"/>
      <c r="I159" s="167"/>
      <c r="J159" s="169">
        <f t="shared" si="31"/>
        <v>1400</v>
      </c>
      <c r="K159" s="167"/>
      <c r="L159" s="167"/>
      <c r="M159" s="167"/>
      <c r="N159" s="170">
        <f t="shared" si="33"/>
        <v>1400</v>
      </c>
      <c r="O159" s="209"/>
    </row>
    <row r="160" spans="1:15" s="179" customFormat="1" ht="11.25" customHeight="1">
      <c r="A160" s="149">
        <v>17</v>
      </c>
      <c r="B160" s="1493"/>
      <c r="C160" s="666" t="s">
        <v>799</v>
      </c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2"/>
      <c r="O160" s="206"/>
    </row>
    <row r="161" spans="1:15" s="179" customFormat="1" ht="11.25" customHeight="1">
      <c r="A161" s="171"/>
      <c r="B161" s="305"/>
      <c r="C161" s="287" t="s">
        <v>623</v>
      </c>
      <c r="D161" s="176">
        <f aca="true" t="shared" si="34" ref="D161:I161">D165+D169</f>
        <v>1945</v>
      </c>
      <c r="E161" s="176">
        <f t="shared" si="34"/>
        <v>524</v>
      </c>
      <c r="F161" s="176">
        <f t="shared" si="34"/>
        <v>2554</v>
      </c>
      <c r="G161" s="176">
        <f t="shared" si="34"/>
        <v>0</v>
      </c>
      <c r="H161" s="176">
        <f t="shared" si="34"/>
        <v>0</v>
      </c>
      <c r="I161" s="176">
        <f t="shared" si="34"/>
        <v>0</v>
      </c>
      <c r="J161" s="176">
        <f aca="true" t="shared" si="35" ref="J161:J171">SUM(D161:I161)</f>
        <v>5023</v>
      </c>
      <c r="K161" s="176"/>
      <c r="L161" s="176"/>
      <c r="M161" s="176"/>
      <c r="N161" s="177">
        <f t="shared" si="33"/>
        <v>5023</v>
      </c>
      <c r="O161" s="210"/>
    </row>
    <row r="162" spans="1:15" s="179" customFormat="1" ht="11.25" customHeight="1">
      <c r="A162" s="171"/>
      <c r="B162" s="305"/>
      <c r="C162" s="287" t="s">
        <v>624</v>
      </c>
      <c r="D162" s="176">
        <f aca="true" t="shared" si="36" ref="D162:I162">D166+D170</f>
        <v>1479</v>
      </c>
      <c r="E162" s="176">
        <f t="shared" si="36"/>
        <v>389</v>
      </c>
      <c r="F162" s="176">
        <f t="shared" si="36"/>
        <v>1811</v>
      </c>
      <c r="G162" s="176">
        <f t="shared" si="36"/>
        <v>0</v>
      </c>
      <c r="H162" s="176">
        <f t="shared" si="36"/>
        <v>0</v>
      </c>
      <c r="I162" s="176">
        <f t="shared" si="36"/>
        <v>0</v>
      </c>
      <c r="J162" s="176">
        <f t="shared" si="35"/>
        <v>3679</v>
      </c>
      <c r="K162" s="176"/>
      <c r="L162" s="176"/>
      <c r="M162" s="176"/>
      <c r="N162" s="177">
        <f t="shared" si="33"/>
        <v>3679</v>
      </c>
      <c r="O162" s="210"/>
    </row>
    <row r="163" spans="1:15" s="179" customFormat="1" ht="11.25" customHeight="1">
      <c r="A163" s="171"/>
      <c r="B163" s="305"/>
      <c r="C163" s="287" t="s">
        <v>625</v>
      </c>
      <c r="D163" s="176">
        <f aca="true" t="shared" si="37" ref="D163:I163">D167+D171</f>
        <v>1479</v>
      </c>
      <c r="E163" s="176">
        <f t="shared" si="37"/>
        <v>389</v>
      </c>
      <c r="F163" s="176">
        <f t="shared" si="37"/>
        <v>1811</v>
      </c>
      <c r="G163" s="176">
        <f t="shared" si="37"/>
        <v>0</v>
      </c>
      <c r="H163" s="176">
        <f t="shared" si="37"/>
        <v>0</v>
      </c>
      <c r="I163" s="176">
        <f t="shared" si="37"/>
        <v>0</v>
      </c>
      <c r="J163" s="176">
        <f t="shared" si="35"/>
        <v>3679</v>
      </c>
      <c r="K163" s="176"/>
      <c r="L163" s="176"/>
      <c r="M163" s="176"/>
      <c r="N163" s="177">
        <f t="shared" si="33"/>
        <v>3679</v>
      </c>
      <c r="O163" s="210"/>
    </row>
    <row r="164" spans="1:15" ht="11.25" customHeight="1">
      <c r="A164" s="180"/>
      <c r="B164" s="183" t="s">
        <v>312</v>
      </c>
      <c r="C164" s="173" t="s">
        <v>733</v>
      </c>
      <c r="D164" s="174"/>
      <c r="E164" s="174"/>
      <c r="F164" s="174"/>
      <c r="G164" s="174"/>
      <c r="H164" s="174"/>
      <c r="I164" s="174"/>
      <c r="J164" s="176"/>
      <c r="K164" s="174"/>
      <c r="L164" s="174"/>
      <c r="M164" s="174"/>
      <c r="N164" s="177"/>
      <c r="O164" s="215"/>
    </row>
    <row r="165" spans="1:15" ht="11.25" customHeight="1">
      <c r="A165" s="180"/>
      <c r="B165" s="183"/>
      <c r="C165" s="287" t="s">
        <v>623</v>
      </c>
      <c r="D165" s="174">
        <v>15</v>
      </c>
      <c r="E165" s="174">
        <v>4</v>
      </c>
      <c r="F165" s="174">
        <v>4</v>
      </c>
      <c r="G165" s="174"/>
      <c r="H165" s="174"/>
      <c r="I165" s="174"/>
      <c r="J165" s="176">
        <f t="shared" si="35"/>
        <v>23</v>
      </c>
      <c r="K165" s="174"/>
      <c r="L165" s="174"/>
      <c r="M165" s="174"/>
      <c r="N165" s="177">
        <f t="shared" si="33"/>
        <v>23</v>
      </c>
      <c r="O165" s="215"/>
    </row>
    <row r="166" spans="1:15" ht="11.25" customHeight="1">
      <c r="A166" s="180"/>
      <c r="B166" s="183"/>
      <c r="C166" s="287" t="s">
        <v>624</v>
      </c>
      <c r="D166" s="174">
        <v>15</v>
      </c>
      <c r="E166" s="174">
        <v>4</v>
      </c>
      <c r="F166" s="174">
        <v>4</v>
      </c>
      <c r="G166" s="174"/>
      <c r="H166" s="174"/>
      <c r="I166" s="174"/>
      <c r="J166" s="176">
        <f t="shared" si="35"/>
        <v>23</v>
      </c>
      <c r="K166" s="174"/>
      <c r="L166" s="174"/>
      <c r="M166" s="174"/>
      <c r="N166" s="177">
        <f t="shared" si="33"/>
        <v>23</v>
      </c>
      <c r="O166" s="215"/>
    </row>
    <row r="167" spans="1:15" ht="11.25" customHeight="1">
      <c r="A167" s="180"/>
      <c r="B167" s="183"/>
      <c r="C167" s="287" t="s">
        <v>625</v>
      </c>
      <c r="D167" s="174">
        <v>15</v>
      </c>
      <c r="E167" s="174">
        <v>4</v>
      </c>
      <c r="F167" s="174">
        <v>4</v>
      </c>
      <c r="G167" s="174"/>
      <c r="H167" s="174"/>
      <c r="I167" s="174"/>
      <c r="J167" s="176">
        <f t="shared" si="35"/>
        <v>23</v>
      </c>
      <c r="K167" s="174"/>
      <c r="L167" s="174"/>
      <c r="M167" s="174"/>
      <c r="N167" s="177">
        <f t="shared" si="33"/>
        <v>23</v>
      </c>
      <c r="O167" s="215"/>
    </row>
    <row r="168" spans="1:15" ht="11.25" customHeight="1">
      <c r="A168" s="180"/>
      <c r="B168" s="183" t="s">
        <v>314</v>
      </c>
      <c r="C168" s="173" t="s">
        <v>800</v>
      </c>
      <c r="D168" s="174"/>
      <c r="E168" s="174"/>
      <c r="F168" s="174"/>
      <c r="G168" s="174"/>
      <c r="H168" s="174"/>
      <c r="I168" s="174"/>
      <c r="J168" s="176"/>
      <c r="K168" s="174"/>
      <c r="L168" s="174"/>
      <c r="M168" s="174"/>
      <c r="N168" s="177"/>
      <c r="O168" s="215"/>
    </row>
    <row r="169" spans="1:15" ht="11.25" customHeight="1">
      <c r="A169" s="180"/>
      <c r="B169" s="183"/>
      <c r="C169" s="287" t="s">
        <v>623</v>
      </c>
      <c r="D169" s="174">
        <v>1930</v>
      </c>
      <c r="E169" s="174">
        <v>520</v>
      </c>
      <c r="F169" s="174">
        <v>2550</v>
      </c>
      <c r="G169" s="174"/>
      <c r="H169" s="174"/>
      <c r="I169" s="174"/>
      <c r="J169" s="176">
        <f t="shared" si="35"/>
        <v>5000</v>
      </c>
      <c r="K169" s="174"/>
      <c r="L169" s="174"/>
      <c r="M169" s="174"/>
      <c r="N169" s="177">
        <f t="shared" si="33"/>
        <v>5000</v>
      </c>
      <c r="O169" s="215"/>
    </row>
    <row r="170" spans="1:15" ht="11.25" customHeight="1">
      <c r="A170" s="180"/>
      <c r="B170" s="183"/>
      <c r="C170" s="287" t="s">
        <v>624</v>
      </c>
      <c r="D170" s="174">
        <v>1464</v>
      </c>
      <c r="E170" s="174">
        <v>385</v>
      </c>
      <c r="F170" s="174">
        <v>1807</v>
      </c>
      <c r="G170" s="174"/>
      <c r="H170" s="174"/>
      <c r="I170" s="174"/>
      <c r="J170" s="176">
        <f t="shared" si="35"/>
        <v>3656</v>
      </c>
      <c r="K170" s="174"/>
      <c r="L170" s="174"/>
      <c r="M170" s="174"/>
      <c r="N170" s="177">
        <f t="shared" si="33"/>
        <v>3656</v>
      </c>
      <c r="O170" s="215"/>
    </row>
    <row r="171" spans="1:15" ht="11.25" customHeight="1" thickBot="1">
      <c r="A171" s="602"/>
      <c r="B171" s="603"/>
      <c r="C171" s="288" t="s">
        <v>625</v>
      </c>
      <c r="D171" s="604">
        <v>1464</v>
      </c>
      <c r="E171" s="604">
        <v>385</v>
      </c>
      <c r="F171" s="604">
        <f>492+966+348+1</f>
        <v>1807</v>
      </c>
      <c r="G171" s="604"/>
      <c r="H171" s="604"/>
      <c r="I171" s="604"/>
      <c r="J171" s="600">
        <f t="shared" si="35"/>
        <v>3656</v>
      </c>
      <c r="K171" s="604"/>
      <c r="L171" s="604"/>
      <c r="M171" s="604"/>
      <c r="N171" s="605">
        <f t="shared" si="33"/>
        <v>3656</v>
      </c>
      <c r="O171" s="606"/>
    </row>
    <row r="172" spans="1:15" s="179" customFormat="1" ht="11.25" customHeight="1">
      <c r="A172" s="149">
        <v>18</v>
      </c>
      <c r="B172" s="615"/>
      <c r="C172" s="616" t="s">
        <v>3</v>
      </c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2"/>
      <c r="O172" s="206"/>
    </row>
    <row r="173" spans="1:15" s="179" customFormat="1" ht="11.25" customHeight="1">
      <c r="A173" s="171"/>
      <c r="B173" s="251"/>
      <c r="C173" s="287" t="s">
        <v>623</v>
      </c>
      <c r="D173" s="176">
        <f aca="true" t="shared" si="38" ref="D173:I173">D177+D185+D189+D181</f>
        <v>0</v>
      </c>
      <c r="E173" s="176">
        <f t="shared" si="38"/>
        <v>0</v>
      </c>
      <c r="F173" s="176">
        <f t="shared" si="38"/>
        <v>41270</v>
      </c>
      <c r="G173" s="176">
        <f t="shared" si="38"/>
        <v>0</v>
      </c>
      <c r="H173" s="176">
        <f t="shared" si="38"/>
        <v>0</v>
      </c>
      <c r="I173" s="176">
        <f t="shared" si="38"/>
        <v>5897</v>
      </c>
      <c r="J173" s="176">
        <f aca="true" t="shared" si="39" ref="J173:J191">SUM(D173:I173)</f>
        <v>47167</v>
      </c>
      <c r="K173" s="176">
        <f>K177+K185+K189+K181</f>
        <v>249795</v>
      </c>
      <c r="L173" s="176">
        <f>L177+L185+L189+L181</f>
        <v>0</v>
      </c>
      <c r="M173" s="176">
        <f>M177+M185+M189+M181</f>
        <v>322447</v>
      </c>
      <c r="N173" s="177">
        <f aca="true" t="shared" si="40" ref="N173:N191">SUM(J173:M173)</f>
        <v>619409</v>
      </c>
      <c r="O173" s="210"/>
    </row>
    <row r="174" spans="1:15" s="179" customFormat="1" ht="11.25" customHeight="1">
      <c r="A174" s="171"/>
      <c r="B174" s="251"/>
      <c r="C174" s="287" t="s">
        <v>624</v>
      </c>
      <c r="D174" s="176">
        <f aca="true" t="shared" si="41" ref="D174:I175">D178+D186+D190+D182</f>
        <v>0</v>
      </c>
      <c r="E174" s="176">
        <f t="shared" si="41"/>
        <v>0</v>
      </c>
      <c r="F174" s="176">
        <f t="shared" si="41"/>
        <v>65230</v>
      </c>
      <c r="G174" s="176">
        <f t="shared" si="41"/>
        <v>0</v>
      </c>
      <c r="H174" s="176">
        <f t="shared" si="41"/>
        <v>0</v>
      </c>
      <c r="I174" s="176">
        <f t="shared" si="41"/>
        <v>5897</v>
      </c>
      <c r="J174" s="176">
        <f t="shared" si="39"/>
        <v>71127</v>
      </c>
      <c r="K174" s="176">
        <f aca="true" t="shared" si="42" ref="K174:M175">K178+K186+K190+K182</f>
        <v>219795</v>
      </c>
      <c r="L174" s="176">
        <f t="shared" si="42"/>
        <v>0</v>
      </c>
      <c r="M174" s="176">
        <f t="shared" si="42"/>
        <v>315667</v>
      </c>
      <c r="N174" s="177">
        <f t="shared" si="40"/>
        <v>606589</v>
      </c>
      <c r="O174" s="210"/>
    </row>
    <row r="175" spans="1:15" s="179" customFormat="1" ht="11.25" customHeight="1">
      <c r="A175" s="171"/>
      <c r="B175" s="251"/>
      <c r="C175" s="287" t="s">
        <v>625</v>
      </c>
      <c r="D175" s="176">
        <f t="shared" si="41"/>
        <v>0</v>
      </c>
      <c r="E175" s="176">
        <f t="shared" si="41"/>
        <v>0</v>
      </c>
      <c r="F175" s="176">
        <f t="shared" si="41"/>
        <v>38667</v>
      </c>
      <c r="G175" s="176">
        <f t="shared" si="41"/>
        <v>0</v>
      </c>
      <c r="H175" s="176">
        <f t="shared" si="41"/>
        <v>0</v>
      </c>
      <c r="I175" s="176">
        <f t="shared" si="41"/>
        <v>5897</v>
      </c>
      <c r="J175" s="176">
        <f t="shared" si="39"/>
        <v>44564</v>
      </c>
      <c r="K175" s="176">
        <f t="shared" si="42"/>
        <v>0</v>
      </c>
      <c r="L175" s="176">
        <f t="shared" si="42"/>
        <v>0</v>
      </c>
      <c r="M175" s="176">
        <f t="shared" si="42"/>
        <v>0</v>
      </c>
      <c r="N175" s="177">
        <f t="shared" si="40"/>
        <v>44564</v>
      </c>
      <c r="O175" s="210"/>
    </row>
    <row r="176" spans="1:15" ht="11.25" customHeight="1">
      <c r="A176" s="171"/>
      <c r="B176" s="183" t="s">
        <v>312</v>
      </c>
      <c r="C176" s="307" t="s">
        <v>51</v>
      </c>
      <c r="D176" s="174"/>
      <c r="E176" s="174"/>
      <c r="F176" s="175"/>
      <c r="G176" s="174"/>
      <c r="H176" s="174"/>
      <c r="I176" s="174"/>
      <c r="J176" s="176"/>
      <c r="K176" s="174"/>
      <c r="L176" s="174"/>
      <c r="M176" s="174"/>
      <c r="N176" s="177"/>
      <c r="O176" s="210"/>
    </row>
    <row r="177" spans="1:15" ht="11.25" customHeight="1">
      <c r="A177" s="171"/>
      <c r="B177" s="183"/>
      <c r="C177" s="287" t="s">
        <v>623</v>
      </c>
      <c r="D177" s="174"/>
      <c r="E177" s="174"/>
      <c r="F177" s="175"/>
      <c r="G177" s="174"/>
      <c r="H177" s="174"/>
      <c r="I177" s="174">
        <v>5897</v>
      </c>
      <c r="J177" s="176">
        <f t="shared" si="39"/>
        <v>5897</v>
      </c>
      <c r="K177" s="174"/>
      <c r="L177" s="174"/>
      <c r="M177" s="174"/>
      <c r="N177" s="177">
        <f t="shared" si="40"/>
        <v>5897</v>
      </c>
      <c r="O177" s="210"/>
    </row>
    <row r="178" spans="1:15" ht="11.25" customHeight="1">
      <c r="A178" s="171"/>
      <c r="B178" s="183"/>
      <c r="C178" s="287" t="s">
        <v>624</v>
      </c>
      <c r="D178" s="174"/>
      <c r="E178" s="174"/>
      <c r="F178" s="175"/>
      <c r="G178" s="174"/>
      <c r="H178" s="174"/>
      <c r="I178" s="174">
        <v>5897</v>
      </c>
      <c r="J178" s="176">
        <f t="shared" si="39"/>
        <v>5897</v>
      </c>
      <c r="K178" s="174"/>
      <c r="L178" s="174"/>
      <c r="M178" s="174"/>
      <c r="N178" s="177">
        <f t="shared" si="40"/>
        <v>5897</v>
      </c>
      <c r="O178" s="210"/>
    </row>
    <row r="179" spans="1:15" ht="11.25" customHeight="1">
      <c r="A179" s="171"/>
      <c r="B179" s="183"/>
      <c r="C179" s="287" t="s">
        <v>625</v>
      </c>
      <c r="D179" s="174"/>
      <c r="E179" s="174"/>
      <c r="F179" s="175"/>
      <c r="G179" s="174"/>
      <c r="H179" s="174"/>
      <c r="I179" s="174">
        <v>5897</v>
      </c>
      <c r="J179" s="176">
        <f t="shared" si="39"/>
        <v>5897</v>
      </c>
      <c r="K179" s="174"/>
      <c r="L179" s="174"/>
      <c r="M179" s="174"/>
      <c r="N179" s="177">
        <f t="shared" si="40"/>
        <v>5897</v>
      </c>
      <c r="O179" s="210"/>
    </row>
    <row r="180" spans="1:15" ht="11.25" customHeight="1">
      <c r="A180" s="171"/>
      <c r="B180" s="183" t="s">
        <v>314</v>
      </c>
      <c r="C180" s="307" t="s">
        <v>62</v>
      </c>
      <c r="D180" s="174"/>
      <c r="E180" s="174"/>
      <c r="F180" s="175"/>
      <c r="G180" s="174"/>
      <c r="H180" s="174"/>
      <c r="I180" s="174"/>
      <c r="J180" s="176"/>
      <c r="K180" s="174"/>
      <c r="L180" s="174"/>
      <c r="M180" s="174"/>
      <c r="N180" s="177"/>
      <c r="O180" s="210"/>
    </row>
    <row r="181" spans="1:15" ht="11.25" customHeight="1">
      <c r="A181" s="171"/>
      <c r="B181" s="183"/>
      <c r="C181" s="287" t="s">
        <v>623</v>
      </c>
      <c r="D181" s="174"/>
      <c r="E181" s="174"/>
      <c r="F181" s="175"/>
      <c r="G181" s="174"/>
      <c r="H181" s="174"/>
      <c r="I181" s="174"/>
      <c r="J181" s="176">
        <f t="shared" si="39"/>
        <v>0</v>
      </c>
      <c r="K181" s="174"/>
      <c r="L181" s="174"/>
      <c r="M181" s="174">
        <v>22447</v>
      </c>
      <c r="N181" s="177">
        <f t="shared" si="40"/>
        <v>22447</v>
      </c>
      <c r="O181" s="210"/>
    </row>
    <row r="182" spans="1:15" ht="11.25" customHeight="1">
      <c r="A182" s="171"/>
      <c r="B182" s="183"/>
      <c r="C182" s="287" t="s">
        <v>624</v>
      </c>
      <c r="D182" s="174"/>
      <c r="E182" s="174"/>
      <c r="F182" s="175"/>
      <c r="G182" s="174"/>
      <c r="H182" s="174"/>
      <c r="I182" s="174"/>
      <c r="J182" s="176">
        <f t="shared" si="39"/>
        <v>0</v>
      </c>
      <c r="K182" s="174"/>
      <c r="L182" s="174"/>
      <c r="M182" s="174">
        <v>15667</v>
      </c>
      <c r="N182" s="177">
        <f t="shared" si="40"/>
        <v>15667</v>
      </c>
      <c r="O182" s="210"/>
    </row>
    <row r="183" spans="1:15" ht="11.25" customHeight="1">
      <c r="A183" s="171"/>
      <c r="B183" s="183"/>
      <c r="C183" s="287" t="s">
        <v>625</v>
      </c>
      <c r="D183" s="174"/>
      <c r="E183" s="174"/>
      <c r="F183" s="175"/>
      <c r="G183" s="174"/>
      <c r="H183" s="174"/>
      <c r="I183" s="174"/>
      <c r="J183" s="176">
        <f t="shared" si="39"/>
        <v>0</v>
      </c>
      <c r="K183" s="174"/>
      <c r="L183" s="174"/>
      <c r="M183" s="174">
        <v>0</v>
      </c>
      <c r="N183" s="177">
        <f t="shared" si="40"/>
        <v>0</v>
      </c>
      <c r="O183" s="210"/>
    </row>
    <row r="184" spans="1:15" ht="11.25" customHeight="1">
      <c r="A184" s="171"/>
      <c r="B184" s="183" t="s">
        <v>316</v>
      </c>
      <c r="C184" s="307" t="s">
        <v>801</v>
      </c>
      <c r="D184" s="174"/>
      <c r="E184" s="174"/>
      <c r="F184" s="175"/>
      <c r="G184" s="174"/>
      <c r="H184" s="174"/>
      <c r="I184" s="174"/>
      <c r="J184" s="176"/>
      <c r="K184" s="174"/>
      <c r="L184" s="174"/>
      <c r="M184" s="174"/>
      <c r="N184" s="177"/>
      <c r="O184" s="210"/>
    </row>
    <row r="185" spans="1:15" ht="11.25" customHeight="1">
      <c r="A185" s="171"/>
      <c r="B185" s="183"/>
      <c r="C185" s="287" t="s">
        <v>623</v>
      </c>
      <c r="D185" s="174"/>
      <c r="E185" s="174"/>
      <c r="F185" s="175">
        <v>26645</v>
      </c>
      <c r="G185" s="174"/>
      <c r="H185" s="174"/>
      <c r="I185" s="174"/>
      <c r="J185" s="176">
        <f t="shared" si="39"/>
        <v>26645</v>
      </c>
      <c r="K185" s="174">
        <v>249795</v>
      </c>
      <c r="L185" s="174"/>
      <c r="M185" s="174">
        <v>300000</v>
      </c>
      <c r="N185" s="177">
        <f t="shared" si="40"/>
        <v>576440</v>
      </c>
      <c r="O185" s="210"/>
    </row>
    <row r="186" spans="1:15" ht="11.25" customHeight="1">
      <c r="A186" s="171"/>
      <c r="B186" s="183"/>
      <c r="C186" s="287" t="s">
        <v>624</v>
      </c>
      <c r="D186" s="174"/>
      <c r="E186" s="174"/>
      <c r="F186" s="175">
        <v>50380</v>
      </c>
      <c r="G186" s="174"/>
      <c r="H186" s="174"/>
      <c r="I186" s="174"/>
      <c r="J186" s="176">
        <f t="shared" si="39"/>
        <v>50380</v>
      </c>
      <c r="K186" s="174">
        <v>219795</v>
      </c>
      <c r="L186" s="174"/>
      <c r="M186" s="174">
        <v>300000</v>
      </c>
      <c r="N186" s="177">
        <f t="shared" si="40"/>
        <v>570175</v>
      </c>
      <c r="O186" s="210"/>
    </row>
    <row r="187" spans="1:15" ht="11.25" customHeight="1">
      <c r="A187" s="171"/>
      <c r="B187" s="183"/>
      <c r="C187" s="287" t="s">
        <v>625</v>
      </c>
      <c r="D187" s="174"/>
      <c r="E187" s="174"/>
      <c r="F187" s="175">
        <v>27428</v>
      </c>
      <c r="G187" s="174"/>
      <c r="H187" s="174"/>
      <c r="I187" s="174"/>
      <c r="J187" s="176">
        <f t="shared" si="39"/>
        <v>27428</v>
      </c>
      <c r="K187" s="174">
        <v>0</v>
      </c>
      <c r="L187" s="174">
        <v>0</v>
      </c>
      <c r="M187" s="174">
        <v>0</v>
      </c>
      <c r="N187" s="177">
        <f t="shared" si="40"/>
        <v>27428</v>
      </c>
      <c r="O187" s="210"/>
    </row>
    <row r="188" spans="1:15" ht="11.25" customHeight="1">
      <c r="A188" s="171"/>
      <c r="B188" s="183" t="s">
        <v>318</v>
      </c>
      <c r="C188" s="307" t="s">
        <v>0</v>
      </c>
      <c r="D188" s="308"/>
      <c r="E188" s="308"/>
      <c r="F188" s="175"/>
      <c r="G188" s="174"/>
      <c r="H188" s="174"/>
      <c r="I188" s="174"/>
      <c r="J188" s="176"/>
      <c r="K188" s="174"/>
      <c r="L188" s="174"/>
      <c r="M188" s="174"/>
      <c r="N188" s="177"/>
      <c r="O188" s="210"/>
    </row>
    <row r="189" spans="1:15" ht="11.25" customHeight="1">
      <c r="A189" s="171"/>
      <c r="B189" s="183"/>
      <c r="C189" s="287" t="s">
        <v>623</v>
      </c>
      <c r="D189" s="308"/>
      <c r="E189" s="308"/>
      <c r="F189" s="175">
        <v>14625</v>
      </c>
      <c r="G189" s="174"/>
      <c r="H189" s="174"/>
      <c r="I189" s="174"/>
      <c r="J189" s="176">
        <f t="shared" si="39"/>
        <v>14625</v>
      </c>
      <c r="K189" s="174"/>
      <c r="L189" s="174"/>
      <c r="M189" s="174"/>
      <c r="N189" s="177">
        <f t="shared" si="40"/>
        <v>14625</v>
      </c>
      <c r="O189" s="210"/>
    </row>
    <row r="190" spans="1:15" ht="11.25" customHeight="1">
      <c r="A190" s="171"/>
      <c r="B190" s="183"/>
      <c r="C190" s="287" t="s">
        <v>624</v>
      </c>
      <c r="D190" s="308"/>
      <c r="E190" s="308"/>
      <c r="F190" s="175">
        <v>14850</v>
      </c>
      <c r="G190" s="174"/>
      <c r="H190" s="174"/>
      <c r="I190" s="174"/>
      <c r="J190" s="176">
        <f t="shared" si="39"/>
        <v>14850</v>
      </c>
      <c r="K190" s="174"/>
      <c r="L190" s="174"/>
      <c r="M190" s="174"/>
      <c r="N190" s="177">
        <f t="shared" si="40"/>
        <v>14850</v>
      </c>
      <c r="O190" s="210"/>
    </row>
    <row r="191" spans="1:15" ht="11.25" customHeight="1" thickBot="1">
      <c r="A191" s="158"/>
      <c r="B191" s="184"/>
      <c r="C191" s="303" t="s">
        <v>625</v>
      </c>
      <c r="D191" s="306"/>
      <c r="E191" s="306"/>
      <c r="F191" s="161">
        <v>11239</v>
      </c>
      <c r="G191" s="160"/>
      <c r="H191" s="160"/>
      <c r="I191" s="160"/>
      <c r="J191" s="156">
        <f t="shared" si="39"/>
        <v>11239</v>
      </c>
      <c r="K191" s="160"/>
      <c r="L191" s="160"/>
      <c r="M191" s="160"/>
      <c r="N191" s="157">
        <f t="shared" si="40"/>
        <v>11239</v>
      </c>
      <c r="O191" s="208"/>
    </row>
    <row r="192" spans="1:15" s="179" customFormat="1" ht="11.25" customHeight="1">
      <c r="A192" s="186">
        <v>19</v>
      </c>
      <c r="B192" s="250"/>
      <c r="C192" s="188" t="s">
        <v>64</v>
      </c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88"/>
      <c r="O192" s="212"/>
    </row>
    <row r="193" spans="1:15" s="179" customFormat="1" ht="11.25" customHeight="1">
      <c r="A193" s="171"/>
      <c r="B193" s="251"/>
      <c r="C193" s="287" t="s">
        <v>623</v>
      </c>
      <c r="D193" s="176">
        <f aca="true" t="shared" si="43" ref="D193:I193">D197+D201+D205</f>
        <v>80</v>
      </c>
      <c r="E193" s="176">
        <f t="shared" si="43"/>
        <v>30</v>
      </c>
      <c r="F193" s="176">
        <f t="shared" si="43"/>
        <v>520</v>
      </c>
      <c r="G193" s="176">
        <f t="shared" si="43"/>
        <v>0</v>
      </c>
      <c r="H193" s="176">
        <f t="shared" si="43"/>
        <v>0</v>
      </c>
      <c r="I193" s="176">
        <f t="shared" si="43"/>
        <v>0</v>
      </c>
      <c r="J193" s="176">
        <f>SUM(D193:I193)</f>
        <v>630</v>
      </c>
      <c r="K193" s="176"/>
      <c r="L193" s="176"/>
      <c r="M193" s="176"/>
      <c r="N193" s="177">
        <f>SUM(J193:M193)</f>
        <v>630</v>
      </c>
      <c r="O193" s="210"/>
    </row>
    <row r="194" spans="1:15" s="179" customFormat="1" ht="11.25" customHeight="1">
      <c r="A194" s="171"/>
      <c r="B194" s="251"/>
      <c r="C194" s="287" t="s">
        <v>624</v>
      </c>
      <c r="D194" s="176">
        <f aca="true" t="shared" si="44" ref="D194:I195">D198+D202+D206</f>
        <v>80</v>
      </c>
      <c r="E194" s="176">
        <f t="shared" si="44"/>
        <v>30</v>
      </c>
      <c r="F194" s="176">
        <f t="shared" si="44"/>
        <v>3347</v>
      </c>
      <c r="G194" s="176">
        <f t="shared" si="44"/>
        <v>0</v>
      </c>
      <c r="H194" s="176">
        <f t="shared" si="44"/>
        <v>0</v>
      </c>
      <c r="I194" s="176">
        <f t="shared" si="44"/>
        <v>0</v>
      </c>
      <c r="J194" s="176">
        <f>SUM(D194:I194)</f>
        <v>3457</v>
      </c>
      <c r="K194" s="176"/>
      <c r="L194" s="176"/>
      <c r="M194" s="176"/>
      <c r="N194" s="177">
        <f>SUM(J194:M194)</f>
        <v>3457</v>
      </c>
      <c r="O194" s="210"/>
    </row>
    <row r="195" spans="1:15" s="179" customFormat="1" ht="11.25" customHeight="1">
      <c r="A195" s="171"/>
      <c r="B195" s="251"/>
      <c r="C195" s="287" t="s">
        <v>625</v>
      </c>
      <c r="D195" s="176">
        <f t="shared" si="44"/>
        <v>70</v>
      </c>
      <c r="E195" s="176">
        <f t="shared" si="44"/>
        <v>19</v>
      </c>
      <c r="F195" s="176">
        <f t="shared" si="44"/>
        <v>1785</v>
      </c>
      <c r="G195" s="176">
        <f t="shared" si="44"/>
        <v>0</v>
      </c>
      <c r="H195" s="176">
        <f t="shared" si="44"/>
        <v>0</v>
      </c>
      <c r="I195" s="176">
        <f t="shared" si="44"/>
        <v>0</v>
      </c>
      <c r="J195" s="176">
        <f>SUM(D195:I195)</f>
        <v>1874</v>
      </c>
      <c r="K195" s="176"/>
      <c r="L195" s="176"/>
      <c r="M195" s="176"/>
      <c r="N195" s="177">
        <f>SUM(J195:M195)</f>
        <v>1874</v>
      </c>
      <c r="O195" s="210"/>
    </row>
    <row r="196" spans="1:15" ht="11.25" customHeight="1">
      <c r="A196" s="171"/>
      <c r="B196" s="183" t="s">
        <v>312</v>
      </c>
      <c r="C196" s="175" t="s">
        <v>65</v>
      </c>
      <c r="D196" s="174"/>
      <c r="E196" s="174"/>
      <c r="F196" s="175"/>
      <c r="G196" s="174"/>
      <c r="H196" s="174"/>
      <c r="I196" s="174"/>
      <c r="J196" s="176"/>
      <c r="K196" s="174"/>
      <c r="L196" s="174"/>
      <c r="M196" s="174"/>
      <c r="N196" s="177"/>
      <c r="O196" s="210"/>
    </row>
    <row r="197" spans="1:15" ht="11.25" customHeight="1">
      <c r="A197" s="171"/>
      <c r="B197" s="183"/>
      <c r="C197" s="287" t="s">
        <v>623</v>
      </c>
      <c r="D197" s="174">
        <v>0</v>
      </c>
      <c r="E197" s="174">
        <v>0</v>
      </c>
      <c r="F197" s="175">
        <v>210</v>
      </c>
      <c r="G197" s="174"/>
      <c r="H197" s="174"/>
      <c r="I197" s="174"/>
      <c r="J197" s="176">
        <f>SUM(D197:I197)</f>
        <v>210</v>
      </c>
      <c r="K197" s="174"/>
      <c r="L197" s="174"/>
      <c r="M197" s="174"/>
      <c r="N197" s="177">
        <f>SUM(J197:M197)</f>
        <v>210</v>
      </c>
      <c r="O197" s="210"/>
    </row>
    <row r="198" spans="1:15" ht="11.25" customHeight="1">
      <c r="A198" s="171"/>
      <c r="B198" s="183"/>
      <c r="C198" s="287" t="s">
        <v>624</v>
      </c>
      <c r="D198" s="174"/>
      <c r="E198" s="174"/>
      <c r="F198" s="175">
        <v>1432</v>
      </c>
      <c r="G198" s="174"/>
      <c r="H198" s="174">
        <v>0</v>
      </c>
      <c r="I198" s="174">
        <v>0</v>
      </c>
      <c r="J198" s="176">
        <f>SUM(D198:I198)</f>
        <v>1432</v>
      </c>
      <c r="K198" s="174"/>
      <c r="L198" s="174"/>
      <c r="M198" s="174"/>
      <c r="N198" s="177">
        <f>SUM(J198:M198)</f>
        <v>1432</v>
      </c>
      <c r="O198" s="210"/>
    </row>
    <row r="199" spans="1:15" ht="11.25" customHeight="1">
      <c r="A199" s="171"/>
      <c r="B199" s="183"/>
      <c r="C199" s="287" t="s">
        <v>625</v>
      </c>
      <c r="D199" s="174"/>
      <c r="E199" s="174"/>
      <c r="F199" s="175">
        <v>812</v>
      </c>
      <c r="G199" s="174"/>
      <c r="H199" s="174"/>
      <c r="I199" s="174"/>
      <c r="J199" s="176">
        <f>SUM(D199:I199)</f>
        <v>812</v>
      </c>
      <c r="K199" s="174"/>
      <c r="L199" s="174"/>
      <c r="M199" s="174"/>
      <c r="N199" s="177">
        <f>SUM(J199:M199)</f>
        <v>812</v>
      </c>
      <c r="O199" s="210"/>
    </row>
    <row r="200" spans="1:15" ht="11.25" customHeight="1">
      <c r="A200" s="171"/>
      <c r="B200" s="183" t="s">
        <v>314</v>
      </c>
      <c r="C200" s="175" t="s">
        <v>66</v>
      </c>
      <c r="D200" s="174"/>
      <c r="E200" s="174"/>
      <c r="F200" s="175"/>
      <c r="G200" s="174"/>
      <c r="H200" s="174"/>
      <c r="I200" s="174"/>
      <c r="J200" s="176"/>
      <c r="K200" s="174"/>
      <c r="L200" s="174"/>
      <c r="M200" s="174"/>
      <c r="N200" s="177"/>
      <c r="O200" s="210"/>
    </row>
    <row r="201" spans="1:15" ht="11.25" customHeight="1">
      <c r="A201" s="171"/>
      <c r="B201" s="183"/>
      <c r="C201" s="287" t="s">
        <v>623</v>
      </c>
      <c r="D201" s="174"/>
      <c r="E201" s="174"/>
      <c r="F201" s="175">
        <v>210</v>
      </c>
      <c r="G201" s="174"/>
      <c r="H201" s="174"/>
      <c r="I201" s="174"/>
      <c r="J201" s="176">
        <f>SUM(D201:I201)</f>
        <v>210</v>
      </c>
      <c r="K201" s="174"/>
      <c r="L201" s="174"/>
      <c r="M201" s="174"/>
      <c r="N201" s="177">
        <f>SUM(J201:M201)</f>
        <v>210</v>
      </c>
      <c r="O201" s="210"/>
    </row>
    <row r="202" spans="1:15" ht="11.25" customHeight="1">
      <c r="A202" s="171"/>
      <c r="B202" s="183"/>
      <c r="C202" s="287" t="s">
        <v>624</v>
      </c>
      <c r="D202" s="174">
        <v>0</v>
      </c>
      <c r="E202" s="174">
        <v>0</v>
      </c>
      <c r="F202" s="175">
        <v>1507</v>
      </c>
      <c r="G202" s="174"/>
      <c r="H202" s="174"/>
      <c r="I202" s="174"/>
      <c r="J202" s="176">
        <f>SUM(D202:I202)</f>
        <v>1507</v>
      </c>
      <c r="K202" s="174"/>
      <c r="L202" s="174"/>
      <c r="M202" s="174"/>
      <c r="N202" s="177">
        <f>SUM(J202:M202)</f>
        <v>1507</v>
      </c>
      <c r="O202" s="210"/>
    </row>
    <row r="203" spans="1:15" ht="11.25" customHeight="1">
      <c r="A203" s="171"/>
      <c r="B203" s="183"/>
      <c r="C203" s="287" t="s">
        <v>625</v>
      </c>
      <c r="D203" s="174"/>
      <c r="E203" s="174">
        <v>0</v>
      </c>
      <c r="F203" s="175">
        <v>870</v>
      </c>
      <c r="G203" s="174"/>
      <c r="H203" s="174"/>
      <c r="I203" s="174"/>
      <c r="J203" s="176">
        <f>SUM(D203:I203)</f>
        <v>870</v>
      </c>
      <c r="K203" s="174"/>
      <c r="L203" s="174"/>
      <c r="M203" s="174"/>
      <c r="N203" s="177">
        <f>SUM(J203:M203)</f>
        <v>870</v>
      </c>
      <c r="O203" s="210"/>
    </row>
    <row r="204" spans="1:15" ht="11.25" customHeight="1">
      <c r="A204" s="171"/>
      <c r="B204" s="183" t="s">
        <v>316</v>
      </c>
      <c r="C204" s="175" t="s">
        <v>67</v>
      </c>
      <c r="D204" s="174"/>
      <c r="E204" s="174"/>
      <c r="F204" s="175"/>
      <c r="G204" s="174"/>
      <c r="H204" s="174"/>
      <c r="I204" s="174"/>
      <c r="J204" s="176"/>
      <c r="K204" s="174"/>
      <c r="L204" s="174"/>
      <c r="M204" s="174"/>
      <c r="N204" s="177"/>
      <c r="O204" s="210"/>
    </row>
    <row r="205" spans="1:15" ht="11.25" customHeight="1">
      <c r="A205" s="171"/>
      <c r="B205" s="183"/>
      <c r="C205" s="287" t="s">
        <v>623</v>
      </c>
      <c r="D205" s="174">
        <v>80</v>
      </c>
      <c r="E205" s="174">
        <v>30</v>
      </c>
      <c r="F205" s="175">
        <v>100</v>
      </c>
      <c r="G205" s="174"/>
      <c r="H205" s="174"/>
      <c r="I205" s="174"/>
      <c r="J205" s="176">
        <f>SUM(D205:I205)</f>
        <v>210</v>
      </c>
      <c r="K205" s="174"/>
      <c r="L205" s="174"/>
      <c r="M205" s="174"/>
      <c r="N205" s="177">
        <f>SUM(J205:M205)</f>
        <v>210</v>
      </c>
      <c r="O205" s="210"/>
    </row>
    <row r="206" spans="1:15" ht="11.25" customHeight="1">
      <c r="A206" s="171"/>
      <c r="B206" s="183"/>
      <c r="C206" s="287" t="s">
        <v>624</v>
      </c>
      <c r="D206" s="174">
        <v>80</v>
      </c>
      <c r="E206" s="174">
        <v>30</v>
      </c>
      <c r="F206" s="175">
        <v>408</v>
      </c>
      <c r="G206" s="174"/>
      <c r="H206" s="174">
        <v>0</v>
      </c>
      <c r="I206" s="174"/>
      <c r="J206" s="176">
        <f>SUM(D206:I206)</f>
        <v>518</v>
      </c>
      <c r="K206" s="174"/>
      <c r="L206" s="174"/>
      <c r="M206" s="174"/>
      <c r="N206" s="177">
        <f>SUM(J206:M206)</f>
        <v>518</v>
      </c>
      <c r="O206" s="210"/>
    </row>
    <row r="207" spans="1:15" ht="11.25" customHeight="1" thickBot="1">
      <c r="A207" s="165"/>
      <c r="B207" s="185"/>
      <c r="C207" s="302" t="s">
        <v>625</v>
      </c>
      <c r="D207" s="167">
        <v>70</v>
      </c>
      <c r="E207" s="167">
        <v>19</v>
      </c>
      <c r="F207" s="168">
        <v>103</v>
      </c>
      <c r="G207" s="167"/>
      <c r="H207" s="167"/>
      <c r="I207" s="167"/>
      <c r="J207" s="169">
        <f>SUM(D207:I207)</f>
        <v>192</v>
      </c>
      <c r="K207" s="167"/>
      <c r="L207" s="167"/>
      <c r="M207" s="167"/>
      <c r="N207" s="170">
        <f>SUM(J207:M207)</f>
        <v>192</v>
      </c>
      <c r="O207" s="209"/>
    </row>
    <row r="208" spans="1:15" s="179" customFormat="1" ht="11.25" customHeight="1">
      <c r="A208" s="158">
        <v>20</v>
      </c>
      <c r="B208" s="255" t="s">
        <v>465</v>
      </c>
      <c r="C208" s="200" t="s">
        <v>68</v>
      </c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3"/>
      <c r="O208" s="208"/>
    </row>
    <row r="209" spans="1:15" s="179" customFormat="1" ht="11.25" customHeight="1">
      <c r="A209" s="171"/>
      <c r="B209" s="301"/>
      <c r="C209" s="287" t="s">
        <v>623</v>
      </c>
      <c r="D209" s="176">
        <f aca="true" t="shared" si="45" ref="D209:M209">D213+D217</f>
        <v>0</v>
      </c>
      <c r="E209" s="176">
        <f t="shared" si="45"/>
        <v>0</v>
      </c>
      <c r="F209" s="176">
        <f t="shared" si="45"/>
        <v>4050</v>
      </c>
      <c r="G209" s="176">
        <f t="shared" si="45"/>
        <v>0</v>
      </c>
      <c r="H209" s="176">
        <f t="shared" si="45"/>
        <v>0</v>
      </c>
      <c r="I209" s="176">
        <f t="shared" si="45"/>
        <v>0</v>
      </c>
      <c r="J209" s="176">
        <f>SUM(D209:I209)</f>
        <v>4050</v>
      </c>
      <c r="K209" s="176">
        <f t="shared" si="45"/>
        <v>0</v>
      </c>
      <c r="L209" s="176">
        <f t="shared" si="45"/>
        <v>0</v>
      </c>
      <c r="M209" s="176">
        <f t="shared" si="45"/>
        <v>0</v>
      </c>
      <c r="N209" s="177">
        <f>SUM(J209:M209)</f>
        <v>4050</v>
      </c>
      <c r="O209" s="210"/>
    </row>
    <row r="210" spans="1:15" s="179" customFormat="1" ht="11.25" customHeight="1">
      <c r="A210" s="171"/>
      <c r="B210" s="301"/>
      <c r="C210" s="287" t="s">
        <v>624</v>
      </c>
      <c r="D210" s="176">
        <f aca="true" t="shared" si="46" ref="D210:I211">D214+D218</f>
        <v>0</v>
      </c>
      <c r="E210" s="176">
        <f t="shared" si="46"/>
        <v>0</v>
      </c>
      <c r="F210" s="176">
        <f t="shared" si="46"/>
        <v>4385</v>
      </c>
      <c r="G210" s="176">
        <f t="shared" si="46"/>
        <v>0</v>
      </c>
      <c r="H210" s="176">
        <f t="shared" si="46"/>
        <v>0</v>
      </c>
      <c r="I210" s="176">
        <f t="shared" si="46"/>
        <v>0</v>
      </c>
      <c r="J210" s="176">
        <f>SUM(D210:I210)</f>
        <v>4385</v>
      </c>
      <c r="K210" s="176">
        <f aca="true" t="shared" si="47" ref="K210:M211">K214+K218+K222</f>
        <v>1225</v>
      </c>
      <c r="L210" s="176">
        <f t="shared" si="47"/>
        <v>0</v>
      </c>
      <c r="M210" s="176">
        <f t="shared" si="47"/>
        <v>0</v>
      </c>
      <c r="N210" s="177">
        <f>SUM(J210:M210)</f>
        <v>5610</v>
      </c>
      <c r="O210" s="210"/>
    </row>
    <row r="211" spans="1:15" s="179" customFormat="1" ht="11.25" customHeight="1">
      <c r="A211" s="171"/>
      <c r="B211" s="301"/>
      <c r="C211" s="287" t="s">
        <v>625</v>
      </c>
      <c r="D211" s="176">
        <f t="shared" si="46"/>
        <v>0</v>
      </c>
      <c r="E211" s="176">
        <f t="shared" si="46"/>
        <v>0</v>
      </c>
      <c r="F211" s="176">
        <f t="shared" si="46"/>
        <v>3816</v>
      </c>
      <c r="G211" s="176">
        <f t="shared" si="46"/>
        <v>0</v>
      </c>
      <c r="H211" s="176">
        <f t="shared" si="46"/>
        <v>0</v>
      </c>
      <c r="I211" s="176">
        <f t="shared" si="46"/>
        <v>0</v>
      </c>
      <c r="J211" s="176">
        <f>SUM(D211:I211)</f>
        <v>3816</v>
      </c>
      <c r="K211" s="176">
        <f t="shared" si="47"/>
        <v>6</v>
      </c>
      <c r="L211" s="176">
        <f t="shared" si="47"/>
        <v>0</v>
      </c>
      <c r="M211" s="176">
        <f t="shared" si="47"/>
        <v>0</v>
      </c>
      <c r="N211" s="177">
        <f>SUM(J211:M211)</f>
        <v>3822</v>
      </c>
      <c r="O211" s="210"/>
    </row>
    <row r="212" spans="1:15" ht="11.25" customHeight="1">
      <c r="A212" s="180"/>
      <c r="B212" s="256" t="s">
        <v>312</v>
      </c>
      <c r="C212" s="173" t="s">
        <v>292</v>
      </c>
      <c r="D212" s="174"/>
      <c r="E212" s="174"/>
      <c r="F212" s="175"/>
      <c r="G212" s="174"/>
      <c r="H212" s="174"/>
      <c r="I212" s="174"/>
      <c r="J212" s="176"/>
      <c r="K212" s="174"/>
      <c r="L212" s="174"/>
      <c r="M212" s="174"/>
      <c r="N212" s="177"/>
      <c r="O212" s="215"/>
    </row>
    <row r="213" spans="1:15" ht="11.25" customHeight="1">
      <c r="A213" s="180"/>
      <c r="B213" s="256"/>
      <c r="C213" s="287" t="s">
        <v>623</v>
      </c>
      <c r="D213" s="174"/>
      <c r="E213" s="174"/>
      <c r="F213" s="175">
        <v>3750</v>
      </c>
      <c r="G213" s="174"/>
      <c r="H213" s="174"/>
      <c r="I213" s="174"/>
      <c r="J213" s="176">
        <f>SUM(D213:I213)</f>
        <v>3750</v>
      </c>
      <c r="K213" s="174"/>
      <c r="L213" s="174"/>
      <c r="M213" s="174"/>
      <c r="N213" s="177">
        <f>SUM(J213:M213)</f>
        <v>3750</v>
      </c>
      <c r="O213" s="215"/>
    </row>
    <row r="214" spans="1:15" ht="11.25" customHeight="1">
      <c r="A214" s="180"/>
      <c r="B214" s="256"/>
      <c r="C214" s="287" t="s">
        <v>624</v>
      </c>
      <c r="D214" s="174"/>
      <c r="E214" s="174"/>
      <c r="F214" s="175">
        <v>4185</v>
      </c>
      <c r="G214" s="174"/>
      <c r="H214" s="174">
        <v>0</v>
      </c>
      <c r="I214" s="174"/>
      <c r="J214" s="176">
        <f>SUM(D214:I214)</f>
        <v>4185</v>
      </c>
      <c r="K214" s="174"/>
      <c r="L214" s="174"/>
      <c r="M214" s="174"/>
      <c r="N214" s="177">
        <f>SUM(J214:M214)</f>
        <v>4185</v>
      </c>
      <c r="O214" s="215"/>
    </row>
    <row r="215" spans="1:15" ht="11.25" customHeight="1">
      <c r="A215" s="180"/>
      <c r="B215" s="256"/>
      <c r="C215" s="287" t="s">
        <v>625</v>
      </c>
      <c r="D215" s="174"/>
      <c r="E215" s="174"/>
      <c r="F215" s="175">
        <v>3763</v>
      </c>
      <c r="G215" s="174"/>
      <c r="H215" s="174">
        <v>0</v>
      </c>
      <c r="I215" s="174"/>
      <c r="J215" s="176">
        <f>SUM(D215:I215)</f>
        <v>3763</v>
      </c>
      <c r="K215" s="174"/>
      <c r="L215" s="174"/>
      <c r="M215" s="174"/>
      <c r="N215" s="177">
        <f>SUM(J215:M215)</f>
        <v>3763</v>
      </c>
      <c r="O215" s="215"/>
    </row>
    <row r="216" spans="1:15" ht="11.25" customHeight="1">
      <c r="A216" s="180"/>
      <c r="B216" s="256" t="s">
        <v>314</v>
      </c>
      <c r="C216" s="173" t="s">
        <v>291</v>
      </c>
      <c r="D216" s="174"/>
      <c r="E216" s="174"/>
      <c r="F216" s="175"/>
      <c r="G216" s="174"/>
      <c r="H216" s="174"/>
      <c r="I216" s="174"/>
      <c r="J216" s="176"/>
      <c r="K216" s="174"/>
      <c r="L216" s="174"/>
      <c r="M216" s="174"/>
      <c r="N216" s="177"/>
      <c r="O216" s="215"/>
    </row>
    <row r="217" spans="1:15" ht="11.25" customHeight="1">
      <c r="A217" s="180"/>
      <c r="B217" s="256"/>
      <c r="C217" s="287" t="s">
        <v>623</v>
      </c>
      <c r="D217" s="174"/>
      <c r="E217" s="174"/>
      <c r="F217" s="175">
        <v>300</v>
      </c>
      <c r="G217" s="174"/>
      <c r="H217" s="174"/>
      <c r="I217" s="174"/>
      <c r="J217" s="176">
        <f>SUM(D217:I217)</f>
        <v>300</v>
      </c>
      <c r="K217" s="174"/>
      <c r="L217" s="174"/>
      <c r="M217" s="174"/>
      <c r="N217" s="177">
        <f>SUM(J217:M217)</f>
        <v>300</v>
      </c>
      <c r="O217" s="215"/>
    </row>
    <row r="218" spans="1:15" ht="11.25" customHeight="1">
      <c r="A218" s="180"/>
      <c r="B218" s="256"/>
      <c r="C218" s="287" t="s">
        <v>624</v>
      </c>
      <c r="D218" s="174"/>
      <c r="E218" s="174"/>
      <c r="F218" s="175">
        <v>200</v>
      </c>
      <c r="G218" s="174"/>
      <c r="H218" s="174"/>
      <c r="I218" s="174"/>
      <c r="J218" s="176">
        <f>SUM(D218:I218)</f>
        <v>200</v>
      </c>
      <c r="K218" s="174"/>
      <c r="L218" s="174"/>
      <c r="M218" s="174"/>
      <c r="N218" s="177">
        <f>SUM(J218:M218)</f>
        <v>200</v>
      </c>
      <c r="O218" s="215"/>
    </row>
    <row r="219" spans="1:15" ht="11.25" customHeight="1">
      <c r="A219" s="602"/>
      <c r="B219" s="1374"/>
      <c r="C219" s="288" t="s">
        <v>625</v>
      </c>
      <c r="D219" s="604"/>
      <c r="E219" s="604"/>
      <c r="F219" s="610">
        <v>53</v>
      </c>
      <c r="G219" s="604"/>
      <c r="H219" s="604"/>
      <c r="I219" s="604"/>
      <c r="J219" s="600">
        <f>SUM(D219:I219)</f>
        <v>53</v>
      </c>
      <c r="K219" s="604"/>
      <c r="L219" s="604"/>
      <c r="M219" s="604"/>
      <c r="N219" s="605">
        <f>SUM(J219:M219)</f>
        <v>53</v>
      </c>
      <c r="O219" s="606"/>
    </row>
    <row r="220" spans="1:15" ht="21.75" customHeight="1">
      <c r="A220" s="180"/>
      <c r="B220" s="256" t="s">
        <v>316</v>
      </c>
      <c r="C220" s="611" t="s">
        <v>802</v>
      </c>
      <c r="D220" s="174"/>
      <c r="E220" s="174"/>
      <c r="F220" s="175"/>
      <c r="G220" s="174"/>
      <c r="H220" s="174"/>
      <c r="I220" s="174"/>
      <c r="J220" s="176"/>
      <c r="K220" s="174"/>
      <c r="L220" s="174"/>
      <c r="M220" s="174"/>
      <c r="N220" s="605"/>
      <c r="O220" s="215"/>
    </row>
    <row r="221" spans="1:15" ht="11.25" customHeight="1">
      <c r="A221" s="180"/>
      <c r="B221" s="256"/>
      <c r="C221" s="287" t="s">
        <v>623</v>
      </c>
      <c r="D221" s="174"/>
      <c r="E221" s="174"/>
      <c r="F221" s="175"/>
      <c r="G221" s="174"/>
      <c r="H221" s="174"/>
      <c r="I221" s="174"/>
      <c r="J221" s="176">
        <f>SUM(D221:I221)</f>
        <v>0</v>
      </c>
      <c r="K221" s="174"/>
      <c r="L221" s="174"/>
      <c r="M221" s="174"/>
      <c r="N221" s="605">
        <f>SUM(J221:M221)</f>
        <v>0</v>
      </c>
      <c r="O221" s="215"/>
    </row>
    <row r="222" spans="1:15" ht="11.25" customHeight="1">
      <c r="A222" s="180"/>
      <c r="B222" s="256"/>
      <c r="C222" s="287" t="s">
        <v>624</v>
      </c>
      <c r="D222" s="174"/>
      <c r="E222" s="174"/>
      <c r="F222" s="175"/>
      <c r="G222" s="174"/>
      <c r="H222" s="174"/>
      <c r="I222" s="174"/>
      <c r="J222" s="176">
        <f>SUM(D222:I222)</f>
        <v>0</v>
      </c>
      <c r="K222" s="174">
        <v>1225</v>
      </c>
      <c r="L222" s="174"/>
      <c r="M222" s="174"/>
      <c r="N222" s="605">
        <f>SUM(J222:M222)</f>
        <v>1225</v>
      </c>
      <c r="O222" s="215"/>
    </row>
    <row r="223" spans="1:15" ht="11.25" customHeight="1" thickBot="1">
      <c r="A223" s="181"/>
      <c r="B223" s="665"/>
      <c r="C223" s="302" t="s">
        <v>625</v>
      </c>
      <c r="D223" s="167"/>
      <c r="E223" s="167"/>
      <c r="F223" s="168"/>
      <c r="G223" s="167"/>
      <c r="H223" s="167"/>
      <c r="I223" s="167"/>
      <c r="J223" s="169">
        <f>SUM(D223:I223)</f>
        <v>0</v>
      </c>
      <c r="K223" s="167">
        <v>6</v>
      </c>
      <c r="L223" s="167"/>
      <c r="M223" s="167"/>
      <c r="N223" s="170">
        <f>SUM(J223:M223)</f>
        <v>6</v>
      </c>
      <c r="O223" s="216"/>
    </row>
    <row r="224" spans="1:15" s="179" customFormat="1" ht="11.25" customHeight="1">
      <c r="A224" s="149">
        <v>21</v>
      </c>
      <c r="B224" s="615"/>
      <c r="C224" s="152" t="s">
        <v>69</v>
      </c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2"/>
      <c r="O224" s="206"/>
    </row>
    <row r="225" spans="1:15" s="179" customFormat="1" ht="11.25" customHeight="1">
      <c r="A225" s="171"/>
      <c r="B225" s="251"/>
      <c r="C225" s="287" t="s">
        <v>623</v>
      </c>
      <c r="D225" s="176">
        <f aca="true" t="shared" si="48" ref="D225:I225">D229+D233+D237+D241</f>
        <v>5719</v>
      </c>
      <c r="E225" s="176">
        <f t="shared" si="48"/>
        <v>857</v>
      </c>
      <c r="F225" s="176">
        <f t="shared" si="48"/>
        <v>2419</v>
      </c>
      <c r="G225" s="176">
        <f t="shared" si="48"/>
        <v>0</v>
      </c>
      <c r="H225" s="176">
        <f t="shared" si="48"/>
        <v>400</v>
      </c>
      <c r="I225" s="176">
        <f t="shared" si="48"/>
        <v>2000</v>
      </c>
      <c r="J225" s="176">
        <f>SUM(D225:I225)</f>
        <v>11395</v>
      </c>
      <c r="K225" s="176">
        <f>K229+K233+K237+K241</f>
        <v>0</v>
      </c>
      <c r="L225" s="176">
        <f>L229+L233+L237+L241</f>
        <v>2549</v>
      </c>
      <c r="M225" s="176">
        <f>M229+M233+M237+M241</f>
        <v>0</v>
      </c>
      <c r="N225" s="177">
        <f>SUM(J225:M225)</f>
        <v>13944</v>
      </c>
      <c r="O225" s="210">
        <f>O229+O233+O237</f>
        <v>2</v>
      </c>
    </row>
    <row r="226" spans="1:15" s="179" customFormat="1" ht="11.25" customHeight="1">
      <c r="A226" s="171"/>
      <c r="B226" s="251"/>
      <c r="C226" s="287" t="s">
        <v>624</v>
      </c>
      <c r="D226" s="176">
        <f aca="true" t="shared" si="49" ref="D226:I227">D230+D234+D238+D242</f>
        <v>5754</v>
      </c>
      <c r="E226" s="176">
        <f t="shared" si="49"/>
        <v>866</v>
      </c>
      <c r="F226" s="176">
        <f t="shared" si="49"/>
        <v>2427</v>
      </c>
      <c r="G226" s="176">
        <f t="shared" si="49"/>
        <v>0</v>
      </c>
      <c r="H226" s="176">
        <f t="shared" si="49"/>
        <v>400</v>
      </c>
      <c r="I226" s="176">
        <f t="shared" si="49"/>
        <v>3310</v>
      </c>
      <c r="J226" s="176">
        <f>SUM(D226:I226)</f>
        <v>12757</v>
      </c>
      <c r="K226" s="176">
        <f aca="true" t="shared" si="50" ref="K226:M227">K230+K234+K238+K242</f>
        <v>1200</v>
      </c>
      <c r="L226" s="176">
        <f t="shared" si="50"/>
        <v>2549</v>
      </c>
      <c r="M226" s="176">
        <f t="shared" si="50"/>
        <v>0</v>
      </c>
      <c r="N226" s="177">
        <f aca="true" t="shared" si="51" ref="N226:N242">SUM(J226:M226)</f>
        <v>16506</v>
      </c>
      <c r="O226" s="210">
        <f>O230+O234+O238</f>
        <v>2</v>
      </c>
    </row>
    <row r="227" spans="1:15" s="179" customFormat="1" ht="11.25" customHeight="1">
      <c r="A227" s="171"/>
      <c r="B227" s="251"/>
      <c r="C227" s="287" t="s">
        <v>625</v>
      </c>
      <c r="D227" s="176">
        <f t="shared" si="49"/>
        <v>5105</v>
      </c>
      <c r="E227" s="176">
        <f t="shared" si="49"/>
        <v>814</v>
      </c>
      <c r="F227" s="176">
        <f t="shared" si="49"/>
        <v>1433</v>
      </c>
      <c r="G227" s="176">
        <f t="shared" si="49"/>
        <v>0</v>
      </c>
      <c r="H227" s="176">
        <f t="shared" si="49"/>
        <v>400</v>
      </c>
      <c r="I227" s="176">
        <f t="shared" si="49"/>
        <v>525</v>
      </c>
      <c r="J227" s="176">
        <f>SUM(D227:I227)</f>
        <v>8277</v>
      </c>
      <c r="K227" s="176">
        <f t="shared" si="50"/>
        <v>0</v>
      </c>
      <c r="L227" s="176">
        <f t="shared" si="50"/>
        <v>2548</v>
      </c>
      <c r="M227" s="176">
        <f t="shared" si="50"/>
        <v>0</v>
      </c>
      <c r="N227" s="177">
        <f t="shared" si="51"/>
        <v>10825</v>
      </c>
      <c r="O227" s="210">
        <f>O231+O235+O239</f>
        <v>2</v>
      </c>
    </row>
    <row r="228" spans="1:15" ht="11.25" customHeight="1">
      <c r="A228" s="171"/>
      <c r="B228" s="191" t="s">
        <v>312</v>
      </c>
      <c r="C228" s="175" t="s">
        <v>70</v>
      </c>
      <c r="D228" s="174"/>
      <c r="E228" s="174"/>
      <c r="F228" s="175"/>
      <c r="G228" s="174"/>
      <c r="H228" s="174"/>
      <c r="I228" s="174"/>
      <c r="J228" s="176"/>
      <c r="K228" s="174"/>
      <c r="L228" s="174"/>
      <c r="M228" s="174"/>
      <c r="N228" s="177"/>
      <c r="O228" s="210"/>
    </row>
    <row r="229" spans="1:15" ht="11.25" customHeight="1">
      <c r="A229" s="171"/>
      <c r="B229" s="191"/>
      <c r="C229" s="287" t="s">
        <v>623</v>
      </c>
      <c r="D229" s="174">
        <v>5389</v>
      </c>
      <c r="E229" s="174">
        <v>777</v>
      </c>
      <c r="F229" s="175">
        <v>1648</v>
      </c>
      <c r="G229" s="174"/>
      <c r="H229" s="174"/>
      <c r="I229" s="174"/>
      <c r="J229" s="176">
        <f>SUM(D229:I229)</f>
        <v>7814</v>
      </c>
      <c r="K229" s="174"/>
      <c r="L229" s="174"/>
      <c r="M229" s="174"/>
      <c r="N229" s="177">
        <f t="shared" si="51"/>
        <v>7814</v>
      </c>
      <c r="O229" s="210">
        <v>2</v>
      </c>
    </row>
    <row r="230" spans="1:15" ht="11.25" customHeight="1">
      <c r="A230" s="171"/>
      <c r="B230" s="191"/>
      <c r="C230" s="287" t="s">
        <v>624</v>
      </c>
      <c r="D230" s="174">
        <v>5424</v>
      </c>
      <c r="E230" s="174">
        <v>786</v>
      </c>
      <c r="F230" s="175">
        <v>1656</v>
      </c>
      <c r="G230" s="174"/>
      <c r="H230" s="174"/>
      <c r="I230" s="174"/>
      <c r="J230" s="176">
        <f>SUM(D230:I230)</f>
        <v>7866</v>
      </c>
      <c r="K230" s="174"/>
      <c r="L230" s="174"/>
      <c r="M230" s="174"/>
      <c r="N230" s="177">
        <f t="shared" si="51"/>
        <v>7866</v>
      </c>
      <c r="O230" s="210">
        <v>2</v>
      </c>
    </row>
    <row r="231" spans="1:15" ht="11.25" customHeight="1">
      <c r="A231" s="171"/>
      <c r="B231" s="191"/>
      <c r="C231" s="287" t="s">
        <v>625</v>
      </c>
      <c r="D231" s="174">
        <v>5105</v>
      </c>
      <c r="E231" s="174">
        <v>814</v>
      </c>
      <c r="F231" s="175">
        <f>306+74+736+47</f>
        <v>1163</v>
      </c>
      <c r="G231" s="174"/>
      <c r="H231" s="174"/>
      <c r="I231" s="174"/>
      <c r="J231" s="176">
        <f>SUM(D231:I231)</f>
        <v>7082</v>
      </c>
      <c r="K231" s="174"/>
      <c r="L231" s="174"/>
      <c r="M231" s="174"/>
      <c r="N231" s="177">
        <f t="shared" si="51"/>
        <v>7082</v>
      </c>
      <c r="O231" s="210">
        <v>2</v>
      </c>
    </row>
    <row r="232" spans="1:15" ht="11.25" customHeight="1">
      <c r="A232" s="171"/>
      <c r="B232" s="191" t="s">
        <v>314</v>
      </c>
      <c r="C232" s="175" t="s">
        <v>8</v>
      </c>
      <c r="D232" s="174"/>
      <c r="E232" s="174"/>
      <c r="F232" s="175"/>
      <c r="G232" s="174"/>
      <c r="H232" s="174"/>
      <c r="I232" s="174"/>
      <c r="J232" s="176"/>
      <c r="K232" s="174"/>
      <c r="L232" s="174"/>
      <c r="M232" s="174"/>
      <c r="N232" s="177"/>
      <c r="O232" s="210"/>
    </row>
    <row r="233" spans="1:15" ht="11.25" customHeight="1">
      <c r="A233" s="171"/>
      <c r="B233" s="191"/>
      <c r="C233" s="287" t="s">
        <v>623</v>
      </c>
      <c r="D233" s="174">
        <v>330</v>
      </c>
      <c r="E233" s="174">
        <v>80</v>
      </c>
      <c r="F233" s="175">
        <v>771</v>
      </c>
      <c r="G233" s="174"/>
      <c r="H233" s="174"/>
      <c r="I233" s="174">
        <v>2000</v>
      </c>
      <c r="J233" s="176">
        <f>SUM(D233:I233)</f>
        <v>3181</v>
      </c>
      <c r="K233" s="174"/>
      <c r="L233" s="174">
        <v>2549</v>
      </c>
      <c r="M233" s="174"/>
      <c r="N233" s="177">
        <f t="shared" si="51"/>
        <v>5730</v>
      </c>
      <c r="O233" s="210"/>
    </row>
    <row r="234" spans="1:15" ht="11.25" customHeight="1">
      <c r="A234" s="171"/>
      <c r="B234" s="191"/>
      <c r="C234" s="287" t="s">
        <v>624</v>
      </c>
      <c r="D234" s="174">
        <v>330</v>
      </c>
      <c r="E234" s="174">
        <v>80</v>
      </c>
      <c r="F234" s="175">
        <f>-41+812</f>
        <v>771</v>
      </c>
      <c r="G234" s="174"/>
      <c r="H234" s="174">
        <v>0</v>
      </c>
      <c r="I234" s="174">
        <v>3310</v>
      </c>
      <c r="J234" s="176">
        <f>SUM(D234:I234)</f>
        <v>4491</v>
      </c>
      <c r="K234" s="174"/>
      <c r="L234" s="174">
        <v>2549</v>
      </c>
      <c r="M234" s="174"/>
      <c r="N234" s="177">
        <f t="shared" si="51"/>
        <v>7040</v>
      </c>
      <c r="O234" s="210"/>
    </row>
    <row r="235" spans="1:15" ht="11.25" customHeight="1">
      <c r="A235" s="171"/>
      <c r="B235" s="191"/>
      <c r="C235" s="287" t="s">
        <v>625</v>
      </c>
      <c r="D235" s="174">
        <v>0</v>
      </c>
      <c r="E235" s="174">
        <v>0</v>
      </c>
      <c r="F235" s="175">
        <v>270</v>
      </c>
      <c r="G235" s="174"/>
      <c r="H235" s="174"/>
      <c r="I235" s="174">
        <v>525</v>
      </c>
      <c r="J235" s="176">
        <f>SUM(D235:I235)</f>
        <v>795</v>
      </c>
      <c r="K235" s="174"/>
      <c r="L235" s="174">
        <v>2548</v>
      </c>
      <c r="M235" s="174"/>
      <c r="N235" s="177">
        <f t="shared" si="51"/>
        <v>3343</v>
      </c>
      <c r="O235" s="210"/>
    </row>
    <row r="236" spans="1:15" ht="11.25" customHeight="1">
      <c r="A236" s="171"/>
      <c r="B236" s="191" t="s">
        <v>316</v>
      </c>
      <c r="C236" s="175" t="s">
        <v>71</v>
      </c>
      <c r="D236" s="174"/>
      <c r="E236" s="174"/>
      <c r="F236" s="175"/>
      <c r="G236" s="174"/>
      <c r="H236" s="174"/>
      <c r="I236" s="174"/>
      <c r="J236" s="176"/>
      <c r="K236" s="174"/>
      <c r="L236" s="174"/>
      <c r="M236" s="174"/>
      <c r="N236" s="177"/>
      <c r="O236" s="210"/>
    </row>
    <row r="237" spans="1:15" ht="11.25" customHeight="1">
      <c r="A237" s="171"/>
      <c r="B237" s="191"/>
      <c r="C237" s="287" t="s">
        <v>623</v>
      </c>
      <c r="D237" s="174"/>
      <c r="E237" s="174"/>
      <c r="F237" s="175"/>
      <c r="G237" s="174"/>
      <c r="H237" s="174">
        <v>400</v>
      </c>
      <c r="I237" s="174"/>
      <c r="J237" s="176">
        <f>SUM(D237:I237)</f>
        <v>400</v>
      </c>
      <c r="K237" s="174"/>
      <c r="L237" s="174"/>
      <c r="M237" s="174"/>
      <c r="N237" s="177">
        <f t="shared" si="51"/>
        <v>400</v>
      </c>
      <c r="O237" s="210"/>
    </row>
    <row r="238" spans="1:15" ht="11.25" customHeight="1">
      <c r="A238" s="171"/>
      <c r="B238" s="191"/>
      <c r="C238" s="287" t="s">
        <v>624</v>
      </c>
      <c r="D238" s="174"/>
      <c r="E238" s="174"/>
      <c r="F238" s="175"/>
      <c r="G238" s="174"/>
      <c r="H238" s="174">
        <v>400</v>
      </c>
      <c r="I238" s="174"/>
      <c r="J238" s="176">
        <f>SUM(D238:I238)</f>
        <v>400</v>
      </c>
      <c r="K238" s="174"/>
      <c r="L238" s="174"/>
      <c r="M238" s="174"/>
      <c r="N238" s="177">
        <f t="shared" si="51"/>
        <v>400</v>
      </c>
      <c r="O238" s="210"/>
    </row>
    <row r="239" spans="1:15" ht="11.25" customHeight="1">
      <c r="A239" s="607"/>
      <c r="B239" s="1375"/>
      <c r="C239" s="288" t="s">
        <v>625</v>
      </c>
      <c r="D239" s="604"/>
      <c r="E239" s="604"/>
      <c r="F239" s="610"/>
      <c r="G239" s="604"/>
      <c r="H239" s="604">
        <v>400</v>
      </c>
      <c r="I239" s="604"/>
      <c r="J239" s="600">
        <f>SUM(D239:I239)</f>
        <v>400</v>
      </c>
      <c r="K239" s="604"/>
      <c r="L239" s="604"/>
      <c r="M239" s="604"/>
      <c r="N239" s="605">
        <f t="shared" si="51"/>
        <v>400</v>
      </c>
      <c r="O239" s="211"/>
    </row>
    <row r="240" spans="1:15" ht="11.25" customHeight="1">
      <c r="A240" s="171"/>
      <c r="B240" s="191" t="s">
        <v>318</v>
      </c>
      <c r="C240" s="601" t="s">
        <v>803</v>
      </c>
      <c r="D240" s="174"/>
      <c r="E240" s="174"/>
      <c r="F240" s="175"/>
      <c r="G240" s="174"/>
      <c r="H240" s="174"/>
      <c r="I240" s="174"/>
      <c r="J240" s="600"/>
      <c r="K240" s="174"/>
      <c r="L240" s="174"/>
      <c r="M240" s="174"/>
      <c r="N240" s="605"/>
      <c r="O240" s="210"/>
    </row>
    <row r="241" spans="1:15" ht="11.25" customHeight="1">
      <c r="A241" s="171"/>
      <c r="B241" s="191"/>
      <c r="C241" s="287" t="s">
        <v>623</v>
      </c>
      <c r="D241" s="174"/>
      <c r="E241" s="174"/>
      <c r="F241" s="175"/>
      <c r="G241" s="174"/>
      <c r="H241" s="174"/>
      <c r="I241" s="174"/>
      <c r="J241" s="600">
        <f>SUM(D241:I241)</f>
        <v>0</v>
      </c>
      <c r="K241" s="174"/>
      <c r="L241" s="174"/>
      <c r="M241" s="174"/>
      <c r="N241" s="605">
        <f t="shared" si="51"/>
        <v>0</v>
      </c>
      <c r="O241" s="210"/>
    </row>
    <row r="242" spans="1:15" ht="11.25" customHeight="1">
      <c r="A242" s="171"/>
      <c r="B242" s="191"/>
      <c r="C242" s="287" t="s">
        <v>624</v>
      </c>
      <c r="D242" s="174"/>
      <c r="E242" s="174"/>
      <c r="F242" s="175"/>
      <c r="G242" s="174"/>
      <c r="H242" s="174"/>
      <c r="I242" s="174"/>
      <c r="J242" s="600">
        <f>SUM(D242:I242)</f>
        <v>0</v>
      </c>
      <c r="K242" s="174">
        <v>1200</v>
      </c>
      <c r="L242" s="174"/>
      <c r="M242" s="174"/>
      <c r="N242" s="605">
        <f t="shared" si="51"/>
        <v>1200</v>
      </c>
      <c r="O242" s="210"/>
    </row>
    <row r="243" spans="1:15" ht="11.25" customHeight="1" thickBot="1">
      <c r="A243" s="165"/>
      <c r="B243" s="189"/>
      <c r="C243" s="302" t="s">
        <v>625</v>
      </c>
      <c r="D243" s="167"/>
      <c r="E243" s="167"/>
      <c r="F243" s="168"/>
      <c r="G243" s="167"/>
      <c r="H243" s="167"/>
      <c r="I243" s="167"/>
      <c r="J243" s="169">
        <f>SUM(D243:I243)</f>
        <v>0</v>
      </c>
      <c r="K243" s="167">
        <v>0</v>
      </c>
      <c r="L243" s="167"/>
      <c r="M243" s="167"/>
      <c r="N243" s="170">
        <f>SUM(J243:M243)</f>
        <v>0</v>
      </c>
      <c r="O243" s="209"/>
    </row>
    <row r="244" spans="1:15" s="179" customFormat="1" ht="11.25" customHeight="1">
      <c r="A244" s="158">
        <v>22</v>
      </c>
      <c r="B244" s="249" t="s">
        <v>465</v>
      </c>
      <c r="C244" s="163" t="s">
        <v>804</v>
      </c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3"/>
      <c r="O244" s="208"/>
    </row>
    <row r="245" spans="1:15" s="179" customFormat="1" ht="11.25" customHeight="1">
      <c r="A245" s="171"/>
      <c r="B245" s="251"/>
      <c r="C245" s="287" t="s">
        <v>623</v>
      </c>
      <c r="D245" s="176">
        <f aca="true" t="shared" si="52" ref="D245:I245">D249+D253</f>
        <v>0</v>
      </c>
      <c r="E245" s="176">
        <f t="shared" si="52"/>
        <v>0</v>
      </c>
      <c r="F245" s="176">
        <f t="shared" si="52"/>
        <v>32300</v>
      </c>
      <c r="G245" s="176">
        <f t="shared" si="52"/>
        <v>0</v>
      </c>
      <c r="H245" s="176">
        <f t="shared" si="52"/>
        <v>0</v>
      </c>
      <c r="I245" s="176">
        <f t="shared" si="52"/>
        <v>0</v>
      </c>
      <c r="J245" s="176">
        <f>SUM(D245:I245)</f>
        <v>32300</v>
      </c>
      <c r="K245" s="176">
        <f>K249+K253</f>
        <v>0</v>
      </c>
      <c r="L245" s="176">
        <f>L249+L253</f>
        <v>0</v>
      </c>
      <c r="M245" s="176">
        <f>M249+M253</f>
        <v>0</v>
      </c>
      <c r="N245" s="177">
        <f>SUM(J245:M245)</f>
        <v>32300</v>
      </c>
      <c r="O245" s="210"/>
    </row>
    <row r="246" spans="1:15" s="179" customFormat="1" ht="11.25" customHeight="1">
      <c r="A246" s="171"/>
      <c r="B246" s="251"/>
      <c r="C246" s="287" t="s">
        <v>624</v>
      </c>
      <c r="D246" s="176">
        <f aca="true" t="shared" si="53" ref="D246:I247">D250+D254</f>
        <v>0</v>
      </c>
      <c r="E246" s="176">
        <f t="shared" si="53"/>
        <v>0</v>
      </c>
      <c r="F246" s="176">
        <f t="shared" si="53"/>
        <v>32650</v>
      </c>
      <c r="G246" s="176">
        <f t="shared" si="53"/>
        <v>0</v>
      </c>
      <c r="H246" s="176">
        <f t="shared" si="53"/>
        <v>0</v>
      </c>
      <c r="I246" s="176">
        <f t="shared" si="53"/>
        <v>0</v>
      </c>
      <c r="J246" s="176">
        <f>SUM(D246:I246)</f>
        <v>32650</v>
      </c>
      <c r="K246" s="176">
        <f aca="true" t="shared" si="54" ref="K246:M247">K250+K254</f>
        <v>0</v>
      </c>
      <c r="L246" s="176">
        <f t="shared" si="54"/>
        <v>0</v>
      </c>
      <c r="M246" s="176">
        <f t="shared" si="54"/>
        <v>0</v>
      </c>
      <c r="N246" s="177">
        <f>SUM(J246:M246)</f>
        <v>32650</v>
      </c>
      <c r="O246" s="210"/>
    </row>
    <row r="247" spans="1:15" s="179" customFormat="1" ht="11.25" customHeight="1">
      <c r="A247" s="171"/>
      <c r="B247" s="251"/>
      <c r="C247" s="287" t="s">
        <v>625</v>
      </c>
      <c r="D247" s="176">
        <f t="shared" si="53"/>
        <v>0</v>
      </c>
      <c r="E247" s="176">
        <f t="shared" si="53"/>
        <v>0</v>
      </c>
      <c r="F247" s="176">
        <f t="shared" si="53"/>
        <v>31945</v>
      </c>
      <c r="G247" s="176">
        <f t="shared" si="53"/>
        <v>0</v>
      </c>
      <c r="H247" s="176">
        <f t="shared" si="53"/>
        <v>0</v>
      </c>
      <c r="I247" s="176">
        <f t="shared" si="53"/>
        <v>0</v>
      </c>
      <c r="J247" s="176">
        <f>SUM(D247:I247)</f>
        <v>31945</v>
      </c>
      <c r="K247" s="176">
        <f t="shared" si="54"/>
        <v>0</v>
      </c>
      <c r="L247" s="176">
        <f t="shared" si="54"/>
        <v>0</v>
      </c>
      <c r="M247" s="176">
        <f t="shared" si="54"/>
        <v>0</v>
      </c>
      <c r="N247" s="177">
        <f>SUM(J247:M247)</f>
        <v>31945</v>
      </c>
      <c r="O247" s="210"/>
    </row>
    <row r="248" spans="1:15" ht="11.25" customHeight="1">
      <c r="A248" s="180"/>
      <c r="B248" s="172" t="s">
        <v>312</v>
      </c>
      <c r="C248" s="173" t="s">
        <v>457</v>
      </c>
      <c r="D248" s="174"/>
      <c r="E248" s="174"/>
      <c r="F248" s="175"/>
      <c r="G248" s="174"/>
      <c r="H248" s="174"/>
      <c r="I248" s="174"/>
      <c r="J248" s="176"/>
      <c r="K248" s="174"/>
      <c r="L248" s="174"/>
      <c r="M248" s="174"/>
      <c r="N248" s="177"/>
      <c r="O248" s="215"/>
    </row>
    <row r="249" spans="1:15" ht="11.25" customHeight="1">
      <c r="A249" s="180"/>
      <c r="B249" s="172"/>
      <c r="C249" s="287" t="s">
        <v>623</v>
      </c>
      <c r="D249" s="174"/>
      <c r="E249" s="174"/>
      <c r="F249" s="175">
        <v>31000</v>
      </c>
      <c r="G249" s="174"/>
      <c r="H249" s="174"/>
      <c r="I249" s="174"/>
      <c r="J249" s="176">
        <f>SUM(D249:I249)</f>
        <v>31000</v>
      </c>
      <c r="K249" s="174"/>
      <c r="L249" s="174"/>
      <c r="M249" s="174"/>
      <c r="N249" s="177">
        <f>SUM(J249:M249)</f>
        <v>31000</v>
      </c>
      <c r="O249" s="215"/>
    </row>
    <row r="250" spans="1:15" ht="11.25" customHeight="1">
      <c r="A250" s="180"/>
      <c r="B250" s="172"/>
      <c r="C250" s="287" t="s">
        <v>624</v>
      </c>
      <c r="D250" s="174"/>
      <c r="E250" s="174"/>
      <c r="F250" s="175">
        <v>30930</v>
      </c>
      <c r="G250" s="174"/>
      <c r="H250" s="174"/>
      <c r="I250" s="174"/>
      <c r="J250" s="176">
        <f>SUM(D250:I250)</f>
        <v>30930</v>
      </c>
      <c r="K250" s="174"/>
      <c r="L250" s="174"/>
      <c r="M250" s="174"/>
      <c r="N250" s="177">
        <f>SUM(J250:M250)</f>
        <v>30930</v>
      </c>
      <c r="O250" s="215"/>
    </row>
    <row r="251" spans="1:15" ht="11.25" customHeight="1">
      <c r="A251" s="180"/>
      <c r="B251" s="172"/>
      <c r="C251" s="287" t="s">
        <v>625</v>
      </c>
      <c r="D251" s="174"/>
      <c r="E251" s="174"/>
      <c r="F251" s="175">
        <v>30401</v>
      </c>
      <c r="G251" s="174"/>
      <c r="H251" s="174"/>
      <c r="I251" s="174"/>
      <c r="J251" s="176">
        <f>SUM(D251:I251)</f>
        <v>30401</v>
      </c>
      <c r="K251" s="174"/>
      <c r="L251" s="174"/>
      <c r="M251" s="174"/>
      <c r="N251" s="177">
        <f>SUM(J251:M251)</f>
        <v>30401</v>
      </c>
      <c r="O251" s="215"/>
    </row>
    <row r="252" spans="1:15" ht="11.25" customHeight="1">
      <c r="A252" s="180"/>
      <c r="B252" s="172" t="s">
        <v>314</v>
      </c>
      <c r="C252" s="173" t="s">
        <v>284</v>
      </c>
      <c r="D252" s="174"/>
      <c r="E252" s="174"/>
      <c r="F252" s="175"/>
      <c r="G252" s="174"/>
      <c r="H252" s="174"/>
      <c r="I252" s="174"/>
      <c r="J252" s="176"/>
      <c r="K252" s="174"/>
      <c r="L252" s="174"/>
      <c r="M252" s="174"/>
      <c r="N252" s="177"/>
      <c r="O252" s="215"/>
    </row>
    <row r="253" spans="1:15" ht="11.25" customHeight="1">
      <c r="A253" s="180"/>
      <c r="B253" s="172"/>
      <c r="C253" s="287" t="s">
        <v>623</v>
      </c>
      <c r="D253" s="174"/>
      <c r="E253" s="174"/>
      <c r="F253" s="175">
        <v>1300</v>
      </c>
      <c r="G253" s="174"/>
      <c r="H253" s="174"/>
      <c r="I253" s="174"/>
      <c r="J253" s="176">
        <f>SUM(D253:I253)</f>
        <v>1300</v>
      </c>
      <c r="K253" s="174"/>
      <c r="L253" s="174"/>
      <c r="M253" s="174"/>
      <c r="N253" s="177">
        <f>SUM(J253:M253)</f>
        <v>1300</v>
      </c>
      <c r="O253" s="215"/>
    </row>
    <row r="254" spans="1:15" ht="11.25" customHeight="1">
      <c r="A254" s="180"/>
      <c r="B254" s="172"/>
      <c r="C254" s="287" t="s">
        <v>624</v>
      </c>
      <c r="D254" s="174"/>
      <c r="E254" s="174"/>
      <c r="F254" s="175">
        <v>1720</v>
      </c>
      <c r="G254" s="174"/>
      <c r="H254" s="174"/>
      <c r="I254" s="174"/>
      <c r="J254" s="176">
        <f>SUM(D254:I254)</f>
        <v>1720</v>
      </c>
      <c r="K254" s="174"/>
      <c r="L254" s="174"/>
      <c r="M254" s="174"/>
      <c r="N254" s="177">
        <f>SUM(J254:M254)</f>
        <v>1720</v>
      </c>
      <c r="O254" s="215"/>
    </row>
    <row r="255" spans="1:15" ht="11.25" customHeight="1" thickBot="1">
      <c r="A255" s="247"/>
      <c r="B255" s="178"/>
      <c r="C255" s="303" t="s">
        <v>625</v>
      </c>
      <c r="D255" s="160"/>
      <c r="E255" s="160"/>
      <c r="F255" s="161">
        <v>1544</v>
      </c>
      <c r="G255" s="160"/>
      <c r="H255" s="160"/>
      <c r="I255" s="160"/>
      <c r="J255" s="162">
        <f>SUM(D255:I255)</f>
        <v>1544</v>
      </c>
      <c r="K255" s="160"/>
      <c r="L255" s="160"/>
      <c r="M255" s="160"/>
      <c r="N255" s="163">
        <f>SUM(J255:M255)</f>
        <v>1544</v>
      </c>
      <c r="O255" s="248"/>
    </row>
    <row r="256" spans="1:15" s="179" customFormat="1" ht="11.25" customHeight="1">
      <c r="A256" s="186">
        <v>23</v>
      </c>
      <c r="B256" s="250" t="s">
        <v>465</v>
      </c>
      <c r="C256" s="188" t="s">
        <v>456</v>
      </c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88"/>
      <c r="O256" s="212"/>
    </row>
    <row r="257" spans="1:15" s="179" customFormat="1" ht="11.25" customHeight="1">
      <c r="A257" s="171"/>
      <c r="B257" s="251"/>
      <c r="C257" s="287" t="s">
        <v>623</v>
      </c>
      <c r="D257" s="176">
        <f aca="true" t="shared" si="55" ref="D257:I257">D261+D265+D269</f>
        <v>0</v>
      </c>
      <c r="E257" s="176">
        <f t="shared" si="55"/>
        <v>0</v>
      </c>
      <c r="F257" s="176">
        <f t="shared" si="55"/>
        <v>32756</v>
      </c>
      <c r="G257" s="176">
        <f t="shared" si="55"/>
        <v>0</v>
      </c>
      <c r="H257" s="176">
        <f t="shared" si="55"/>
        <v>0</v>
      </c>
      <c r="I257" s="176">
        <f t="shared" si="55"/>
        <v>0</v>
      </c>
      <c r="J257" s="176">
        <f>SUM(D257:I257)</f>
        <v>32756</v>
      </c>
      <c r="K257" s="176"/>
      <c r="L257" s="176"/>
      <c r="M257" s="176"/>
      <c r="N257" s="177">
        <f>SUM(J257:M257)</f>
        <v>32756</v>
      </c>
      <c r="O257" s="210"/>
    </row>
    <row r="258" spans="1:15" s="179" customFormat="1" ht="11.25" customHeight="1">
      <c r="A258" s="171"/>
      <c r="B258" s="251"/>
      <c r="C258" s="287" t="s">
        <v>624</v>
      </c>
      <c r="D258" s="176">
        <f aca="true" t="shared" si="56" ref="D258:I259">D262+D266+D270</f>
        <v>0</v>
      </c>
      <c r="E258" s="176">
        <f t="shared" si="56"/>
        <v>0</v>
      </c>
      <c r="F258" s="176">
        <f>F262+F266+F270+F274</f>
        <v>33862</v>
      </c>
      <c r="G258" s="176">
        <f t="shared" si="56"/>
        <v>0</v>
      </c>
      <c r="H258" s="176">
        <f t="shared" si="56"/>
        <v>0</v>
      </c>
      <c r="I258" s="176">
        <f t="shared" si="56"/>
        <v>0</v>
      </c>
      <c r="J258" s="176">
        <f>SUM(D258:I258)</f>
        <v>33862</v>
      </c>
      <c r="K258" s="176"/>
      <c r="L258" s="176"/>
      <c r="M258" s="176"/>
      <c r="N258" s="177">
        <f>SUM(J258:M258)</f>
        <v>33862</v>
      </c>
      <c r="O258" s="210"/>
    </row>
    <row r="259" spans="1:15" s="179" customFormat="1" ht="11.25" customHeight="1">
      <c r="A259" s="171"/>
      <c r="B259" s="251"/>
      <c r="C259" s="287" t="s">
        <v>625</v>
      </c>
      <c r="D259" s="176">
        <f t="shared" si="56"/>
        <v>0</v>
      </c>
      <c r="E259" s="176">
        <f t="shared" si="56"/>
        <v>0</v>
      </c>
      <c r="F259" s="176">
        <f>F263+F267+F271+F275</f>
        <v>25191</v>
      </c>
      <c r="G259" s="176">
        <f t="shared" si="56"/>
        <v>0</v>
      </c>
      <c r="H259" s="176">
        <f t="shared" si="56"/>
        <v>0</v>
      </c>
      <c r="I259" s="176">
        <f t="shared" si="56"/>
        <v>0</v>
      </c>
      <c r="J259" s="176">
        <f>SUM(D259:I259)</f>
        <v>25191</v>
      </c>
      <c r="K259" s="176"/>
      <c r="L259" s="176"/>
      <c r="M259" s="176"/>
      <c r="N259" s="177">
        <f>SUM(J259:M259)</f>
        <v>25191</v>
      </c>
      <c r="O259" s="210"/>
    </row>
    <row r="260" spans="1:15" ht="11.25" customHeight="1">
      <c r="A260" s="171"/>
      <c r="B260" s="172">
        <v>1</v>
      </c>
      <c r="C260" s="173" t="s">
        <v>252</v>
      </c>
      <c r="D260" s="174"/>
      <c r="E260" s="174"/>
      <c r="F260" s="174"/>
      <c r="G260" s="174"/>
      <c r="H260" s="174"/>
      <c r="I260" s="174"/>
      <c r="J260" s="176"/>
      <c r="K260" s="174"/>
      <c r="L260" s="174"/>
      <c r="M260" s="174"/>
      <c r="N260" s="177"/>
      <c r="O260" s="210"/>
    </row>
    <row r="261" spans="1:15" ht="11.25" customHeight="1">
      <c r="A261" s="171"/>
      <c r="B261" s="172"/>
      <c r="C261" s="287" t="s">
        <v>623</v>
      </c>
      <c r="D261" s="174"/>
      <c r="E261" s="174"/>
      <c r="F261" s="174">
        <v>10450</v>
      </c>
      <c r="G261" s="174"/>
      <c r="H261" s="174"/>
      <c r="I261" s="174"/>
      <c r="J261" s="176">
        <f>SUM(D261:I261)</f>
        <v>10450</v>
      </c>
      <c r="K261" s="174"/>
      <c r="L261" s="174"/>
      <c r="M261" s="174"/>
      <c r="N261" s="177">
        <f>SUM(J261:M261)</f>
        <v>10450</v>
      </c>
      <c r="O261" s="210"/>
    </row>
    <row r="262" spans="1:15" ht="11.25" customHeight="1">
      <c r="A262" s="171"/>
      <c r="B262" s="172"/>
      <c r="C262" s="287" t="s">
        <v>624</v>
      </c>
      <c r="D262" s="174"/>
      <c r="E262" s="174"/>
      <c r="F262" s="174">
        <v>11556</v>
      </c>
      <c r="G262" s="174"/>
      <c r="H262" s="174"/>
      <c r="I262" s="174"/>
      <c r="J262" s="176">
        <f>SUM(D262:I262)</f>
        <v>11556</v>
      </c>
      <c r="K262" s="174"/>
      <c r="L262" s="174"/>
      <c r="M262" s="174"/>
      <c r="N262" s="177">
        <f>SUM(J262:M262)</f>
        <v>11556</v>
      </c>
      <c r="O262" s="210"/>
    </row>
    <row r="263" spans="1:15" ht="11.25" customHeight="1">
      <c r="A263" s="171"/>
      <c r="B263" s="172"/>
      <c r="C263" s="287" t="s">
        <v>625</v>
      </c>
      <c r="D263" s="174"/>
      <c r="E263" s="174"/>
      <c r="F263" s="174">
        <v>4290</v>
      </c>
      <c r="G263" s="174"/>
      <c r="H263" s="174"/>
      <c r="I263" s="174"/>
      <c r="J263" s="176">
        <f>SUM(D263:I263)</f>
        <v>4290</v>
      </c>
      <c r="K263" s="174"/>
      <c r="L263" s="174"/>
      <c r="M263" s="174"/>
      <c r="N263" s="177">
        <f>SUM(J263:M263)</f>
        <v>4290</v>
      </c>
      <c r="O263" s="210"/>
    </row>
    <row r="264" spans="1:15" ht="11.25" customHeight="1">
      <c r="A264" s="171"/>
      <c r="B264" s="172">
        <v>2</v>
      </c>
      <c r="C264" s="173" t="s">
        <v>253</v>
      </c>
      <c r="D264" s="174"/>
      <c r="E264" s="174"/>
      <c r="F264" s="174"/>
      <c r="G264" s="174"/>
      <c r="H264" s="174"/>
      <c r="I264" s="174"/>
      <c r="J264" s="176"/>
      <c r="K264" s="174"/>
      <c r="L264" s="174"/>
      <c r="M264" s="174"/>
      <c r="N264" s="177"/>
      <c r="O264" s="210"/>
    </row>
    <row r="265" spans="1:15" ht="11.25" customHeight="1">
      <c r="A265" s="171"/>
      <c r="B265" s="172"/>
      <c r="C265" s="287" t="s">
        <v>623</v>
      </c>
      <c r="D265" s="174"/>
      <c r="E265" s="174"/>
      <c r="F265" s="174">
        <v>20650</v>
      </c>
      <c r="G265" s="174"/>
      <c r="H265" s="174"/>
      <c r="I265" s="174"/>
      <c r="J265" s="176">
        <f>SUM(D265:I265)</f>
        <v>20650</v>
      </c>
      <c r="K265" s="174"/>
      <c r="L265" s="174"/>
      <c r="M265" s="174"/>
      <c r="N265" s="177">
        <f>SUM(J265:M265)</f>
        <v>20650</v>
      </c>
      <c r="O265" s="210"/>
    </row>
    <row r="266" spans="1:15" ht="11.25" customHeight="1">
      <c r="A266" s="171"/>
      <c r="B266" s="172"/>
      <c r="C266" s="287" t="s">
        <v>624</v>
      </c>
      <c r="D266" s="174"/>
      <c r="E266" s="174"/>
      <c r="F266" s="174">
        <v>20650</v>
      </c>
      <c r="G266" s="174"/>
      <c r="H266" s="174"/>
      <c r="I266" s="174"/>
      <c r="J266" s="176">
        <f>SUM(D266:I266)</f>
        <v>20650</v>
      </c>
      <c r="K266" s="174"/>
      <c r="L266" s="174"/>
      <c r="M266" s="174"/>
      <c r="N266" s="177">
        <f>SUM(J266:M266)</f>
        <v>20650</v>
      </c>
      <c r="O266" s="210"/>
    </row>
    <row r="267" spans="1:15" ht="11.25" customHeight="1">
      <c r="A267" s="171"/>
      <c r="B267" s="172"/>
      <c r="C267" s="287" t="s">
        <v>625</v>
      </c>
      <c r="D267" s="174"/>
      <c r="E267" s="174"/>
      <c r="F267" s="174">
        <v>20526</v>
      </c>
      <c r="G267" s="174"/>
      <c r="H267" s="174"/>
      <c r="I267" s="174"/>
      <c r="J267" s="176">
        <f>SUM(D267:I267)</f>
        <v>20526</v>
      </c>
      <c r="K267" s="174"/>
      <c r="L267" s="174"/>
      <c r="M267" s="174"/>
      <c r="N267" s="177">
        <f>SUM(J267:M267)</f>
        <v>20526</v>
      </c>
      <c r="O267" s="210"/>
    </row>
    <row r="268" spans="1:15" ht="11.25" customHeight="1">
      <c r="A268" s="171"/>
      <c r="B268" s="172">
        <v>3</v>
      </c>
      <c r="C268" s="173" t="s">
        <v>805</v>
      </c>
      <c r="D268" s="174"/>
      <c r="E268" s="174"/>
      <c r="F268" s="174"/>
      <c r="G268" s="174"/>
      <c r="H268" s="174"/>
      <c r="I268" s="174"/>
      <c r="J268" s="176"/>
      <c r="K268" s="174"/>
      <c r="L268" s="174"/>
      <c r="M268" s="174"/>
      <c r="N268" s="177"/>
      <c r="O268" s="210"/>
    </row>
    <row r="269" spans="1:15" ht="11.25" customHeight="1">
      <c r="A269" s="171"/>
      <c r="B269" s="172"/>
      <c r="C269" s="287" t="s">
        <v>623</v>
      </c>
      <c r="D269" s="174"/>
      <c r="E269" s="174"/>
      <c r="F269" s="174">
        <v>1656</v>
      </c>
      <c r="G269" s="174"/>
      <c r="H269" s="174"/>
      <c r="I269" s="174"/>
      <c r="J269" s="176">
        <f>SUM(D269:I269)</f>
        <v>1656</v>
      </c>
      <c r="K269" s="174"/>
      <c r="L269" s="174"/>
      <c r="M269" s="174"/>
      <c r="N269" s="177">
        <f>SUM(J269:M269)</f>
        <v>1656</v>
      </c>
      <c r="O269" s="210"/>
    </row>
    <row r="270" spans="1:15" ht="11.25" customHeight="1">
      <c r="A270" s="171"/>
      <c r="B270" s="172"/>
      <c r="C270" s="287" t="s">
        <v>624</v>
      </c>
      <c r="D270" s="174"/>
      <c r="E270" s="174"/>
      <c r="F270" s="174">
        <v>1581</v>
      </c>
      <c r="G270" s="174"/>
      <c r="H270" s="174"/>
      <c r="I270" s="174"/>
      <c r="J270" s="176">
        <f>SUM(D270:I270)</f>
        <v>1581</v>
      </c>
      <c r="K270" s="174"/>
      <c r="L270" s="174"/>
      <c r="M270" s="174"/>
      <c r="N270" s="177">
        <f>SUM(J270:M270)</f>
        <v>1581</v>
      </c>
      <c r="O270" s="210"/>
    </row>
    <row r="271" spans="1:15" ht="11.25" customHeight="1">
      <c r="A271" s="171"/>
      <c r="B271" s="172"/>
      <c r="C271" s="287" t="s">
        <v>625</v>
      </c>
      <c r="D271" s="174"/>
      <c r="E271" s="174"/>
      <c r="F271" s="174">
        <v>300</v>
      </c>
      <c r="G271" s="174"/>
      <c r="H271" s="174"/>
      <c r="I271" s="174"/>
      <c r="J271" s="176">
        <f>SUM(D271:I271)</f>
        <v>300</v>
      </c>
      <c r="K271" s="174"/>
      <c r="L271" s="174"/>
      <c r="M271" s="174"/>
      <c r="N271" s="177">
        <f>SUM(J271:M271)</f>
        <v>300</v>
      </c>
      <c r="O271" s="210"/>
    </row>
    <row r="272" spans="1:15" ht="22.5" customHeight="1">
      <c r="A272" s="171"/>
      <c r="B272" s="172">
        <v>4</v>
      </c>
      <c r="C272" s="611" t="s">
        <v>806</v>
      </c>
      <c r="D272" s="174"/>
      <c r="E272" s="174"/>
      <c r="F272" s="174"/>
      <c r="G272" s="174"/>
      <c r="H272" s="174"/>
      <c r="I272" s="174"/>
      <c r="J272" s="176"/>
      <c r="K272" s="174"/>
      <c r="L272" s="174"/>
      <c r="M272" s="174"/>
      <c r="N272" s="177"/>
      <c r="O272" s="210"/>
    </row>
    <row r="273" spans="1:15" ht="11.25" customHeight="1">
      <c r="A273" s="171"/>
      <c r="B273" s="172"/>
      <c r="C273" s="287" t="s">
        <v>623</v>
      </c>
      <c r="D273" s="174"/>
      <c r="E273" s="174"/>
      <c r="F273" s="174"/>
      <c r="G273" s="174"/>
      <c r="H273" s="174"/>
      <c r="I273" s="174"/>
      <c r="J273" s="176">
        <f>SUM(D273:I273)</f>
        <v>0</v>
      </c>
      <c r="K273" s="174"/>
      <c r="L273" s="174"/>
      <c r="M273" s="174"/>
      <c r="N273" s="177">
        <f>SUM(J273:M273)</f>
        <v>0</v>
      </c>
      <c r="O273" s="210"/>
    </row>
    <row r="274" spans="1:15" ht="11.25" customHeight="1">
      <c r="A274" s="171"/>
      <c r="B274" s="172"/>
      <c r="C274" s="287" t="s">
        <v>624</v>
      </c>
      <c r="D274" s="174"/>
      <c r="E274" s="174"/>
      <c r="F274" s="174">
        <v>75</v>
      </c>
      <c r="G274" s="174"/>
      <c r="H274" s="174"/>
      <c r="I274" s="174"/>
      <c r="J274" s="176">
        <f>SUM(D274:I274)</f>
        <v>75</v>
      </c>
      <c r="K274" s="174"/>
      <c r="L274" s="174"/>
      <c r="M274" s="174"/>
      <c r="N274" s="177">
        <f>SUM(J274:M274)</f>
        <v>75</v>
      </c>
      <c r="O274" s="210"/>
    </row>
    <row r="275" spans="1:15" ht="11.25" customHeight="1" thickBot="1">
      <c r="A275" s="165"/>
      <c r="B275" s="166"/>
      <c r="C275" s="302" t="s">
        <v>625</v>
      </c>
      <c r="D275" s="167"/>
      <c r="E275" s="167"/>
      <c r="F275" s="167">
        <v>75</v>
      </c>
      <c r="G275" s="167"/>
      <c r="H275" s="167"/>
      <c r="I275" s="167"/>
      <c r="J275" s="169">
        <f>SUM(D275:I275)</f>
        <v>75</v>
      </c>
      <c r="K275" s="167"/>
      <c r="L275" s="167"/>
      <c r="M275" s="167"/>
      <c r="N275" s="170">
        <f>SUM(J275:M275)</f>
        <v>75</v>
      </c>
      <c r="O275" s="209"/>
    </row>
    <row r="276" spans="1:15" s="179" customFormat="1" ht="11.25" customHeight="1">
      <c r="A276" s="186">
        <v>24</v>
      </c>
      <c r="B276" s="250" t="s">
        <v>312</v>
      </c>
      <c r="C276" s="188" t="s">
        <v>72</v>
      </c>
      <c r="D276" s="194"/>
      <c r="E276" s="194"/>
      <c r="F276" s="188"/>
      <c r="G276" s="194"/>
      <c r="H276" s="194"/>
      <c r="I276" s="194"/>
      <c r="J276" s="194"/>
      <c r="K276" s="194"/>
      <c r="L276" s="194"/>
      <c r="M276" s="194"/>
      <c r="N276" s="188"/>
      <c r="O276" s="212"/>
    </row>
    <row r="277" spans="1:15" s="179" customFormat="1" ht="11.25" customHeight="1">
      <c r="A277" s="171"/>
      <c r="B277" s="251"/>
      <c r="C277" s="287" t="s">
        <v>623</v>
      </c>
      <c r="D277" s="176"/>
      <c r="E277" s="176"/>
      <c r="F277" s="177">
        <v>0</v>
      </c>
      <c r="G277" s="176"/>
      <c r="H277" s="176"/>
      <c r="I277" s="176">
        <v>3220</v>
      </c>
      <c r="J277" s="176">
        <f>SUM(D277:I277)</f>
        <v>3220</v>
      </c>
      <c r="K277" s="176"/>
      <c r="L277" s="176"/>
      <c r="M277" s="176"/>
      <c r="N277" s="177">
        <f>SUM(J277:M277)</f>
        <v>3220</v>
      </c>
      <c r="O277" s="210"/>
    </row>
    <row r="278" spans="1:15" s="179" customFormat="1" ht="11.25" customHeight="1">
      <c r="A278" s="171"/>
      <c r="B278" s="251"/>
      <c r="C278" s="287" t="s">
        <v>624</v>
      </c>
      <c r="D278" s="176"/>
      <c r="E278" s="176"/>
      <c r="F278" s="177">
        <v>88</v>
      </c>
      <c r="G278" s="176"/>
      <c r="H278" s="176"/>
      <c r="I278" s="176">
        <v>3220</v>
      </c>
      <c r="J278" s="176">
        <f>SUM(D278:I278)</f>
        <v>3308</v>
      </c>
      <c r="K278" s="176"/>
      <c r="L278" s="176"/>
      <c r="M278" s="176"/>
      <c r="N278" s="177">
        <f>SUM(J278:M278)</f>
        <v>3308</v>
      </c>
      <c r="O278" s="210"/>
    </row>
    <row r="279" spans="1:15" s="179" customFormat="1" ht="11.25" customHeight="1" thickBot="1">
      <c r="A279" s="165"/>
      <c r="B279" s="311"/>
      <c r="C279" s="302" t="s">
        <v>625</v>
      </c>
      <c r="D279" s="169"/>
      <c r="E279" s="169"/>
      <c r="F279" s="170">
        <v>88</v>
      </c>
      <c r="G279" s="169"/>
      <c r="H279" s="169"/>
      <c r="I279" s="169"/>
      <c r="J279" s="169">
        <f>SUM(D279:I279)</f>
        <v>88</v>
      </c>
      <c r="K279" s="169"/>
      <c r="L279" s="169"/>
      <c r="M279" s="169"/>
      <c r="N279" s="170">
        <f>SUM(J279:M279)</f>
        <v>88</v>
      </c>
      <c r="O279" s="209"/>
    </row>
    <row r="280" spans="1:15" s="179" customFormat="1" ht="12.75" customHeight="1">
      <c r="A280" s="158">
        <v>25</v>
      </c>
      <c r="B280" s="249" t="s">
        <v>312</v>
      </c>
      <c r="C280" s="163" t="s">
        <v>73</v>
      </c>
      <c r="D280" s="162"/>
      <c r="E280" s="162"/>
      <c r="F280" s="163"/>
      <c r="G280" s="162"/>
      <c r="H280" s="162"/>
      <c r="I280" s="162"/>
      <c r="J280" s="162"/>
      <c r="K280" s="162"/>
      <c r="L280" s="162"/>
      <c r="M280" s="162"/>
      <c r="N280" s="163"/>
      <c r="O280" s="208"/>
    </row>
    <row r="281" spans="1:15" s="179" customFormat="1" ht="12.75" customHeight="1">
      <c r="A281" s="171"/>
      <c r="B281" s="251"/>
      <c r="C281" s="287" t="s">
        <v>623</v>
      </c>
      <c r="D281" s="176"/>
      <c r="E281" s="176"/>
      <c r="F281" s="177">
        <v>2000</v>
      </c>
      <c r="G281" s="176"/>
      <c r="H281" s="176"/>
      <c r="I281" s="176"/>
      <c r="J281" s="176">
        <f>SUM(D281:I281)</f>
        <v>2000</v>
      </c>
      <c r="K281" s="176"/>
      <c r="L281" s="176"/>
      <c r="M281" s="176"/>
      <c r="N281" s="177">
        <f>SUM(J281:M281)</f>
        <v>2000</v>
      </c>
      <c r="O281" s="210"/>
    </row>
    <row r="282" spans="1:15" s="179" customFormat="1" ht="12.75" customHeight="1">
      <c r="A282" s="171"/>
      <c r="B282" s="251"/>
      <c r="C282" s="287" t="s">
        <v>624</v>
      </c>
      <c r="D282" s="176">
        <v>104</v>
      </c>
      <c r="E282" s="176">
        <v>22</v>
      </c>
      <c r="F282" s="177">
        <v>1874</v>
      </c>
      <c r="G282" s="176"/>
      <c r="H282" s="176"/>
      <c r="I282" s="176"/>
      <c r="J282" s="176">
        <f>SUM(D282:I282)</f>
        <v>2000</v>
      </c>
      <c r="K282" s="176"/>
      <c r="L282" s="176"/>
      <c r="M282" s="176"/>
      <c r="N282" s="177">
        <f>SUM(J282:M282)</f>
        <v>2000</v>
      </c>
      <c r="O282" s="210"/>
    </row>
    <row r="283" spans="1:15" s="179" customFormat="1" ht="12.75" customHeight="1" thickBot="1">
      <c r="A283" s="165"/>
      <c r="B283" s="311"/>
      <c r="C283" s="302" t="s">
        <v>625</v>
      </c>
      <c r="D283" s="169">
        <v>52</v>
      </c>
      <c r="E283" s="169">
        <v>11</v>
      </c>
      <c r="F283" s="170">
        <f>26+200+1142+70+1</f>
        <v>1439</v>
      </c>
      <c r="G283" s="169"/>
      <c r="H283" s="169"/>
      <c r="I283" s="169"/>
      <c r="J283" s="169">
        <f>SUM(D283:I283)</f>
        <v>1502</v>
      </c>
      <c r="K283" s="169"/>
      <c r="L283" s="169"/>
      <c r="M283" s="169"/>
      <c r="N283" s="170">
        <f>SUM(J283:M283)</f>
        <v>1502</v>
      </c>
      <c r="O283" s="209"/>
    </row>
    <row r="284" spans="1:15" s="179" customFormat="1" ht="12.75" customHeight="1">
      <c r="A284" s="149">
        <v>26</v>
      </c>
      <c r="B284" s="615" t="s">
        <v>312</v>
      </c>
      <c r="C284" s="152" t="s">
        <v>74</v>
      </c>
      <c r="D284" s="151"/>
      <c r="E284" s="151"/>
      <c r="F284" s="152"/>
      <c r="G284" s="151"/>
      <c r="H284" s="151"/>
      <c r="I284" s="151"/>
      <c r="J284" s="151"/>
      <c r="K284" s="151"/>
      <c r="L284" s="151"/>
      <c r="M284" s="151"/>
      <c r="N284" s="152"/>
      <c r="O284" s="206"/>
    </row>
    <row r="285" spans="1:15" s="179" customFormat="1" ht="12.75" customHeight="1">
      <c r="A285" s="171"/>
      <c r="B285" s="251"/>
      <c r="C285" s="287" t="s">
        <v>623</v>
      </c>
      <c r="D285" s="176">
        <v>3855</v>
      </c>
      <c r="E285" s="176">
        <v>933</v>
      </c>
      <c r="F285" s="177">
        <v>900</v>
      </c>
      <c r="G285" s="176"/>
      <c r="H285" s="176"/>
      <c r="I285" s="176"/>
      <c r="J285" s="176">
        <f>SUM(D285:I285)</f>
        <v>5688</v>
      </c>
      <c r="K285" s="176"/>
      <c r="L285" s="176"/>
      <c r="M285" s="176"/>
      <c r="N285" s="177">
        <f>SUM(J285:M285)</f>
        <v>5688</v>
      </c>
      <c r="O285" s="210">
        <v>2</v>
      </c>
    </row>
    <row r="286" spans="1:15" s="179" customFormat="1" ht="12.75" customHeight="1">
      <c r="A286" s="171"/>
      <c r="B286" s="251"/>
      <c r="C286" s="287" t="s">
        <v>624</v>
      </c>
      <c r="D286" s="176">
        <v>4753</v>
      </c>
      <c r="E286" s="176">
        <v>1174</v>
      </c>
      <c r="F286" s="177">
        <v>903</v>
      </c>
      <c r="G286" s="176"/>
      <c r="H286" s="176"/>
      <c r="I286" s="176"/>
      <c r="J286" s="176">
        <f>SUM(D286:I286)</f>
        <v>6830</v>
      </c>
      <c r="K286" s="176"/>
      <c r="L286" s="176"/>
      <c r="M286" s="176"/>
      <c r="N286" s="177">
        <f>SUM(J286:M286)</f>
        <v>6830</v>
      </c>
      <c r="O286" s="210">
        <v>2</v>
      </c>
    </row>
    <row r="287" spans="1:15" s="179" customFormat="1" ht="12.75" customHeight="1" thickBot="1">
      <c r="A287" s="165"/>
      <c r="B287" s="311"/>
      <c r="C287" s="302" t="s">
        <v>625</v>
      </c>
      <c r="D287" s="196">
        <f>205+3563</f>
        <v>3768</v>
      </c>
      <c r="E287" s="196">
        <f>71+883</f>
        <v>954</v>
      </c>
      <c r="F287" s="197">
        <f>196+71+95+57+4+1</f>
        <v>424</v>
      </c>
      <c r="G287" s="196"/>
      <c r="H287" s="196"/>
      <c r="I287" s="196"/>
      <c r="J287" s="162">
        <f>SUM(D287:I287)</f>
        <v>5146</v>
      </c>
      <c r="K287" s="196"/>
      <c r="L287" s="196"/>
      <c r="M287" s="196"/>
      <c r="N287" s="163">
        <f>SUM(J287:M287)</f>
        <v>5146</v>
      </c>
      <c r="O287" s="209">
        <v>2</v>
      </c>
    </row>
    <row r="288" spans="1:15" s="179" customFormat="1" ht="12.75" customHeight="1">
      <c r="A288" s="158">
        <v>27</v>
      </c>
      <c r="B288" s="249"/>
      <c r="C288" s="163" t="s">
        <v>75</v>
      </c>
      <c r="D288" s="162"/>
      <c r="E288" s="162"/>
      <c r="F288" s="162"/>
      <c r="G288" s="162"/>
      <c r="H288" s="162"/>
      <c r="I288" s="162"/>
      <c r="J288" s="194"/>
      <c r="K288" s="162"/>
      <c r="L288" s="162"/>
      <c r="M288" s="162"/>
      <c r="N288" s="188"/>
      <c r="O288" s="208"/>
    </row>
    <row r="289" spans="1:15" s="179" customFormat="1" ht="12.75" customHeight="1">
      <c r="A289" s="171"/>
      <c r="B289" s="251"/>
      <c r="C289" s="287" t="s">
        <v>623</v>
      </c>
      <c r="D289" s="176">
        <f aca="true" t="shared" si="57" ref="D289:I289">D293+D297+D301+D305+D309+D313+D317+D321+D325</f>
        <v>70</v>
      </c>
      <c r="E289" s="176">
        <f t="shared" si="57"/>
        <v>20</v>
      </c>
      <c r="F289" s="176">
        <f t="shared" si="57"/>
        <v>3228</v>
      </c>
      <c r="G289" s="176">
        <f t="shared" si="57"/>
        <v>0</v>
      </c>
      <c r="H289" s="176">
        <f t="shared" si="57"/>
        <v>2500</v>
      </c>
      <c r="I289" s="176">
        <f t="shared" si="57"/>
        <v>0</v>
      </c>
      <c r="J289" s="176">
        <f>SUM(D289:I289)</f>
        <v>5818</v>
      </c>
      <c r="K289" s="176">
        <f>K293+K297+K301+K305+K309+K313+K317+K321</f>
        <v>20000</v>
      </c>
      <c r="L289" s="176">
        <f>L293+L297+L301+L305+L309+L313+L317+L321</f>
        <v>0</v>
      </c>
      <c r="M289" s="176">
        <f>M293+M297+M301+M305+M309+M313+M317+M321</f>
        <v>0</v>
      </c>
      <c r="N289" s="177">
        <f>SUM(J289:M289)</f>
        <v>25818</v>
      </c>
      <c r="O289" s="210"/>
    </row>
    <row r="290" spans="1:15" s="179" customFormat="1" ht="12.75" customHeight="1">
      <c r="A290" s="171"/>
      <c r="B290" s="251"/>
      <c r="C290" s="287" t="s">
        <v>624</v>
      </c>
      <c r="D290" s="176">
        <f aca="true" t="shared" si="58" ref="D290:H291">D294+D298+D302+D306+D310+D314+D318+D322+D326</f>
        <v>70</v>
      </c>
      <c r="E290" s="176">
        <f t="shared" si="58"/>
        <v>20</v>
      </c>
      <c r="F290" s="176">
        <f t="shared" si="58"/>
        <v>3629</v>
      </c>
      <c r="G290" s="176">
        <f t="shared" si="58"/>
        <v>0</v>
      </c>
      <c r="H290" s="176">
        <f t="shared" si="58"/>
        <v>2280</v>
      </c>
      <c r="I290" s="176">
        <f>I294+I298+I302+I306+I310+I314+I318+I322</f>
        <v>0</v>
      </c>
      <c r="J290" s="176">
        <f>SUM(D290:I290)</f>
        <v>5999</v>
      </c>
      <c r="K290" s="176">
        <f aca="true" t="shared" si="59" ref="K290:M291">K294+K298+K302+K306+K310+K314+K318+K322</f>
        <v>21948</v>
      </c>
      <c r="L290" s="176">
        <f t="shared" si="59"/>
        <v>0</v>
      </c>
      <c r="M290" s="176">
        <f t="shared" si="59"/>
        <v>0</v>
      </c>
      <c r="N290" s="177">
        <f>SUM(J290:M290)</f>
        <v>27947</v>
      </c>
      <c r="O290" s="210"/>
    </row>
    <row r="291" spans="1:15" s="179" customFormat="1" ht="12.75" customHeight="1">
      <c r="A291" s="171"/>
      <c r="B291" s="251"/>
      <c r="C291" s="287" t="s">
        <v>625</v>
      </c>
      <c r="D291" s="176">
        <f t="shared" si="58"/>
        <v>0</v>
      </c>
      <c r="E291" s="176">
        <f t="shared" si="58"/>
        <v>0</v>
      </c>
      <c r="F291" s="176">
        <f t="shared" si="58"/>
        <v>2262</v>
      </c>
      <c r="G291" s="176">
        <f t="shared" si="58"/>
        <v>0</v>
      </c>
      <c r="H291" s="176">
        <f t="shared" si="58"/>
        <v>1280</v>
      </c>
      <c r="I291" s="176">
        <f>I295+I299+I303+I307+I311+I315+I319+I323</f>
        <v>0</v>
      </c>
      <c r="J291" s="176">
        <f>SUM(D291:I291)</f>
        <v>3542</v>
      </c>
      <c r="K291" s="176">
        <f t="shared" si="59"/>
        <v>1947</v>
      </c>
      <c r="L291" s="176">
        <f t="shared" si="59"/>
        <v>0</v>
      </c>
      <c r="M291" s="176">
        <f t="shared" si="59"/>
        <v>0</v>
      </c>
      <c r="N291" s="177">
        <f>SUM(J291:M291)</f>
        <v>5489</v>
      </c>
      <c r="O291" s="210"/>
    </row>
    <row r="292" spans="1:15" ht="11.25" customHeight="1">
      <c r="A292" s="171"/>
      <c r="B292" s="191" t="s">
        <v>312</v>
      </c>
      <c r="C292" s="173" t="s">
        <v>807</v>
      </c>
      <c r="D292" s="174"/>
      <c r="E292" s="174"/>
      <c r="F292" s="175"/>
      <c r="G292" s="174"/>
      <c r="H292" s="174"/>
      <c r="I292" s="174"/>
      <c r="J292" s="176"/>
      <c r="K292" s="174"/>
      <c r="L292" s="174"/>
      <c r="M292" s="174"/>
      <c r="N292" s="177"/>
      <c r="O292" s="210"/>
    </row>
    <row r="293" spans="1:15" ht="11.25" customHeight="1">
      <c r="A293" s="171"/>
      <c r="B293" s="191"/>
      <c r="C293" s="287" t="s">
        <v>623</v>
      </c>
      <c r="D293" s="174"/>
      <c r="E293" s="174"/>
      <c r="F293" s="175">
        <v>205</v>
      </c>
      <c r="G293" s="174"/>
      <c r="H293" s="174">
        <v>0</v>
      </c>
      <c r="I293" s="174"/>
      <c r="J293" s="176">
        <f aca="true" t="shared" si="60" ref="J293:J327">SUM(D293:I293)</f>
        <v>205</v>
      </c>
      <c r="K293" s="174"/>
      <c r="L293" s="174"/>
      <c r="M293" s="174"/>
      <c r="N293" s="177">
        <f>SUM(J293:M293)</f>
        <v>205</v>
      </c>
      <c r="O293" s="210"/>
    </row>
    <row r="294" spans="1:15" ht="11.25" customHeight="1">
      <c r="A294" s="171"/>
      <c r="B294" s="191"/>
      <c r="C294" s="287" t="s">
        <v>624</v>
      </c>
      <c r="D294" s="174"/>
      <c r="E294" s="174"/>
      <c r="F294" s="175">
        <v>205</v>
      </c>
      <c r="G294" s="174"/>
      <c r="H294" s="174"/>
      <c r="I294" s="174"/>
      <c r="J294" s="176">
        <f t="shared" si="60"/>
        <v>205</v>
      </c>
      <c r="K294" s="174"/>
      <c r="L294" s="174"/>
      <c r="M294" s="174"/>
      <c r="N294" s="177">
        <f aca="true" t="shared" si="61" ref="N294:N322">SUM(J294:M294)</f>
        <v>205</v>
      </c>
      <c r="O294" s="210"/>
    </row>
    <row r="295" spans="1:15" ht="11.25" customHeight="1">
      <c r="A295" s="171"/>
      <c r="B295" s="191"/>
      <c r="C295" s="287" t="s">
        <v>625</v>
      </c>
      <c r="D295" s="174"/>
      <c r="E295" s="174"/>
      <c r="F295" s="175">
        <v>0</v>
      </c>
      <c r="G295" s="174"/>
      <c r="H295" s="174">
        <v>0</v>
      </c>
      <c r="I295" s="174"/>
      <c r="J295" s="176">
        <f t="shared" si="60"/>
        <v>0</v>
      </c>
      <c r="K295" s="174"/>
      <c r="L295" s="174"/>
      <c r="M295" s="174"/>
      <c r="N295" s="177">
        <f t="shared" si="61"/>
        <v>0</v>
      </c>
      <c r="O295" s="210"/>
    </row>
    <row r="296" spans="1:15" ht="11.25" customHeight="1">
      <c r="A296" s="171"/>
      <c r="B296" s="191" t="s">
        <v>314</v>
      </c>
      <c r="C296" s="175" t="s">
        <v>808</v>
      </c>
      <c r="D296" s="174"/>
      <c r="E296" s="174"/>
      <c r="F296" s="175"/>
      <c r="G296" s="174"/>
      <c r="H296" s="174"/>
      <c r="I296" s="174"/>
      <c r="J296" s="176"/>
      <c r="K296" s="174"/>
      <c r="L296" s="174"/>
      <c r="M296" s="174"/>
      <c r="N296" s="177"/>
      <c r="O296" s="210"/>
    </row>
    <row r="297" spans="1:15" ht="11.25" customHeight="1">
      <c r="A297" s="171"/>
      <c r="B297" s="191"/>
      <c r="C297" s="287" t="s">
        <v>623</v>
      </c>
      <c r="D297" s="174"/>
      <c r="E297" s="174"/>
      <c r="F297" s="175">
        <v>1063</v>
      </c>
      <c r="G297" s="174"/>
      <c r="H297" s="174"/>
      <c r="I297" s="174">
        <v>0</v>
      </c>
      <c r="J297" s="176">
        <f t="shared" si="60"/>
        <v>1063</v>
      </c>
      <c r="K297" s="174">
        <v>0</v>
      </c>
      <c r="L297" s="174"/>
      <c r="M297" s="174"/>
      <c r="N297" s="177">
        <f t="shared" si="61"/>
        <v>1063</v>
      </c>
      <c r="O297" s="210"/>
    </row>
    <row r="298" spans="1:15" ht="11.25" customHeight="1">
      <c r="A298" s="171"/>
      <c r="B298" s="191"/>
      <c r="C298" s="287" t="s">
        <v>624</v>
      </c>
      <c r="D298" s="174"/>
      <c r="E298" s="174"/>
      <c r="F298" s="175">
        <v>1068</v>
      </c>
      <c r="G298" s="174"/>
      <c r="H298" s="174"/>
      <c r="I298" s="174">
        <v>0</v>
      </c>
      <c r="J298" s="176">
        <f t="shared" si="60"/>
        <v>1068</v>
      </c>
      <c r="K298" s="174">
        <v>1948</v>
      </c>
      <c r="L298" s="174"/>
      <c r="M298" s="174"/>
      <c r="N298" s="177">
        <f t="shared" si="61"/>
        <v>3016</v>
      </c>
      <c r="O298" s="210"/>
    </row>
    <row r="299" spans="1:15" ht="11.25" customHeight="1">
      <c r="A299" s="171"/>
      <c r="B299" s="191"/>
      <c r="C299" s="287" t="s">
        <v>625</v>
      </c>
      <c r="D299" s="174"/>
      <c r="E299" s="174"/>
      <c r="F299" s="175">
        <f>304+76+1</f>
        <v>381</v>
      </c>
      <c r="G299" s="174"/>
      <c r="H299" s="174"/>
      <c r="I299" s="174">
        <v>0</v>
      </c>
      <c r="J299" s="176">
        <f>SUM(D299:I299)</f>
        <v>381</v>
      </c>
      <c r="K299" s="174">
        <v>1947</v>
      </c>
      <c r="L299" s="174"/>
      <c r="M299" s="174"/>
      <c r="N299" s="177">
        <f t="shared" si="61"/>
        <v>2328</v>
      </c>
      <c r="O299" s="210"/>
    </row>
    <row r="300" spans="1:15" ht="11.25" customHeight="1">
      <c r="A300" s="171"/>
      <c r="B300" s="172" t="s">
        <v>316</v>
      </c>
      <c r="C300" s="192" t="s">
        <v>76</v>
      </c>
      <c r="D300" s="174"/>
      <c r="E300" s="174"/>
      <c r="F300" s="175"/>
      <c r="G300" s="174"/>
      <c r="H300" s="174"/>
      <c r="I300" s="174"/>
      <c r="J300" s="176"/>
      <c r="K300" s="174"/>
      <c r="L300" s="174"/>
      <c r="M300" s="174"/>
      <c r="N300" s="177"/>
      <c r="O300" s="210"/>
    </row>
    <row r="301" spans="1:15" ht="11.25" customHeight="1">
      <c r="A301" s="171"/>
      <c r="B301" s="172"/>
      <c r="C301" s="287" t="s">
        <v>623</v>
      </c>
      <c r="D301" s="174"/>
      <c r="E301" s="174"/>
      <c r="F301" s="175"/>
      <c r="G301" s="174"/>
      <c r="H301" s="174">
        <v>1000</v>
      </c>
      <c r="I301" s="174"/>
      <c r="J301" s="176">
        <f t="shared" si="60"/>
        <v>1000</v>
      </c>
      <c r="K301" s="174"/>
      <c r="L301" s="174"/>
      <c r="M301" s="174"/>
      <c r="N301" s="177">
        <f t="shared" si="61"/>
        <v>1000</v>
      </c>
      <c r="O301" s="210"/>
    </row>
    <row r="302" spans="1:15" ht="11.25" customHeight="1">
      <c r="A302" s="171"/>
      <c r="B302" s="172"/>
      <c r="C302" s="287" t="s">
        <v>624</v>
      </c>
      <c r="D302" s="174"/>
      <c r="E302" s="174"/>
      <c r="F302" s="175"/>
      <c r="G302" s="174"/>
      <c r="H302" s="174">
        <v>1000</v>
      </c>
      <c r="I302" s="174"/>
      <c r="J302" s="176">
        <f t="shared" si="60"/>
        <v>1000</v>
      </c>
      <c r="K302" s="174"/>
      <c r="L302" s="174"/>
      <c r="M302" s="174"/>
      <c r="N302" s="177">
        <f t="shared" si="61"/>
        <v>1000</v>
      </c>
      <c r="O302" s="210"/>
    </row>
    <row r="303" spans="1:15" ht="11.25" customHeight="1">
      <c r="A303" s="171"/>
      <c r="B303" s="172"/>
      <c r="C303" s="287" t="s">
        <v>625</v>
      </c>
      <c r="D303" s="174"/>
      <c r="E303" s="174"/>
      <c r="F303" s="175"/>
      <c r="G303" s="174"/>
      <c r="H303" s="174">
        <v>500</v>
      </c>
      <c r="I303" s="174"/>
      <c r="J303" s="176">
        <f t="shared" si="60"/>
        <v>500</v>
      </c>
      <c r="K303" s="174"/>
      <c r="L303" s="174"/>
      <c r="M303" s="174"/>
      <c r="N303" s="177">
        <f t="shared" si="61"/>
        <v>500</v>
      </c>
      <c r="O303" s="210"/>
    </row>
    <row r="304" spans="1:15" ht="11.25" customHeight="1">
      <c r="A304" s="171"/>
      <c r="B304" s="172" t="s">
        <v>318</v>
      </c>
      <c r="C304" s="173" t="s">
        <v>77</v>
      </c>
      <c r="D304" s="174"/>
      <c r="E304" s="174"/>
      <c r="F304" s="175"/>
      <c r="G304" s="174"/>
      <c r="H304" s="174"/>
      <c r="I304" s="174"/>
      <c r="J304" s="176"/>
      <c r="K304" s="174"/>
      <c r="L304" s="174"/>
      <c r="M304" s="174"/>
      <c r="N304" s="177"/>
      <c r="O304" s="210"/>
    </row>
    <row r="305" spans="1:15" ht="11.25" customHeight="1">
      <c r="A305" s="171"/>
      <c r="B305" s="172"/>
      <c r="C305" s="287" t="s">
        <v>623</v>
      </c>
      <c r="D305" s="174"/>
      <c r="E305" s="174"/>
      <c r="F305" s="175">
        <v>250</v>
      </c>
      <c r="G305" s="174"/>
      <c r="H305" s="174">
        <v>500</v>
      </c>
      <c r="I305" s="174"/>
      <c r="J305" s="176">
        <f t="shared" si="60"/>
        <v>750</v>
      </c>
      <c r="K305" s="174"/>
      <c r="L305" s="174"/>
      <c r="M305" s="174"/>
      <c r="N305" s="177">
        <f t="shared" si="61"/>
        <v>750</v>
      </c>
      <c r="O305" s="210"/>
    </row>
    <row r="306" spans="1:15" ht="11.25" customHeight="1">
      <c r="A306" s="171"/>
      <c r="B306" s="172"/>
      <c r="C306" s="287" t="s">
        <v>624</v>
      </c>
      <c r="D306" s="174"/>
      <c r="E306" s="174"/>
      <c r="F306" s="175">
        <v>120</v>
      </c>
      <c r="G306" s="174"/>
      <c r="H306" s="174">
        <v>780</v>
      </c>
      <c r="I306" s="174"/>
      <c r="J306" s="176">
        <f t="shared" si="60"/>
        <v>900</v>
      </c>
      <c r="K306" s="174"/>
      <c r="L306" s="174"/>
      <c r="M306" s="174"/>
      <c r="N306" s="177">
        <f t="shared" si="61"/>
        <v>900</v>
      </c>
      <c r="O306" s="210"/>
    </row>
    <row r="307" spans="1:15" ht="11.25" customHeight="1">
      <c r="A307" s="171"/>
      <c r="B307" s="172"/>
      <c r="C307" s="287" t="s">
        <v>625</v>
      </c>
      <c r="D307" s="174"/>
      <c r="E307" s="174"/>
      <c r="F307" s="175">
        <v>64</v>
      </c>
      <c r="G307" s="174"/>
      <c r="H307" s="174">
        <v>780</v>
      </c>
      <c r="I307" s="174"/>
      <c r="J307" s="176">
        <f t="shared" si="60"/>
        <v>844</v>
      </c>
      <c r="K307" s="174"/>
      <c r="L307" s="174"/>
      <c r="M307" s="174"/>
      <c r="N307" s="177">
        <f t="shared" si="61"/>
        <v>844</v>
      </c>
      <c r="O307" s="210"/>
    </row>
    <row r="308" spans="1:15" ht="11.25" customHeight="1">
      <c r="A308" s="171"/>
      <c r="B308" s="172" t="s">
        <v>320</v>
      </c>
      <c r="C308" s="173" t="s">
        <v>57</v>
      </c>
      <c r="D308" s="174"/>
      <c r="E308" s="174"/>
      <c r="F308" s="175"/>
      <c r="G308" s="174"/>
      <c r="H308" s="174"/>
      <c r="I308" s="174"/>
      <c r="J308" s="176"/>
      <c r="K308" s="174"/>
      <c r="L308" s="174"/>
      <c r="M308" s="174"/>
      <c r="N308" s="177"/>
      <c r="O308" s="210"/>
    </row>
    <row r="309" spans="1:15" ht="11.25" customHeight="1">
      <c r="A309" s="171"/>
      <c r="B309" s="172"/>
      <c r="C309" s="287" t="s">
        <v>623</v>
      </c>
      <c r="D309" s="174"/>
      <c r="E309" s="174"/>
      <c r="F309" s="175">
        <v>346</v>
      </c>
      <c r="G309" s="174"/>
      <c r="H309" s="174"/>
      <c r="I309" s="174"/>
      <c r="J309" s="176">
        <f t="shared" si="60"/>
        <v>346</v>
      </c>
      <c r="K309" s="174"/>
      <c r="L309" s="174"/>
      <c r="M309" s="174"/>
      <c r="N309" s="177">
        <f t="shared" si="61"/>
        <v>346</v>
      </c>
      <c r="O309" s="210"/>
    </row>
    <row r="310" spans="1:15" ht="11.25" customHeight="1">
      <c r="A310" s="171"/>
      <c r="B310" s="172"/>
      <c r="C310" s="287" t="s">
        <v>624</v>
      </c>
      <c r="D310" s="174"/>
      <c r="E310" s="174"/>
      <c r="F310" s="175">
        <v>346</v>
      </c>
      <c r="G310" s="174"/>
      <c r="H310" s="174"/>
      <c r="I310" s="174"/>
      <c r="J310" s="176">
        <f t="shared" si="60"/>
        <v>346</v>
      </c>
      <c r="K310" s="174"/>
      <c r="L310" s="174"/>
      <c r="M310" s="174"/>
      <c r="N310" s="177">
        <f t="shared" si="61"/>
        <v>346</v>
      </c>
      <c r="O310" s="210"/>
    </row>
    <row r="311" spans="1:15" ht="11.25" customHeight="1">
      <c r="A311" s="171"/>
      <c r="B311" s="172"/>
      <c r="C311" s="287" t="s">
        <v>625</v>
      </c>
      <c r="D311" s="174"/>
      <c r="E311" s="174"/>
      <c r="F311" s="175">
        <v>0</v>
      </c>
      <c r="G311" s="174"/>
      <c r="H311" s="174"/>
      <c r="I311" s="174"/>
      <c r="J311" s="176">
        <f t="shared" si="60"/>
        <v>0</v>
      </c>
      <c r="K311" s="174"/>
      <c r="L311" s="174"/>
      <c r="M311" s="174"/>
      <c r="N311" s="177">
        <f t="shared" si="61"/>
        <v>0</v>
      </c>
      <c r="O311" s="210"/>
    </row>
    <row r="312" spans="1:15" ht="11.25" customHeight="1">
      <c r="A312" s="171"/>
      <c r="B312" s="172" t="s">
        <v>322</v>
      </c>
      <c r="C312" s="173" t="s">
        <v>78</v>
      </c>
      <c r="D312" s="174"/>
      <c r="E312" s="174"/>
      <c r="F312" s="175"/>
      <c r="G312" s="174"/>
      <c r="H312" s="174"/>
      <c r="I312" s="174"/>
      <c r="J312" s="176"/>
      <c r="K312" s="174"/>
      <c r="L312" s="174"/>
      <c r="M312" s="174"/>
      <c r="N312" s="177"/>
      <c r="O312" s="210"/>
    </row>
    <row r="313" spans="1:15" ht="11.25" customHeight="1">
      <c r="A313" s="171"/>
      <c r="B313" s="172"/>
      <c r="C313" s="287" t="s">
        <v>623</v>
      </c>
      <c r="D313" s="174">
        <v>70</v>
      </c>
      <c r="E313" s="174">
        <v>20</v>
      </c>
      <c r="F313" s="175">
        <v>1364</v>
      </c>
      <c r="G313" s="174"/>
      <c r="H313" s="174"/>
      <c r="I313" s="174"/>
      <c r="J313" s="176">
        <f t="shared" si="60"/>
        <v>1454</v>
      </c>
      <c r="K313" s="174"/>
      <c r="L313" s="174"/>
      <c r="M313" s="174"/>
      <c r="N313" s="177">
        <f t="shared" si="61"/>
        <v>1454</v>
      </c>
      <c r="O313" s="210"/>
    </row>
    <row r="314" spans="1:15" ht="11.25" customHeight="1">
      <c r="A314" s="171"/>
      <c r="B314" s="172"/>
      <c r="C314" s="287" t="s">
        <v>624</v>
      </c>
      <c r="D314" s="174">
        <v>70</v>
      </c>
      <c r="E314" s="174">
        <v>20</v>
      </c>
      <c r="F314" s="175">
        <v>1390</v>
      </c>
      <c r="G314" s="174"/>
      <c r="H314" s="174"/>
      <c r="I314" s="174"/>
      <c r="J314" s="176">
        <f t="shared" si="60"/>
        <v>1480</v>
      </c>
      <c r="K314" s="174"/>
      <c r="L314" s="174"/>
      <c r="M314" s="174"/>
      <c r="N314" s="177">
        <f t="shared" si="61"/>
        <v>1480</v>
      </c>
      <c r="O314" s="210"/>
    </row>
    <row r="315" spans="1:15" ht="11.25" customHeight="1">
      <c r="A315" s="171"/>
      <c r="B315" s="172"/>
      <c r="C315" s="287" t="s">
        <v>625</v>
      </c>
      <c r="D315" s="174">
        <v>0</v>
      </c>
      <c r="E315" s="174">
        <v>0</v>
      </c>
      <c r="F315" s="175">
        <v>1317</v>
      </c>
      <c r="G315" s="174"/>
      <c r="H315" s="174"/>
      <c r="I315" s="174"/>
      <c r="J315" s="176">
        <f t="shared" si="60"/>
        <v>1317</v>
      </c>
      <c r="K315" s="174"/>
      <c r="L315" s="174"/>
      <c r="M315" s="174"/>
      <c r="N315" s="177">
        <f t="shared" si="61"/>
        <v>1317</v>
      </c>
      <c r="O315" s="210"/>
    </row>
    <row r="316" spans="1:15" ht="11.25" customHeight="1">
      <c r="A316" s="171"/>
      <c r="B316" s="172" t="s">
        <v>346</v>
      </c>
      <c r="C316" s="173" t="s">
        <v>593</v>
      </c>
      <c r="D316" s="174"/>
      <c r="E316" s="174"/>
      <c r="F316" s="175"/>
      <c r="G316" s="174"/>
      <c r="H316" s="174"/>
      <c r="I316" s="174"/>
      <c r="J316" s="176"/>
      <c r="K316" s="174"/>
      <c r="L316" s="174"/>
      <c r="M316" s="174"/>
      <c r="N316" s="177"/>
      <c r="O316" s="210"/>
    </row>
    <row r="317" spans="1:15" ht="11.25" customHeight="1">
      <c r="A317" s="171"/>
      <c r="B317" s="172"/>
      <c r="C317" s="287" t="s">
        <v>623</v>
      </c>
      <c r="D317" s="174"/>
      <c r="E317" s="174"/>
      <c r="F317" s="175"/>
      <c r="G317" s="174"/>
      <c r="H317" s="174"/>
      <c r="I317" s="174"/>
      <c r="J317" s="176">
        <f t="shared" si="60"/>
        <v>0</v>
      </c>
      <c r="K317" s="174">
        <v>20000</v>
      </c>
      <c r="L317" s="174"/>
      <c r="M317" s="174"/>
      <c r="N317" s="177">
        <f t="shared" si="61"/>
        <v>20000</v>
      </c>
      <c r="O317" s="210"/>
    </row>
    <row r="318" spans="1:15" ht="11.25" customHeight="1">
      <c r="A318" s="171"/>
      <c r="B318" s="172"/>
      <c r="C318" s="287" t="s">
        <v>624</v>
      </c>
      <c r="D318" s="174"/>
      <c r="E318" s="174"/>
      <c r="F318" s="175"/>
      <c r="G318" s="174"/>
      <c r="H318" s="174"/>
      <c r="I318" s="174"/>
      <c r="J318" s="176">
        <f t="shared" si="60"/>
        <v>0</v>
      </c>
      <c r="K318" s="174">
        <v>20000</v>
      </c>
      <c r="L318" s="174"/>
      <c r="M318" s="174"/>
      <c r="N318" s="177">
        <f t="shared" si="61"/>
        <v>20000</v>
      </c>
      <c r="O318" s="210"/>
    </row>
    <row r="319" spans="1:15" ht="11.25" customHeight="1">
      <c r="A319" s="171"/>
      <c r="B319" s="172"/>
      <c r="C319" s="287" t="s">
        <v>625</v>
      </c>
      <c r="D319" s="174"/>
      <c r="E319" s="174"/>
      <c r="F319" s="175"/>
      <c r="G319" s="174"/>
      <c r="H319" s="174"/>
      <c r="I319" s="174"/>
      <c r="J319" s="176">
        <f t="shared" si="60"/>
        <v>0</v>
      </c>
      <c r="K319" s="174">
        <v>0</v>
      </c>
      <c r="L319" s="174"/>
      <c r="M319" s="174"/>
      <c r="N319" s="177">
        <f t="shared" si="61"/>
        <v>0</v>
      </c>
      <c r="O319" s="210"/>
    </row>
    <row r="320" spans="1:15" ht="15" customHeight="1">
      <c r="A320" s="171"/>
      <c r="B320" s="172" t="s">
        <v>347</v>
      </c>
      <c r="C320" s="258" t="s">
        <v>809</v>
      </c>
      <c r="D320" s="174"/>
      <c r="E320" s="174"/>
      <c r="F320" s="175"/>
      <c r="G320" s="174"/>
      <c r="H320" s="174"/>
      <c r="I320" s="174"/>
      <c r="J320" s="176"/>
      <c r="K320" s="174"/>
      <c r="L320" s="174"/>
      <c r="M320" s="174"/>
      <c r="N320" s="177"/>
      <c r="O320" s="210"/>
    </row>
    <row r="321" spans="1:15" ht="12.75" customHeight="1">
      <c r="A321" s="171"/>
      <c r="B321" s="172"/>
      <c r="C321" s="287" t="s">
        <v>623</v>
      </c>
      <c r="D321" s="174"/>
      <c r="E321" s="174"/>
      <c r="F321" s="175"/>
      <c r="G321" s="174"/>
      <c r="H321" s="174">
        <v>500</v>
      </c>
      <c r="I321" s="174"/>
      <c r="J321" s="176">
        <f t="shared" si="60"/>
        <v>500</v>
      </c>
      <c r="K321" s="174"/>
      <c r="L321" s="174"/>
      <c r="M321" s="174"/>
      <c r="N321" s="177">
        <f t="shared" si="61"/>
        <v>500</v>
      </c>
      <c r="O321" s="210"/>
    </row>
    <row r="322" spans="1:15" ht="12.75" customHeight="1">
      <c r="A322" s="171"/>
      <c r="B322" s="172"/>
      <c r="C322" s="287" t="s">
        <v>624</v>
      </c>
      <c r="D322" s="174"/>
      <c r="E322" s="174"/>
      <c r="F322" s="175">
        <v>500</v>
      </c>
      <c r="G322" s="174"/>
      <c r="H322" s="174">
        <v>0</v>
      </c>
      <c r="I322" s="174"/>
      <c r="J322" s="176">
        <f t="shared" si="60"/>
        <v>500</v>
      </c>
      <c r="K322" s="174">
        <v>0</v>
      </c>
      <c r="L322" s="174"/>
      <c r="M322" s="174"/>
      <c r="N322" s="177">
        <f t="shared" si="61"/>
        <v>500</v>
      </c>
      <c r="O322" s="210"/>
    </row>
    <row r="323" spans="1:15" ht="12.75" customHeight="1">
      <c r="A323" s="158"/>
      <c r="B323" s="178"/>
      <c r="C323" s="464" t="s">
        <v>625</v>
      </c>
      <c r="D323" s="160"/>
      <c r="E323" s="160"/>
      <c r="F323" s="161">
        <v>500</v>
      </c>
      <c r="G323" s="160"/>
      <c r="H323" s="160"/>
      <c r="I323" s="160"/>
      <c r="J323" s="162">
        <f t="shared" si="60"/>
        <v>500</v>
      </c>
      <c r="K323" s="160">
        <v>0</v>
      </c>
      <c r="L323" s="160"/>
      <c r="M323" s="160"/>
      <c r="N323" s="163">
        <f>SUM(J323:M323)</f>
        <v>500</v>
      </c>
      <c r="O323" s="208"/>
    </row>
    <row r="324" spans="1:15" ht="12.75" customHeight="1">
      <c r="A324" s="171"/>
      <c r="B324" s="172" t="s">
        <v>349</v>
      </c>
      <c r="C324" s="287" t="s">
        <v>810</v>
      </c>
      <c r="D324" s="174"/>
      <c r="E324" s="174"/>
      <c r="F324" s="175"/>
      <c r="G324" s="174"/>
      <c r="H324" s="174"/>
      <c r="I324" s="174"/>
      <c r="J324" s="176"/>
      <c r="K324" s="174"/>
      <c r="L324" s="174"/>
      <c r="M324" s="174"/>
      <c r="N324" s="177"/>
      <c r="O324" s="210"/>
    </row>
    <row r="325" spans="1:15" ht="12.75" customHeight="1">
      <c r="A325" s="171"/>
      <c r="B325" s="172"/>
      <c r="C325" s="287" t="s">
        <v>623</v>
      </c>
      <c r="D325" s="174"/>
      <c r="E325" s="174"/>
      <c r="F325" s="175"/>
      <c r="G325" s="174"/>
      <c r="H325" s="174">
        <v>500</v>
      </c>
      <c r="I325" s="174"/>
      <c r="J325" s="176">
        <f t="shared" si="60"/>
        <v>500</v>
      </c>
      <c r="K325" s="174"/>
      <c r="L325" s="174"/>
      <c r="M325" s="174"/>
      <c r="N325" s="177">
        <f>SUM(J325:M325)</f>
        <v>500</v>
      </c>
      <c r="O325" s="210"/>
    </row>
    <row r="326" spans="1:15" ht="12.75" customHeight="1">
      <c r="A326" s="171"/>
      <c r="B326" s="172"/>
      <c r="C326" s="287" t="s">
        <v>624</v>
      </c>
      <c r="D326" s="174"/>
      <c r="E326" s="174"/>
      <c r="F326" s="175"/>
      <c r="G326" s="174"/>
      <c r="H326" s="174">
        <v>500</v>
      </c>
      <c r="I326" s="174"/>
      <c r="J326" s="176">
        <f t="shared" si="60"/>
        <v>500</v>
      </c>
      <c r="K326" s="174"/>
      <c r="L326" s="174"/>
      <c r="M326" s="174"/>
      <c r="N326" s="177">
        <f>SUM(J326:M326)</f>
        <v>500</v>
      </c>
      <c r="O326" s="210"/>
    </row>
    <row r="327" spans="1:15" ht="12.75" customHeight="1" thickBot="1">
      <c r="A327" s="158"/>
      <c r="B327" s="178"/>
      <c r="C327" s="464" t="s">
        <v>625</v>
      </c>
      <c r="D327" s="160"/>
      <c r="E327" s="160"/>
      <c r="F327" s="161"/>
      <c r="G327" s="160"/>
      <c r="H327" s="160">
        <v>0</v>
      </c>
      <c r="I327" s="160"/>
      <c r="J327" s="162">
        <f t="shared" si="60"/>
        <v>0</v>
      </c>
      <c r="K327" s="160"/>
      <c r="L327" s="160"/>
      <c r="M327" s="160"/>
      <c r="N327" s="163">
        <f>SUM(J327:M327)</f>
        <v>0</v>
      </c>
      <c r="O327" s="208"/>
    </row>
    <row r="328" spans="1:15" s="179" customFormat="1" ht="12.75" customHeight="1">
      <c r="A328" s="186">
        <v>28</v>
      </c>
      <c r="B328" s="250"/>
      <c r="C328" s="188" t="s">
        <v>79</v>
      </c>
      <c r="D328" s="194"/>
      <c r="E328" s="194"/>
      <c r="F328" s="188"/>
      <c r="G328" s="194"/>
      <c r="H328" s="194"/>
      <c r="I328" s="194"/>
      <c r="J328" s="194"/>
      <c r="K328" s="194"/>
      <c r="L328" s="194"/>
      <c r="M328" s="194"/>
      <c r="N328" s="188"/>
      <c r="O328" s="212"/>
    </row>
    <row r="329" spans="1:15" s="179" customFormat="1" ht="12.75" customHeight="1">
      <c r="A329" s="171"/>
      <c r="B329" s="251"/>
      <c r="C329" s="287" t="s">
        <v>623</v>
      </c>
      <c r="D329" s="176"/>
      <c r="E329" s="176"/>
      <c r="F329" s="177">
        <f>F333+F337</f>
        <v>7000</v>
      </c>
      <c r="G329" s="176"/>
      <c r="H329" s="176"/>
      <c r="I329" s="176"/>
      <c r="J329" s="176">
        <f>SUM(D329:I329)</f>
        <v>7000</v>
      </c>
      <c r="K329" s="176">
        <f>K333+K337</f>
        <v>500</v>
      </c>
      <c r="L329" s="176">
        <f>L333+L337</f>
        <v>0</v>
      </c>
      <c r="M329" s="176">
        <f>M333+M337</f>
        <v>0</v>
      </c>
      <c r="N329" s="177">
        <f>SUM(J329:M329)</f>
        <v>7500</v>
      </c>
      <c r="O329" s="210"/>
    </row>
    <row r="330" spans="1:15" s="179" customFormat="1" ht="12.75" customHeight="1">
      <c r="A330" s="171"/>
      <c r="B330" s="251"/>
      <c r="C330" s="287" t="s">
        <v>624</v>
      </c>
      <c r="D330" s="176"/>
      <c r="E330" s="176"/>
      <c r="F330" s="177">
        <f>F334+F338</f>
        <v>6850</v>
      </c>
      <c r="G330" s="176"/>
      <c r="H330" s="176"/>
      <c r="I330" s="176"/>
      <c r="J330" s="176">
        <f>SUM(D330:I330)</f>
        <v>6850</v>
      </c>
      <c r="K330" s="176">
        <f aca="true" t="shared" si="62" ref="K330:M331">K334+K338</f>
        <v>0</v>
      </c>
      <c r="L330" s="176">
        <f t="shared" si="62"/>
        <v>0</v>
      </c>
      <c r="M330" s="176">
        <f t="shared" si="62"/>
        <v>0</v>
      </c>
      <c r="N330" s="177">
        <f>SUM(J330:M330)</f>
        <v>6850</v>
      </c>
      <c r="O330" s="210"/>
    </row>
    <row r="331" spans="1:15" s="179" customFormat="1" ht="12.75" customHeight="1">
      <c r="A331" s="607"/>
      <c r="B331" s="608"/>
      <c r="C331" s="288" t="s">
        <v>625</v>
      </c>
      <c r="D331" s="600"/>
      <c r="E331" s="600"/>
      <c r="F331" s="177">
        <f>F335+F339</f>
        <v>4213</v>
      </c>
      <c r="G331" s="600"/>
      <c r="H331" s="600"/>
      <c r="I331" s="600"/>
      <c r="J331" s="176">
        <f>SUM(D331:I331)</f>
        <v>4213</v>
      </c>
      <c r="K331" s="176">
        <f t="shared" si="62"/>
        <v>60</v>
      </c>
      <c r="L331" s="176">
        <f t="shared" si="62"/>
        <v>0</v>
      </c>
      <c r="M331" s="176">
        <f>M335+M339</f>
        <v>0</v>
      </c>
      <c r="N331" s="177">
        <f>SUM(J331:M331)</f>
        <v>4273</v>
      </c>
      <c r="O331" s="211"/>
    </row>
    <row r="332" spans="1:15" s="179" customFormat="1" ht="12.75" customHeight="1">
      <c r="A332" s="171"/>
      <c r="B332" s="172">
        <v>1</v>
      </c>
      <c r="C332" s="601" t="s">
        <v>904</v>
      </c>
      <c r="D332" s="176"/>
      <c r="E332" s="176"/>
      <c r="F332" s="177"/>
      <c r="G332" s="176"/>
      <c r="H332" s="176"/>
      <c r="I332" s="176"/>
      <c r="J332" s="176"/>
      <c r="K332" s="176"/>
      <c r="L332" s="176"/>
      <c r="M332" s="176"/>
      <c r="N332" s="177"/>
      <c r="O332" s="210"/>
    </row>
    <row r="333" spans="1:15" s="179" customFormat="1" ht="12.75" customHeight="1">
      <c r="A333" s="171"/>
      <c r="B333" s="172"/>
      <c r="C333" s="287" t="s">
        <v>623</v>
      </c>
      <c r="D333" s="174"/>
      <c r="E333" s="174"/>
      <c r="F333" s="175">
        <v>7000</v>
      </c>
      <c r="G333" s="174"/>
      <c r="H333" s="174"/>
      <c r="I333" s="174"/>
      <c r="J333" s="176">
        <f>SUM(D333:I333)</f>
        <v>7000</v>
      </c>
      <c r="K333" s="174">
        <v>500</v>
      </c>
      <c r="L333" s="174"/>
      <c r="M333" s="174"/>
      <c r="N333" s="177">
        <f>SUM(J333:M333)</f>
        <v>7500</v>
      </c>
      <c r="O333" s="210"/>
    </row>
    <row r="334" spans="1:15" s="179" customFormat="1" ht="12.75" customHeight="1">
      <c r="A334" s="171"/>
      <c r="B334" s="172"/>
      <c r="C334" s="287" t="s">
        <v>624</v>
      </c>
      <c r="D334" s="174"/>
      <c r="E334" s="174"/>
      <c r="F334" s="175">
        <v>6250</v>
      </c>
      <c r="G334" s="174"/>
      <c r="H334" s="174"/>
      <c r="I334" s="174"/>
      <c r="J334" s="176">
        <f>SUM(D334:I334)</f>
        <v>6250</v>
      </c>
      <c r="K334" s="174">
        <v>0</v>
      </c>
      <c r="L334" s="174"/>
      <c r="M334" s="174"/>
      <c r="N334" s="177">
        <f>SUM(J334:M334)</f>
        <v>6250</v>
      </c>
      <c r="O334" s="210"/>
    </row>
    <row r="335" spans="1:15" s="179" customFormat="1" ht="12.75" customHeight="1">
      <c r="A335" s="171"/>
      <c r="B335" s="172"/>
      <c r="C335" s="287" t="s">
        <v>625</v>
      </c>
      <c r="D335" s="174"/>
      <c r="E335" s="174"/>
      <c r="F335" s="175">
        <v>4213</v>
      </c>
      <c r="G335" s="174"/>
      <c r="H335" s="174"/>
      <c r="I335" s="174"/>
      <c r="J335" s="176">
        <f>SUM(D335:I335)</f>
        <v>4213</v>
      </c>
      <c r="K335" s="174">
        <v>60</v>
      </c>
      <c r="L335" s="174"/>
      <c r="M335" s="174"/>
      <c r="N335" s="177">
        <f>SUM(J335:M335)</f>
        <v>4273</v>
      </c>
      <c r="O335" s="210"/>
    </row>
    <row r="336" spans="1:15" s="179" customFormat="1" ht="12.75" customHeight="1">
      <c r="A336" s="171"/>
      <c r="B336" s="172">
        <v>2</v>
      </c>
      <c r="C336" s="287" t="s">
        <v>79</v>
      </c>
      <c r="D336" s="174"/>
      <c r="E336" s="174"/>
      <c r="F336" s="175"/>
      <c r="G336" s="174"/>
      <c r="H336" s="174"/>
      <c r="I336" s="174"/>
      <c r="J336" s="176"/>
      <c r="K336" s="174"/>
      <c r="L336" s="174"/>
      <c r="M336" s="174"/>
      <c r="N336" s="177"/>
      <c r="O336" s="210"/>
    </row>
    <row r="337" spans="1:15" s="179" customFormat="1" ht="12.75" customHeight="1">
      <c r="A337" s="171"/>
      <c r="B337" s="251"/>
      <c r="C337" s="287" t="s">
        <v>623</v>
      </c>
      <c r="D337" s="174"/>
      <c r="E337" s="174"/>
      <c r="F337" s="175">
        <v>0</v>
      </c>
      <c r="G337" s="174"/>
      <c r="H337" s="174"/>
      <c r="I337" s="174"/>
      <c r="J337" s="176">
        <f>SUM(D337:I337)</f>
        <v>0</v>
      </c>
      <c r="K337" s="174"/>
      <c r="L337" s="174"/>
      <c r="M337" s="174"/>
      <c r="N337" s="177">
        <f>SUM(J337:M337)</f>
        <v>0</v>
      </c>
      <c r="O337" s="210"/>
    </row>
    <row r="338" spans="1:15" s="179" customFormat="1" ht="12.75" customHeight="1">
      <c r="A338" s="171"/>
      <c r="B338" s="251"/>
      <c r="C338" s="287" t="s">
        <v>624</v>
      </c>
      <c r="D338" s="174"/>
      <c r="E338" s="174"/>
      <c r="F338" s="175">
        <v>600</v>
      </c>
      <c r="G338" s="174"/>
      <c r="H338" s="174"/>
      <c r="I338" s="174"/>
      <c r="J338" s="176">
        <f>SUM(D338:I338)</f>
        <v>600</v>
      </c>
      <c r="K338" s="174">
        <v>0</v>
      </c>
      <c r="L338" s="174"/>
      <c r="M338" s="174"/>
      <c r="N338" s="177">
        <f>SUM(J338:M338)</f>
        <v>600</v>
      </c>
      <c r="O338" s="210"/>
    </row>
    <row r="339" spans="1:15" s="179" customFormat="1" ht="12.75" customHeight="1" thickBot="1">
      <c r="A339" s="165"/>
      <c r="B339" s="311"/>
      <c r="C339" s="302" t="s">
        <v>625</v>
      </c>
      <c r="D339" s="169"/>
      <c r="E339" s="169"/>
      <c r="F339" s="168">
        <v>0</v>
      </c>
      <c r="G339" s="169"/>
      <c r="H339" s="169"/>
      <c r="I339" s="169"/>
      <c r="J339" s="169">
        <f>SUM(F339:I339)</f>
        <v>0</v>
      </c>
      <c r="K339" s="167">
        <v>0</v>
      </c>
      <c r="L339" s="169"/>
      <c r="M339" s="169"/>
      <c r="N339" s="170">
        <f>J339+K339</f>
        <v>0</v>
      </c>
      <c r="O339" s="209"/>
    </row>
    <row r="340" spans="1:15" ht="12.75" customHeight="1">
      <c r="A340" s="158">
        <v>29</v>
      </c>
      <c r="B340" s="178"/>
      <c r="C340" s="163" t="s">
        <v>80</v>
      </c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3"/>
      <c r="O340" s="208"/>
    </row>
    <row r="341" spans="1:15" ht="12.75" customHeight="1">
      <c r="A341" s="171"/>
      <c r="B341" s="172"/>
      <c r="C341" s="287" t="s">
        <v>623</v>
      </c>
      <c r="D341" s="176">
        <f aca="true" t="shared" si="63" ref="D341:I341">D345+D349+D353+D357+D361+D365+D369+D373+D377+D381+D385+D389</f>
        <v>2683</v>
      </c>
      <c r="E341" s="176">
        <f t="shared" si="63"/>
        <v>725</v>
      </c>
      <c r="F341" s="176">
        <f t="shared" si="63"/>
        <v>113209</v>
      </c>
      <c r="G341" s="176">
        <f t="shared" si="63"/>
        <v>0</v>
      </c>
      <c r="H341" s="176">
        <f t="shared" si="63"/>
        <v>800</v>
      </c>
      <c r="I341" s="176">
        <f t="shared" si="63"/>
        <v>428402</v>
      </c>
      <c r="J341" s="176">
        <f aca="true" t="shared" si="64" ref="J341:J391">SUM(D341:I341)</f>
        <v>545819</v>
      </c>
      <c r="K341" s="176">
        <f>K345+K349+K353+K357+K361+K365+K369+K373+K377+K381+K385+K389</f>
        <v>15302</v>
      </c>
      <c r="L341" s="176">
        <f>L345+L349+L353+L357+L361+L365+L369+L373+L377+L381+L385+L389</f>
        <v>6415</v>
      </c>
      <c r="M341" s="176">
        <f>M345+M349+M353+M357+M361+M365+M369+M373+M377+M381+M385+M389</f>
        <v>0</v>
      </c>
      <c r="N341" s="177">
        <f aca="true" t="shared" si="65" ref="N341:N391">SUM(J341:M341)</f>
        <v>567536</v>
      </c>
      <c r="O341" s="1377">
        <f>O345+O349+O353+O357+O361+O365+O369+O373+O377+O381+O385+O389</f>
        <v>1</v>
      </c>
    </row>
    <row r="342" spans="1:15" ht="12.75" customHeight="1">
      <c r="A342" s="171"/>
      <c r="B342" s="172"/>
      <c r="C342" s="287" t="s">
        <v>624</v>
      </c>
      <c r="D342" s="176">
        <f aca="true" t="shared" si="66" ref="D342:H343">D346+D350+D354+D358+D362+D366+D370+D374+D378+D382+D386+D390</f>
        <v>2362</v>
      </c>
      <c r="E342" s="176">
        <f t="shared" si="66"/>
        <v>777</v>
      </c>
      <c r="F342" s="176">
        <f t="shared" si="66"/>
        <v>102006</v>
      </c>
      <c r="G342" s="176">
        <f t="shared" si="66"/>
        <v>0</v>
      </c>
      <c r="H342" s="176">
        <f t="shared" si="66"/>
        <v>500</v>
      </c>
      <c r="I342" s="176">
        <f>I346+I350+I354+I358+I362+I366+I370+I374+I378+I382+I386+I390</f>
        <v>447201</v>
      </c>
      <c r="J342" s="176">
        <f>SUM(D342:I342)</f>
        <v>552846</v>
      </c>
      <c r="K342" s="176">
        <f aca="true" t="shared" si="67" ref="K342:M343">K346+K350+K354+K358+K362+K366+K370+K374+K378+K382+K386+K390</f>
        <v>16999</v>
      </c>
      <c r="L342" s="176">
        <f t="shared" si="67"/>
        <v>6772</v>
      </c>
      <c r="M342" s="176">
        <f t="shared" si="67"/>
        <v>0</v>
      </c>
      <c r="N342" s="177">
        <f t="shared" si="65"/>
        <v>576617</v>
      </c>
      <c r="O342" s="1377">
        <f>O346+O350+O354+O358+O362+O366+O370+O374+O378+O382+O386+O390</f>
        <v>1</v>
      </c>
    </row>
    <row r="343" spans="1:15" ht="12.75" customHeight="1">
      <c r="A343" s="171"/>
      <c r="B343" s="172"/>
      <c r="C343" s="287" t="s">
        <v>625</v>
      </c>
      <c r="D343" s="176">
        <f t="shared" si="66"/>
        <v>49</v>
      </c>
      <c r="E343" s="176">
        <f t="shared" si="66"/>
        <v>0</v>
      </c>
      <c r="F343" s="176">
        <f t="shared" si="66"/>
        <v>91869</v>
      </c>
      <c r="G343" s="176">
        <f t="shared" si="66"/>
        <v>0</v>
      </c>
      <c r="H343" s="176">
        <f t="shared" si="66"/>
        <v>500</v>
      </c>
      <c r="I343" s="176">
        <f>I347+I351+I355+I359+I363+I367+I371+I375+I379+I383+I387+I391</f>
        <v>445325</v>
      </c>
      <c r="J343" s="176">
        <f t="shared" si="64"/>
        <v>537743</v>
      </c>
      <c r="K343" s="176">
        <f t="shared" si="67"/>
        <v>15715</v>
      </c>
      <c r="L343" s="176">
        <f t="shared" si="67"/>
        <v>2471</v>
      </c>
      <c r="M343" s="176">
        <f t="shared" si="67"/>
        <v>0</v>
      </c>
      <c r="N343" s="177">
        <f t="shared" si="65"/>
        <v>555929</v>
      </c>
      <c r="O343" s="1377">
        <f>O347+O351+O355+O359+O363+O367+O371+O375+O379+O383+O387+O391</f>
        <v>0</v>
      </c>
    </row>
    <row r="344" spans="1:15" ht="11.25" customHeight="1">
      <c r="A344" s="171"/>
      <c r="B344" s="172">
        <v>1</v>
      </c>
      <c r="C344" s="173" t="s">
        <v>81</v>
      </c>
      <c r="D344" s="174"/>
      <c r="E344" s="174"/>
      <c r="F344" s="175"/>
      <c r="G344" s="174"/>
      <c r="H344" s="174"/>
      <c r="I344" s="174"/>
      <c r="J344" s="176"/>
      <c r="K344" s="174"/>
      <c r="L344" s="174"/>
      <c r="M344" s="174"/>
      <c r="N344" s="177"/>
      <c r="O344" s="210"/>
    </row>
    <row r="345" spans="1:15" ht="11.25" customHeight="1">
      <c r="A345" s="171"/>
      <c r="B345" s="172"/>
      <c r="C345" s="287" t="s">
        <v>623</v>
      </c>
      <c r="D345" s="174">
        <v>2683</v>
      </c>
      <c r="E345" s="174">
        <v>725</v>
      </c>
      <c r="F345" s="175">
        <v>17170</v>
      </c>
      <c r="G345" s="174"/>
      <c r="H345" s="174"/>
      <c r="I345" s="174"/>
      <c r="J345" s="176">
        <f t="shared" si="64"/>
        <v>20578</v>
      </c>
      <c r="K345" s="174"/>
      <c r="L345" s="174"/>
      <c r="M345" s="174"/>
      <c r="N345" s="177">
        <f t="shared" si="65"/>
        <v>20578</v>
      </c>
      <c r="O345" s="210">
        <v>1</v>
      </c>
    </row>
    <row r="346" spans="1:15" ht="11.25" customHeight="1">
      <c r="A346" s="171"/>
      <c r="B346" s="172"/>
      <c r="C346" s="287" t="s">
        <v>624</v>
      </c>
      <c r="D346" s="174">
        <v>2362</v>
      </c>
      <c r="E346" s="174">
        <v>777</v>
      </c>
      <c r="F346" s="175">
        <v>5967</v>
      </c>
      <c r="G346" s="174"/>
      <c r="H346" s="174"/>
      <c r="I346" s="174"/>
      <c r="J346" s="176">
        <f t="shared" si="64"/>
        <v>9106</v>
      </c>
      <c r="K346" s="174"/>
      <c r="L346" s="174"/>
      <c r="M346" s="174"/>
      <c r="N346" s="177">
        <f t="shared" si="65"/>
        <v>9106</v>
      </c>
      <c r="O346" s="210">
        <v>1</v>
      </c>
    </row>
    <row r="347" spans="1:15" ht="11.25" customHeight="1">
      <c r="A347" s="171"/>
      <c r="B347" s="172"/>
      <c r="C347" s="287" t="s">
        <v>625</v>
      </c>
      <c r="D347" s="174">
        <v>49</v>
      </c>
      <c r="E347" s="174">
        <v>0</v>
      </c>
      <c r="F347" s="175">
        <v>138</v>
      </c>
      <c r="G347" s="174"/>
      <c r="H347" s="174"/>
      <c r="I347" s="174"/>
      <c r="J347" s="176">
        <f t="shared" si="64"/>
        <v>187</v>
      </c>
      <c r="K347" s="174"/>
      <c r="L347" s="174"/>
      <c r="M347" s="174"/>
      <c r="N347" s="177">
        <f t="shared" si="65"/>
        <v>187</v>
      </c>
      <c r="O347" s="210">
        <v>0</v>
      </c>
    </row>
    <row r="348" spans="1:15" ht="11.25" customHeight="1">
      <c r="A348" s="171"/>
      <c r="B348" s="172">
        <v>2</v>
      </c>
      <c r="C348" s="173" t="s">
        <v>82</v>
      </c>
      <c r="D348" s="174"/>
      <c r="E348" s="174"/>
      <c r="F348" s="175"/>
      <c r="G348" s="174"/>
      <c r="H348" s="174"/>
      <c r="I348" s="174"/>
      <c r="J348" s="176"/>
      <c r="K348" s="174"/>
      <c r="L348" s="174"/>
      <c r="M348" s="174"/>
      <c r="N348" s="177"/>
      <c r="O348" s="210"/>
    </row>
    <row r="349" spans="1:15" ht="11.25" customHeight="1">
      <c r="A349" s="171"/>
      <c r="B349" s="172"/>
      <c r="C349" s="287" t="s">
        <v>623</v>
      </c>
      <c r="D349" s="174"/>
      <c r="E349" s="174"/>
      <c r="F349" s="175"/>
      <c r="G349" s="174"/>
      <c r="H349" s="174">
        <v>500</v>
      </c>
      <c r="I349" s="174"/>
      <c r="J349" s="176">
        <f t="shared" si="64"/>
        <v>500</v>
      </c>
      <c r="K349" s="174"/>
      <c r="L349" s="174"/>
      <c r="M349" s="174"/>
      <c r="N349" s="177">
        <f t="shared" si="65"/>
        <v>500</v>
      </c>
      <c r="O349" s="210"/>
    </row>
    <row r="350" spans="1:15" ht="11.25" customHeight="1">
      <c r="A350" s="171"/>
      <c r="B350" s="172"/>
      <c r="C350" s="287" t="s">
        <v>624</v>
      </c>
      <c r="D350" s="174"/>
      <c r="E350" s="174"/>
      <c r="F350" s="175"/>
      <c r="G350" s="174"/>
      <c r="H350" s="174">
        <v>500</v>
      </c>
      <c r="I350" s="174"/>
      <c r="J350" s="176">
        <f t="shared" si="64"/>
        <v>500</v>
      </c>
      <c r="K350" s="174"/>
      <c r="L350" s="174"/>
      <c r="M350" s="174"/>
      <c r="N350" s="177">
        <f t="shared" si="65"/>
        <v>500</v>
      </c>
      <c r="O350" s="210"/>
    </row>
    <row r="351" spans="1:15" ht="11.25" customHeight="1">
      <c r="A351" s="171"/>
      <c r="B351" s="172"/>
      <c r="C351" s="287" t="s">
        <v>625</v>
      </c>
      <c r="D351" s="174"/>
      <c r="E351" s="174"/>
      <c r="F351" s="175"/>
      <c r="G351" s="174"/>
      <c r="H351" s="174">
        <v>500</v>
      </c>
      <c r="I351" s="174"/>
      <c r="J351" s="176">
        <f t="shared" si="64"/>
        <v>500</v>
      </c>
      <c r="K351" s="174"/>
      <c r="L351" s="174"/>
      <c r="M351" s="174"/>
      <c r="N351" s="177">
        <f t="shared" si="65"/>
        <v>500</v>
      </c>
      <c r="O351" s="210"/>
    </row>
    <row r="352" spans="1:15" ht="22.5" customHeight="1">
      <c r="A352" s="171"/>
      <c r="B352" s="172">
        <v>3</v>
      </c>
      <c r="C352" s="258" t="s">
        <v>811</v>
      </c>
      <c r="D352" s="174"/>
      <c r="E352" s="174"/>
      <c r="F352" s="175"/>
      <c r="G352" s="174"/>
      <c r="H352" s="174"/>
      <c r="I352" s="174"/>
      <c r="J352" s="176"/>
      <c r="K352" s="174"/>
      <c r="L352" s="174"/>
      <c r="M352" s="174"/>
      <c r="N352" s="177"/>
      <c r="O352" s="210"/>
    </row>
    <row r="353" spans="1:15" ht="11.25" customHeight="1">
      <c r="A353" s="171"/>
      <c r="B353" s="172"/>
      <c r="C353" s="287" t="s">
        <v>623</v>
      </c>
      <c r="D353" s="174"/>
      <c r="E353" s="174"/>
      <c r="F353" s="175"/>
      <c r="G353" s="174"/>
      <c r="H353" s="174"/>
      <c r="I353" s="174">
        <v>401767</v>
      </c>
      <c r="J353" s="176">
        <f t="shared" si="64"/>
        <v>401767</v>
      </c>
      <c r="K353" s="174"/>
      <c r="L353" s="174"/>
      <c r="M353" s="174"/>
      <c r="N353" s="177">
        <f t="shared" si="65"/>
        <v>401767</v>
      </c>
      <c r="O353" s="210"/>
    </row>
    <row r="354" spans="1:15" ht="11.25" customHeight="1">
      <c r="A354" s="171"/>
      <c r="B354" s="172"/>
      <c r="C354" s="287" t="s">
        <v>624</v>
      </c>
      <c r="D354" s="174"/>
      <c r="E354" s="174"/>
      <c r="F354" s="175"/>
      <c r="G354" s="174"/>
      <c r="H354" s="174"/>
      <c r="I354" s="174">
        <v>407662</v>
      </c>
      <c r="J354" s="176">
        <f t="shared" si="64"/>
        <v>407662</v>
      </c>
      <c r="K354" s="174"/>
      <c r="L354" s="174">
        <v>300</v>
      </c>
      <c r="M354" s="174"/>
      <c r="N354" s="177">
        <f t="shared" si="65"/>
        <v>407962</v>
      </c>
      <c r="O354" s="210"/>
    </row>
    <row r="355" spans="1:15" ht="11.25" customHeight="1">
      <c r="A355" s="171"/>
      <c r="B355" s="172"/>
      <c r="C355" s="287" t="s">
        <v>625</v>
      </c>
      <c r="D355" s="174"/>
      <c r="E355" s="174"/>
      <c r="F355" s="175"/>
      <c r="G355" s="174"/>
      <c r="H355" s="174"/>
      <c r="I355" s="174">
        <v>406693</v>
      </c>
      <c r="J355" s="176">
        <f t="shared" si="64"/>
        <v>406693</v>
      </c>
      <c r="K355" s="174"/>
      <c r="L355" s="174"/>
      <c r="M355" s="174"/>
      <c r="N355" s="177">
        <f t="shared" si="65"/>
        <v>406693</v>
      </c>
      <c r="O355" s="210"/>
    </row>
    <row r="356" spans="1:15" ht="11.25" customHeight="1">
      <c r="A356" s="171"/>
      <c r="B356" s="172">
        <v>4</v>
      </c>
      <c r="C356" s="173" t="s">
        <v>812</v>
      </c>
      <c r="D356" s="174"/>
      <c r="E356" s="174"/>
      <c r="F356" s="175"/>
      <c r="G356" s="174"/>
      <c r="H356" s="174"/>
      <c r="I356" s="174"/>
      <c r="J356" s="176"/>
      <c r="K356" s="174"/>
      <c r="L356" s="174"/>
      <c r="M356" s="174"/>
      <c r="N356" s="177"/>
      <c r="O356" s="210"/>
    </row>
    <row r="357" spans="1:15" ht="11.25" customHeight="1">
      <c r="A357" s="171"/>
      <c r="B357" s="172"/>
      <c r="C357" s="287" t="s">
        <v>623</v>
      </c>
      <c r="D357" s="174"/>
      <c r="E357" s="174"/>
      <c r="F357" s="175"/>
      <c r="G357" s="174"/>
      <c r="H357" s="174"/>
      <c r="I357" s="174">
        <v>5000</v>
      </c>
      <c r="J357" s="176">
        <f t="shared" si="64"/>
        <v>5000</v>
      </c>
      <c r="K357" s="174"/>
      <c r="L357" s="174">
        <v>4000</v>
      </c>
      <c r="M357" s="174"/>
      <c r="N357" s="177">
        <f t="shared" si="65"/>
        <v>9000</v>
      </c>
      <c r="O357" s="210"/>
    </row>
    <row r="358" spans="1:15" ht="11.25" customHeight="1">
      <c r="A358" s="171"/>
      <c r="B358" s="172"/>
      <c r="C358" s="287" t="s">
        <v>624</v>
      </c>
      <c r="D358" s="174"/>
      <c r="E358" s="174"/>
      <c r="F358" s="175"/>
      <c r="G358" s="174"/>
      <c r="H358" s="174"/>
      <c r="I358" s="174">
        <v>0</v>
      </c>
      <c r="J358" s="176">
        <f t="shared" si="64"/>
        <v>0</v>
      </c>
      <c r="K358" s="174"/>
      <c r="L358" s="174">
        <v>4000</v>
      </c>
      <c r="M358" s="174"/>
      <c r="N358" s="177">
        <f t="shared" si="65"/>
        <v>4000</v>
      </c>
      <c r="O358" s="210"/>
    </row>
    <row r="359" spans="1:15" ht="11.25" customHeight="1">
      <c r="A359" s="171"/>
      <c r="B359" s="172"/>
      <c r="C359" s="287" t="s">
        <v>625</v>
      </c>
      <c r="D359" s="174"/>
      <c r="E359" s="174"/>
      <c r="F359" s="175"/>
      <c r="G359" s="174"/>
      <c r="H359" s="174"/>
      <c r="I359" s="174">
        <v>0</v>
      </c>
      <c r="J359" s="176">
        <f t="shared" si="64"/>
        <v>0</v>
      </c>
      <c r="K359" s="174"/>
      <c r="L359" s="174">
        <v>0</v>
      </c>
      <c r="M359" s="174"/>
      <c r="N359" s="177">
        <f t="shared" si="65"/>
        <v>0</v>
      </c>
      <c r="O359" s="210"/>
    </row>
    <row r="360" spans="1:15" ht="11.25" customHeight="1">
      <c r="A360" s="171"/>
      <c r="B360" s="172">
        <v>5</v>
      </c>
      <c r="C360" s="173" t="s">
        <v>813</v>
      </c>
      <c r="D360" s="174"/>
      <c r="E360" s="174"/>
      <c r="F360" s="175"/>
      <c r="G360" s="174"/>
      <c r="H360" s="174"/>
      <c r="I360" s="174"/>
      <c r="J360" s="176"/>
      <c r="K360" s="174"/>
      <c r="L360" s="174"/>
      <c r="M360" s="174"/>
      <c r="N360" s="177"/>
      <c r="O360" s="210"/>
    </row>
    <row r="361" spans="1:15" ht="11.25" customHeight="1">
      <c r="A361" s="171"/>
      <c r="B361" s="172"/>
      <c r="C361" s="287" t="s">
        <v>623</v>
      </c>
      <c r="D361" s="174"/>
      <c r="E361" s="174"/>
      <c r="F361" s="175"/>
      <c r="G361" s="174"/>
      <c r="H361" s="174"/>
      <c r="I361" s="174">
        <v>1100</v>
      </c>
      <c r="J361" s="176">
        <f t="shared" si="64"/>
        <v>1100</v>
      </c>
      <c r="K361" s="174"/>
      <c r="L361" s="174"/>
      <c r="M361" s="174"/>
      <c r="N361" s="177">
        <f t="shared" si="65"/>
        <v>1100</v>
      </c>
      <c r="O361" s="210"/>
    </row>
    <row r="362" spans="1:15" ht="11.25" customHeight="1">
      <c r="A362" s="171"/>
      <c r="B362" s="172"/>
      <c r="C362" s="287" t="s">
        <v>624</v>
      </c>
      <c r="D362" s="174"/>
      <c r="E362" s="174"/>
      <c r="F362" s="175"/>
      <c r="G362" s="174"/>
      <c r="H362" s="174"/>
      <c r="I362" s="174">
        <v>1100</v>
      </c>
      <c r="J362" s="176">
        <f t="shared" si="64"/>
        <v>1100</v>
      </c>
      <c r="K362" s="174"/>
      <c r="L362" s="174"/>
      <c r="M362" s="174"/>
      <c r="N362" s="177">
        <f t="shared" si="65"/>
        <v>1100</v>
      </c>
      <c r="O362" s="210"/>
    </row>
    <row r="363" spans="1:15" ht="11.25" customHeight="1">
      <c r="A363" s="171"/>
      <c r="B363" s="172"/>
      <c r="C363" s="287" t="s">
        <v>625</v>
      </c>
      <c r="D363" s="174"/>
      <c r="E363" s="174"/>
      <c r="F363" s="175"/>
      <c r="G363" s="174"/>
      <c r="H363" s="174"/>
      <c r="I363" s="174">
        <v>985</v>
      </c>
      <c r="J363" s="176">
        <f t="shared" si="64"/>
        <v>985</v>
      </c>
      <c r="K363" s="174"/>
      <c r="L363" s="174"/>
      <c r="M363" s="174"/>
      <c r="N363" s="177">
        <f t="shared" si="65"/>
        <v>985</v>
      </c>
      <c r="O363" s="210"/>
    </row>
    <row r="364" spans="1:15" ht="11.25" customHeight="1">
      <c r="A364" s="171"/>
      <c r="B364" s="172">
        <v>6</v>
      </c>
      <c r="C364" s="173" t="s">
        <v>285</v>
      </c>
      <c r="D364" s="174"/>
      <c r="E364" s="174"/>
      <c r="F364" s="175"/>
      <c r="G364" s="174"/>
      <c r="H364" s="174"/>
      <c r="I364" s="174"/>
      <c r="J364" s="176"/>
      <c r="K364" s="174"/>
      <c r="L364" s="174"/>
      <c r="M364" s="174"/>
      <c r="N364" s="177"/>
      <c r="O364" s="210"/>
    </row>
    <row r="365" spans="1:15" ht="11.25" customHeight="1">
      <c r="A365" s="171"/>
      <c r="B365" s="172"/>
      <c r="C365" s="287" t="s">
        <v>623</v>
      </c>
      <c r="D365" s="174"/>
      <c r="E365" s="174"/>
      <c r="F365" s="175"/>
      <c r="G365" s="174"/>
      <c r="H365" s="174">
        <v>300</v>
      </c>
      <c r="I365" s="174"/>
      <c r="J365" s="176">
        <f t="shared" si="64"/>
        <v>300</v>
      </c>
      <c r="K365" s="174"/>
      <c r="L365" s="174"/>
      <c r="M365" s="174"/>
      <c r="N365" s="177">
        <f t="shared" si="65"/>
        <v>300</v>
      </c>
      <c r="O365" s="210"/>
    </row>
    <row r="366" spans="1:15" ht="11.25" customHeight="1">
      <c r="A366" s="171"/>
      <c r="B366" s="172"/>
      <c r="C366" s="287" t="s">
        <v>624</v>
      </c>
      <c r="D366" s="174"/>
      <c r="E366" s="174"/>
      <c r="F366" s="175"/>
      <c r="G366" s="174"/>
      <c r="H366" s="174">
        <v>0</v>
      </c>
      <c r="I366" s="174"/>
      <c r="J366" s="176">
        <f t="shared" si="64"/>
        <v>0</v>
      </c>
      <c r="K366" s="174"/>
      <c r="L366" s="174"/>
      <c r="M366" s="174"/>
      <c r="N366" s="177">
        <f t="shared" si="65"/>
        <v>0</v>
      </c>
      <c r="O366" s="210"/>
    </row>
    <row r="367" spans="1:15" ht="11.25" customHeight="1">
      <c r="A367" s="171"/>
      <c r="B367" s="172"/>
      <c r="C367" s="287" t="s">
        <v>625</v>
      </c>
      <c r="D367" s="174"/>
      <c r="E367" s="174"/>
      <c r="F367" s="175"/>
      <c r="G367" s="174"/>
      <c r="H367" s="174">
        <v>0</v>
      </c>
      <c r="I367" s="174"/>
      <c r="J367" s="176">
        <f t="shared" si="64"/>
        <v>0</v>
      </c>
      <c r="K367" s="174"/>
      <c r="L367" s="174"/>
      <c r="M367" s="174"/>
      <c r="N367" s="177">
        <f t="shared" si="65"/>
        <v>0</v>
      </c>
      <c r="O367" s="210"/>
    </row>
    <row r="368" spans="1:15" ht="11.25" customHeight="1">
      <c r="A368" s="171"/>
      <c r="B368" s="172">
        <v>7</v>
      </c>
      <c r="C368" s="175" t="s">
        <v>814</v>
      </c>
      <c r="D368" s="174"/>
      <c r="E368" s="174"/>
      <c r="F368" s="175"/>
      <c r="G368" s="174"/>
      <c r="H368" s="174"/>
      <c r="I368" s="174"/>
      <c r="J368" s="176"/>
      <c r="K368" s="174"/>
      <c r="L368" s="174"/>
      <c r="M368" s="174"/>
      <c r="N368" s="177"/>
      <c r="O368" s="210"/>
    </row>
    <row r="369" spans="1:15" ht="11.25" customHeight="1">
      <c r="A369" s="171"/>
      <c r="B369" s="172"/>
      <c r="C369" s="287" t="s">
        <v>623</v>
      </c>
      <c r="D369" s="174"/>
      <c r="E369" s="174"/>
      <c r="F369" s="175">
        <v>28162</v>
      </c>
      <c r="G369" s="174"/>
      <c r="H369" s="174"/>
      <c r="I369" s="174"/>
      <c r="J369" s="176">
        <f t="shared" si="64"/>
        <v>28162</v>
      </c>
      <c r="K369" s="174"/>
      <c r="L369" s="174"/>
      <c r="M369" s="174"/>
      <c r="N369" s="177">
        <f t="shared" si="65"/>
        <v>28162</v>
      </c>
      <c r="O369" s="210"/>
    </row>
    <row r="370" spans="1:15" ht="11.25" customHeight="1">
      <c r="A370" s="171"/>
      <c r="B370" s="172"/>
      <c r="C370" s="287" t="s">
        <v>624</v>
      </c>
      <c r="D370" s="174"/>
      <c r="E370" s="174"/>
      <c r="F370" s="175">
        <v>28162</v>
      </c>
      <c r="G370" s="174"/>
      <c r="H370" s="174"/>
      <c r="I370" s="174"/>
      <c r="J370" s="176">
        <f t="shared" si="64"/>
        <v>28162</v>
      </c>
      <c r="K370" s="174"/>
      <c r="L370" s="174"/>
      <c r="M370" s="174"/>
      <c r="N370" s="177">
        <f t="shared" si="65"/>
        <v>28162</v>
      </c>
      <c r="O370" s="210"/>
    </row>
    <row r="371" spans="1:15" ht="11.25" customHeight="1">
      <c r="A371" s="171"/>
      <c r="B371" s="172"/>
      <c r="C371" s="287" t="s">
        <v>625</v>
      </c>
      <c r="D371" s="174"/>
      <c r="E371" s="174"/>
      <c r="F371" s="175">
        <v>27134</v>
      </c>
      <c r="G371" s="174"/>
      <c r="H371" s="174"/>
      <c r="I371" s="174"/>
      <c r="J371" s="176">
        <f t="shared" si="64"/>
        <v>27134</v>
      </c>
      <c r="K371" s="174"/>
      <c r="L371" s="174"/>
      <c r="M371" s="174"/>
      <c r="N371" s="177">
        <f t="shared" si="65"/>
        <v>27134</v>
      </c>
      <c r="O371" s="210"/>
    </row>
    <row r="372" spans="1:15" ht="11.25" customHeight="1">
      <c r="A372" s="171"/>
      <c r="B372" s="172">
        <v>8</v>
      </c>
      <c r="C372" s="175" t="s">
        <v>815</v>
      </c>
      <c r="D372" s="174"/>
      <c r="E372" s="174"/>
      <c r="F372" s="175"/>
      <c r="G372" s="174"/>
      <c r="H372" s="174"/>
      <c r="I372" s="174"/>
      <c r="J372" s="176"/>
      <c r="K372" s="174"/>
      <c r="L372" s="174"/>
      <c r="M372" s="174"/>
      <c r="N372" s="177"/>
      <c r="O372" s="210"/>
    </row>
    <row r="373" spans="1:15" ht="11.25" customHeight="1">
      <c r="A373" s="171"/>
      <c r="B373" s="172"/>
      <c r="C373" s="287" t="s">
        <v>623</v>
      </c>
      <c r="D373" s="174"/>
      <c r="E373" s="174"/>
      <c r="F373" s="175">
        <v>67877</v>
      </c>
      <c r="G373" s="174"/>
      <c r="H373" s="174"/>
      <c r="I373" s="174"/>
      <c r="J373" s="176">
        <f t="shared" si="64"/>
        <v>67877</v>
      </c>
      <c r="K373" s="174"/>
      <c r="L373" s="174"/>
      <c r="M373" s="174"/>
      <c r="N373" s="177">
        <f t="shared" si="65"/>
        <v>67877</v>
      </c>
      <c r="O373" s="210"/>
    </row>
    <row r="374" spans="1:15" ht="11.25" customHeight="1">
      <c r="A374" s="171"/>
      <c r="B374" s="172"/>
      <c r="C374" s="287" t="s">
        <v>624</v>
      </c>
      <c r="D374" s="174"/>
      <c r="E374" s="174"/>
      <c r="F374" s="175">
        <v>67877</v>
      </c>
      <c r="G374" s="174"/>
      <c r="H374" s="174"/>
      <c r="I374" s="174"/>
      <c r="J374" s="176">
        <f t="shared" si="64"/>
        <v>67877</v>
      </c>
      <c r="K374" s="174">
        <v>0</v>
      </c>
      <c r="L374" s="174"/>
      <c r="M374" s="174"/>
      <c r="N374" s="177">
        <f t="shared" si="65"/>
        <v>67877</v>
      </c>
      <c r="O374" s="210"/>
    </row>
    <row r="375" spans="1:15" ht="11.25" customHeight="1">
      <c r="A375" s="171"/>
      <c r="B375" s="172"/>
      <c r="C375" s="287" t="s">
        <v>625</v>
      </c>
      <c r="D375" s="174"/>
      <c r="E375" s="174"/>
      <c r="F375" s="175">
        <v>64597</v>
      </c>
      <c r="G375" s="174"/>
      <c r="H375" s="174"/>
      <c r="I375" s="174"/>
      <c r="J375" s="176">
        <f t="shared" si="64"/>
        <v>64597</v>
      </c>
      <c r="K375" s="174">
        <v>0</v>
      </c>
      <c r="L375" s="174"/>
      <c r="M375" s="174"/>
      <c r="N375" s="177">
        <f t="shared" si="65"/>
        <v>64597</v>
      </c>
      <c r="O375" s="210"/>
    </row>
    <row r="376" spans="1:15" ht="28.5" customHeight="1">
      <c r="A376" s="171"/>
      <c r="B376" s="172">
        <v>9</v>
      </c>
      <c r="C376" s="258" t="s">
        <v>816</v>
      </c>
      <c r="D376" s="1345"/>
      <c r="E376" s="174"/>
      <c r="F376" s="175"/>
      <c r="G376" s="174"/>
      <c r="H376" s="174"/>
      <c r="I376" s="174"/>
      <c r="J376" s="176"/>
      <c r="K376" s="174"/>
      <c r="L376" s="174"/>
      <c r="M376" s="174"/>
      <c r="N376" s="177"/>
      <c r="O376" s="210"/>
    </row>
    <row r="377" spans="1:15" ht="11.25" customHeight="1">
      <c r="A377" s="171"/>
      <c r="B377" s="172"/>
      <c r="C377" s="287" t="s">
        <v>623</v>
      </c>
      <c r="D377" s="174"/>
      <c r="E377" s="174"/>
      <c r="F377" s="175"/>
      <c r="G377" s="174"/>
      <c r="H377" s="174"/>
      <c r="I377" s="174"/>
      <c r="J377" s="176">
        <f t="shared" si="64"/>
        <v>0</v>
      </c>
      <c r="K377" s="174">
        <v>15302</v>
      </c>
      <c r="L377" s="174"/>
      <c r="M377" s="174"/>
      <c r="N377" s="177">
        <f t="shared" si="65"/>
        <v>15302</v>
      </c>
      <c r="O377" s="210"/>
    </row>
    <row r="378" spans="1:15" ht="11.25" customHeight="1">
      <c r="A378" s="171"/>
      <c r="B378" s="172"/>
      <c r="C378" s="287" t="s">
        <v>624</v>
      </c>
      <c r="D378" s="174"/>
      <c r="E378" s="174"/>
      <c r="F378" s="175"/>
      <c r="G378" s="174"/>
      <c r="H378" s="174"/>
      <c r="I378" s="174"/>
      <c r="J378" s="176">
        <f t="shared" si="64"/>
        <v>0</v>
      </c>
      <c r="K378" s="174">
        <v>16999</v>
      </c>
      <c r="L378" s="174"/>
      <c r="M378" s="174"/>
      <c r="N378" s="177">
        <f t="shared" si="65"/>
        <v>16999</v>
      </c>
      <c r="O378" s="210"/>
    </row>
    <row r="379" spans="1:15" ht="11.25" customHeight="1">
      <c r="A379" s="171"/>
      <c r="B379" s="172"/>
      <c r="C379" s="287" t="s">
        <v>625</v>
      </c>
      <c r="D379" s="174"/>
      <c r="E379" s="174"/>
      <c r="F379" s="175"/>
      <c r="G379" s="174"/>
      <c r="H379" s="174"/>
      <c r="I379" s="174"/>
      <c r="J379" s="176">
        <f t="shared" si="64"/>
        <v>0</v>
      </c>
      <c r="K379" s="174">
        <v>15715</v>
      </c>
      <c r="L379" s="174"/>
      <c r="M379" s="174"/>
      <c r="N379" s="177">
        <f t="shared" si="65"/>
        <v>15715</v>
      </c>
      <c r="O379" s="210"/>
    </row>
    <row r="380" spans="1:15" ht="21.75" customHeight="1">
      <c r="A380" s="171"/>
      <c r="B380" s="172">
        <v>10</v>
      </c>
      <c r="C380" s="258" t="s">
        <v>817</v>
      </c>
      <c r="D380" s="174"/>
      <c r="E380" s="174"/>
      <c r="F380" s="175"/>
      <c r="G380" s="174"/>
      <c r="H380" s="174"/>
      <c r="I380" s="174"/>
      <c r="J380" s="176"/>
      <c r="K380" s="174"/>
      <c r="L380" s="174"/>
      <c r="M380" s="174"/>
      <c r="N380" s="177"/>
      <c r="O380" s="210"/>
    </row>
    <row r="381" spans="1:15" ht="11.25" customHeight="1">
      <c r="A381" s="171"/>
      <c r="B381" s="172"/>
      <c r="C381" s="287" t="s">
        <v>623</v>
      </c>
      <c r="D381" s="174"/>
      <c r="E381" s="174"/>
      <c r="F381" s="175"/>
      <c r="G381" s="174"/>
      <c r="H381" s="174"/>
      <c r="I381" s="174">
        <v>20535</v>
      </c>
      <c r="J381" s="176">
        <f t="shared" si="64"/>
        <v>20535</v>
      </c>
      <c r="K381" s="174"/>
      <c r="L381" s="174">
        <v>2415</v>
      </c>
      <c r="M381" s="174"/>
      <c r="N381" s="177">
        <f t="shared" si="65"/>
        <v>22950</v>
      </c>
      <c r="O381" s="210"/>
    </row>
    <row r="382" spans="1:15" ht="11.25" customHeight="1">
      <c r="A382" s="171"/>
      <c r="B382" s="172"/>
      <c r="C382" s="287" t="s">
        <v>624</v>
      </c>
      <c r="D382" s="174"/>
      <c r="E382" s="174"/>
      <c r="F382" s="175"/>
      <c r="G382" s="174"/>
      <c r="H382" s="174"/>
      <c r="I382" s="174">
        <v>32556</v>
      </c>
      <c r="J382" s="176">
        <f t="shared" si="64"/>
        <v>32556</v>
      </c>
      <c r="K382" s="174"/>
      <c r="L382" s="174">
        <v>2472</v>
      </c>
      <c r="M382" s="174"/>
      <c r="N382" s="177">
        <f t="shared" si="65"/>
        <v>35028</v>
      </c>
      <c r="O382" s="210"/>
    </row>
    <row r="383" spans="1:15" ht="11.25" customHeight="1">
      <c r="A383" s="171"/>
      <c r="B383" s="172"/>
      <c r="C383" s="287" t="s">
        <v>625</v>
      </c>
      <c r="D383" s="174"/>
      <c r="E383" s="174"/>
      <c r="F383" s="175"/>
      <c r="G383" s="174"/>
      <c r="H383" s="174"/>
      <c r="I383" s="174">
        <v>32556</v>
      </c>
      <c r="J383" s="176">
        <f t="shared" si="64"/>
        <v>32556</v>
      </c>
      <c r="K383" s="174">
        <v>0</v>
      </c>
      <c r="L383" s="174">
        <v>2471</v>
      </c>
      <c r="M383" s="174"/>
      <c r="N383" s="177">
        <f t="shared" si="65"/>
        <v>35027</v>
      </c>
      <c r="O383" s="210"/>
    </row>
    <row r="384" spans="1:15" ht="11.25" customHeight="1">
      <c r="A384" s="171"/>
      <c r="B384" s="172">
        <v>11</v>
      </c>
      <c r="C384" s="173" t="s">
        <v>818</v>
      </c>
      <c r="D384" s="174"/>
      <c r="E384" s="174"/>
      <c r="F384" s="175"/>
      <c r="G384" s="174"/>
      <c r="H384" s="174"/>
      <c r="I384" s="174"/>
      <c r="J384" s="176"/>
      <c r="K384" s="174"/>
      <c r="L384" s="174"/>
      <c r="M384" s="174"/>
      <c r="N384" s="177"/>
      <c r="O384" s="210"/>
    </row>
    <row r="385" spans="1:15" ht="11.25" customHeight="1">
      <c r="A385" s="171"/>
      <c r="B385" s="172"/>
      <c r="C385" s="287" t="s">
        <v>623</v>
      </c>
      <c r="D385" s="174"/>
      <c r="E385" s="174"/>
      <c r="F385" s="175"/>
      <c r="G385" s="174"/>
      <c r="H385" s="174"/>
      <c r="I385" s="174">
        <v>0</v>
      </c>
      <c r="J385" s="176">
        <f t="shared" si="64"/>
        <v>0</v>
      </c>
      <c r="K385" s="174"/>
      <c r="L385" s="174"/>
      <c r="M385" s="174"/>
      <c r="N385" s="177">
        <f t="shared" si="65"/>
        <v>0</v>
      </c>
      <c r="O385" s="210"/>
    </row>
    <row r="386" spans="1:15" ht="11.25" customHeight="1">
      <c r="A386" s="171"/>
      <c r="B386" s="172"/>
      <c r="C386" s="287" t="s">
        <v>624</v>
      </c>
      <c r="D386" s="174"/>
      <c r="E386" s="174"/>
      <c r="F386" s="175">
        <v>0</v>
      </c>
      <c r="G386" s="174"/>
      <c r="H386" s="174"/>
      <c r="I386" s="174">
        <v>792</v>
      </c>
      <c r="J386" s="176">
        <f t="shared" si="64"/>
        <v>792</v>
      </c>
      <c r="K386" s="174"/>
      <c r="L386" s="174"/>
      <c r="M386" s="174"/>
      <c r="N386" s="177">
        <f t="shared" si="65"/>
        <v>792</v>
      </c>
      <c r="O386" s="210"/>
    </row>
    <row r="387" spans="1:15" ht="11.25" customHeight="1">
      <c r="A387" s="171"/>
      <c r="B387" s="172"/>
      <c r="C387" s="288" t="s">
        <v>625</v>
      </c>
      <c r="D387" s="174"/>
      <c r="E387" s="174"/>
      <c r="F387" s="175">
        <v>0</v>
      </c>
      <c r="G387" s="174"/>
      <c r="H387" s="174">
        <v>0</v>
      </c>
      <c r="I387" s="174">
        <v>0</v>
      </c>
      <c r="J387" s="176">
        <f t="shared" si="64"/>
        <v>0</v>
      </c>
      <c r="K387" s="174"/>
      <c r="L387" s="174"/>
      <c r="M387" s="174"/>
      <c r="N387" s="177">
        <f t="shared" si="65"/>
        <v>0</v>
      </c>
      <c r="O387" s="210"/>
    </row>
    <row r="388" spans="1:15" ht="22.5" customHeight="1">
      <c r="A388" s="171"/>
      <c r="B388" s="172">
        <v>12</v>
      </c>
      <c r="C388" s="611" t="s">
        <v>819</v>
      </c>
      <c r="D388" s="174"/>
      <c r="E388" s="174"/>
      <c r="F388" s="175"/>
      <c r="G388" s="174"/>
      <c r="H388" s="174"/>
      <c r="I388" s="174"/>
      <c r="J388" s="176"/>
      <c r="K388" s="174"/>
      <c r="L388" s="174"/>
      <c r="M388" s="174"/>
      <c r="N388" s="177"/>
      <c r="O388" s="210"/>
    </row>
    <row r="389" spans="1:15" ht="11.25" customHeight="1">
      <c r="A389" s="171"/>
      <c r="B389" s="172"/>
      <c r="C389" s="287" t="s">
        <v>623</v>
      </c>
      <c r="D389" s="174"/>
      <c r="E389" s="174"/>
      <c r="F389" s="175"/>
      <c r="G389" s="174"/>
      <c r="H389" s="174"/>
      <c r="I389" s="174"/>
      <c r="J389" s="176">
        <f t="shared" si="64"/>
        <v>0</v>
      </c>
      <c r="K389" s="174"/>
      <c r="L389" s="174"/>
      <c r="M389" s="174"/>
      <c r="N389" s="177">
        <f t="shared" si="65"/>
        <v>0</v>
      </c>
      <c r="O389" s="210"/>
    </row>
    <row r="390" spans="1:15" ht="11.25" customHeight="1">
      <c r="A390" s="171"/>
      <c r="B390" s="172"/>
      <c r="C390" s="287" t="s">
        <v>624</v>
      </c>
      <c r="D390" s="174"/>
      <c r="E390" s="174"/>
      <c r="F390" s="175"/>
      <c r="G390" s="174"/>
      <c r="H390" s="174"/>
      <c r="I390" s="174">
        <v>5091</v>
      </c>
      <c r="J390" s="176">
        <f t="shared" si="64"/>
        <v>5091</v>
      </c>
      <c r="K390" s="174"/>
      <c r="L390" s="174"/>
      <c r="M390" s="174"/>
      <c r="N390" s="177">
        <f t="shared" si="65"/>
        <v>5091</v>
      </c>
      <c r="O390" s="210"/>
    </row>
    <row r="391" spans="1:15" ht="11.25" customHeight="1" thickBot="1">
      <c r="A391" s="607"/>
      <c r="B391" s="609"/>
      <c r="C391" s="288" t="s">
        <v>625</v>
      </c>
      <c r="D391" s="604"/>
      <c r="E391" s="604"/>
      <c r="F391" s="610"/>
      <c r="G391" s="604"/>
      <c r="H391" s="604"/>
      <c r="I391" s="604">
        <v>5091</v>
      </c>
      <c r="J391" s="600">
        <f t="shared" si="64"/>
        <v>5091</v>
      </c>
      <c r="K391" s="604"/>
      <c r="L391" s="604"/>
      <c r="M391" s="604"/>
      <c r="N391" s="605">
        <f t="shared" si="65"/>
        <v>5091</v>
      </c>
      <c r="O391" s="211"/>
    </row>
    <row r="392" spans="1:15" s="179" customFormat="1" ht="12.75" customHeight="1">
      <c r="A392" s="149">
        <v>30</v>
      </c>
      <c r="B392" s="615" t="s">
        <v>312</v>
      </c>
      <c r="C392" s="666" t="s">
        <v>1290</v>
      </c>
      <c r="D392" s="151"/>
      <c r="E392" s="151"/>
      <c r="F392" s="152"/>
      <c r="G392" s="151"/>
      <c r="H392" s="151"/>
      <c r="I392" s="151"/>
      <c r="J392" s="151"/>
      <c r="K392" s="151"/>
      <c r="L392" s="151"/>
      <c r="M392" s="151"/>
      <c r="N392" s="152"/>
      <c r="O392" s="206"/>
    </row>
    <row r="393" spans="1:15" s="179" customFormat="1" ht="12.75" customHeight="1">
      <c r="A393" s="171"/>
      <c r="B393" s="251"/>
      <c r="C393" s="287" t="s">
        <v>623</v>
      </c>
      <c r="D393" s="176"/>
      <c r="E393" s="176"/>
      <c r="F393" s="177"/>
      <c r="G393" s="176"/>
      <c r="H393" s="176"/>
      <c r="I393" s="176">
        <v>6816</v>
      </c>
      <c r="J393" s="176">
        <f>SUM(D393:I393)</f>
        <v>6816</v>
      </c>
      <c r="K393" s="176"/>
      <c r="L393" s="176"/>
      <c r="M393" s="176"/>
      <c r="N393" s="177">
        <f>SUM(J393:M393)</f>
        <v>6816</v>
      </c>
      <c r="O393" s="210"/>
    </row>
    <row r="394" spans="1:15" s="179" customFormat="1" ht="12.75" customHeight="1">
      <c r="A394" s="171"/>
      <c r="B394" s="251"/>
      <c r="C394" s="287" t="s">
        <v>624</v>
      </c>
      <c r="D394" s="176"/>
      <c r="E394" s="176"/>
      <c r="F394" s="177"/>
      <c r="G394" s="176"/>
      <c r="H394" s="176"/>
      <c r="I394" s="176">
        <v>6816</v>
      </c>
      <c r="J394" s="176">
        <v>6816</v>
      </c>
      <c r="K394" s="176"/>
      <c r="L394" s="176"/>
      <c r="M394" s="176"/>
      <c r="N394" s="177">
        <v>6816</v>
      </c>
      <c r="O394" s="210"/>
    </row>
    <row r="395" spans="1:15" s="179" customFormat="1" ht="12.75" customHeight="1" thickBot="1">
      <c r="A395" s="165"/>
      <c r="B395" s="311"/>
      <c r="C395" s="302" t="s">
        <v>625</v>
      </c>
      <c r="D395" s="169"/>
      <c r="E395" s="169"/>
      <c r="F395" s="170"/>
      <c r="G395" s="169"/>
      <c r="H395" s="169"/>
      <c r="I395" s="169">
        <v>6812</v>
      </c>
      <c r="J395" s="169">
        <f>I395</f>
        <v>6812</v>
      </c>
      <c r="K395" s="169"/>
      <c r="L395" s="169"/>
      <c r="M395" s="169"/>
      <c r="N395" s="170">
        <f>J395</f>
        <v>6812</v>
      </c>
      <c r="O395" s="209"/>
    </row>
    <row r="396" spans="1:15" ht="27.75" customHeight="1">
      <c r="A396" s="158">
        <v>31</v>
      </c>
      <c r="B396" s="255" t="s">
        <v>312</v>
      </c>
      <c r="C396" s="193" t="s">
        <v>1289</v>
      </c>
      <c r="D396" s="162"/>
      <c r="E396" s="162"/>
      <c r="F396" s="163"/>
      <c r="G396" s="162"/>
      <c r="H396" s="162"/>
      <c r="I396" s="162"/>
      <c r="J396" s="162"/>
      <c r="K396" s="162"/>
      <c r="L396" s="162"/>
      <c r="M396" s="162"/>
      <c r="N396" s="163"/>
      <c r="O396" s="208"/>
    </row>
    <row r="397" spans="1:15" ht="12" customHeight="1">
      <c r="A397" s="171"/>
      <c r="B397" s="301"/>
      <c r="C397" s="287" t="s">
        <v>623</v>
      </c>
      <c r="D397" s="176"/>
      <c r="E397" s="176"/>
      <c r="F397" s="177"/>
      <c r="G397" s="176"/>
      <c r="H397" s="176"/>
      <c r="I397" s="176">
        <v>5076</v>
      </c>
      <c r="J397" s="176">
        <f>SUM(D397:I397)</f>
        <v>5076</v>
      </c>
      <c r="K397" s="176"/>
      <c r="L397" s="176"/>
      <c r="M397" s="176"/>
      <c r="N397" s="177">
        <f>SUM(J397:M397)</f>
        <v>5076</v>
      </c>
      <c r="O397" s="210"/>
    </row>
    <row r="398" spans="1:15" ht="12" customHeight="1">
      <c r="A398" s="171"/>
      <c r="B398" s="301"/>
      <c r="C398" s="287" t="s">
        <v>624</v>
      </c>
      <c r="D398" s="176"/>
      <c r="E398" s="176"/>
      <c r="F398" s="177"/>
      <c r="G398" s="176"/>
      <c r="H398" s="176"/>
      <c r="I398" s="176">
        <v>5076</v>
      </c>
      <c r="J398" s="176">
        <f>SUM(D398:I398)</f>
        <v>5076</v>
      </c>
      <c r="K398" s="176"/>
      <c r="L398" s="176"/>
      <c r="M398" s="176"/>
      <c r="N398" s="177">
        <f>SUM(J398:M398)</f>
        <v>5076</v>
      </c>
      <c r="O398" s="210"/>
    </row>
    <row r="399" spans="1:15" ht="12" customHeight="1" thickBot="1">
      <c r="A399" s="158"/>
      <c r="B399" s="255"/>
      <c r="C399" s="299" t="s">
        <v>625</v>
      </c>
      <c r="D399" s="162"/>
      <c r="E399" s="162"/>
      <c r="F399" s="163"/>
      <c r="G399" s="162"/>
      <c r="H399" s="162"/>
      <c r="I399" s="162">
        <v>4653</v>
      </c>
      <c r="J399" s="162">
        <f>SUM(D399:I399)</f>
        <v>4653</v>
      </c>
      <c r="K399" s="162"/>
      <c r="L399" s="162"/>
      <c r="M399" s="162"/>
      <c r="N399" s="163">
        <f>SUM(J399:M399)</f>
        <v>4653</v>
      </c>
      <c r="O399" s="208"/>
    </row>
    <row r="400" spans="1:15" ht="12.75" customHeight="1">
      <c r="A400" s="186">
        <v>32</v>
      </c>
      <c r="B400" s="312"/>
      <c r="C400" s="188" t="s">
        <v>83</v>
      </c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88"/>
      <c r="O400" s="212"/>
    </row>
    <row r="401" spans="1:15" ht="12.75" customHeight="1">
      <c r="A401" s="171"/>
      <c r="B401" s="298"/>
      <c r="C401" s="287" t="s">
        <v>623</v>
      </c>
      <c r="D401" s="176">
        <f aca="true" t="shared" si="68" ref="D401:I401">D405+D409+D413+D417+D421+D425+D429+D433+D437+D441+D445+D449+D453+D457+D461</f>
        <v>0</v>
      </c>
      <c r="E401" s="176">
        <f t="shared" si="68"/>
        <v>0</v>
      </c>
      <c r="F401" s="176">
        <f t="shared" si="68"/>
        <v>1000</v>
      </c>
      <c r="G401" s="176">
        <f t="shared" si="68"/>
        <v>0</v>
      </c>
      <c r="H401" s="176">
        <f t="shared" si="68"/>
        <v>178000</v>
      </c>
      <c r="I401" s="176">
        <f t="shared" si="68"/>
        <v>0</v>
      </c>
      <c r="J401" s="176">
        <f aca="true" t="shared" si="69" ref="J401:J463">SUM(D401:I401)</f>
        <v>179000</v>
      </c>
      <c r="K401" s="176"/>
      <c r="L401" s="176"/>
      <c r="M401" s="176"/>
      <c r="N401" s="177">
        <f>SUM(J401:M401)</f>
        <v>179000</v>
      </c>
      <c r="O401" s="210"/>
    </row>
    <row r="402" spans="1:15" ht="12.75" customHeight="1">
      <c r="A402" s="171"/>
      <c r="B402" s="298"/>
      <c r="C402" s="287" t="s">
        <v>624</v>
      </c>
      <c r="D402" s="176">
        <f aca="true" t="shared" si="70" ref="D402:I403">D406+D410+D414+D418+D422+D426+D430+D434+D438+D442+D446+D450+D454+D458+D462</f>
        <v>0</v>
      </c>
      <c r="E402" s="176">
        <f t="shared" si="70"/>
        <v>0</v>
      </c>
      <c r="F402" s="176">
        <f t="shared" si="70"/>
        <v>1040</v>
      </c>
      <c r="G402" s="176">
        <f t="shared" si="70"/>
        <v>0</v>
      </c>
      <c r="H402" s="176">
        <f t="shared" si="70"/>
        <v>177553</v>
      </c>
      <c r="I402" s="176">
        <f t="shared" si="70"/>
        <v>0</v>
      </c>
      <c r="J402" s="176">
        <f t="shared" si="69"/>
        <v>178593</v>
      </c>
      <c r="K402" s="176"/>
      <c r="L402" s="176"/>
      <c r="M402" s="176"/>
      <c r="N402" s="177">
        <f>SUM(J402:M402)</f>
        <v>178593</v>
      </c>
      <c r="O402" s="210"/>
    </row>
    <row r="403" spans="1:15" ht="12.75" customHeight="1">
      <c r="A403" s="171"/>
      <c r="B403" s="298"/>
      <c r="C403" s="287" t="s">
        <v>625</v>
      </c>
      <c r="D403" s="176">
        <f t="shared" si="70"/>
        <v>0</v>
      </c>
      <c r="E403" s="176">
        <f t="shared" si="70"/>
        <v>0</v>
      </c>
      <c r="F403" s="176">
        <f t="shared" si="70"/>
        <v>400</v>
      </c>
      <c r="G403" s="176">
        <f t="shared" si="70"/>
        <v>0</v>
      </c>
      <c r="H403" s="176">
        <f t="shared" si="70"/>
        <v>137716</v>
      </c>
      <c r="I403" s="176">
        <f t="shared" si="70"/>
        <v>0</v>
      </c>
      <c r="J403" s="176">
        <f t="shared" si="69"/>
        <v>138116</v>
      </c>
      <c r="K403" s="176"/>
      <c r="L403" s="176"/>
      <c r="M403" s="176"/>
      <c r="N403" s="177">
        <f>SUM(J403:M403)</f>
        <v>138116</v>
      </c>
      <c r="O403" s="210"/>
    </row>
    <row r="404" spans="1:15" ht="11.25" customHeight="1">
      <c r="A404" s="171"/>
      <c r="B404" s="172" t="s">
        <v>312</v>
      </c>
      <c r="C404" s="173" t="s">
        <v>84</v>
      </c>
      <c r="D404" s="174"/>
      <c r="E404" s="174"/>
      <c r="F404" s="175"/>
      <c r="G404" s="174"/>
      <c r="H404" s="174"/>
      <c r="I404" s="174"/>
      <c r="J404" s="176"/>
      <c r="K404" s="174"/>
      <c r="L404" s="174"/>
      <c r="M404" s="174"/>
      <c r="N404" s="177"/>
      <c r="O404" s="210"/>
    </row>
    <row r="405" spans="1:15" ht="11.25" customHeight="1">
      <c r="A405" s="171"/>
      <c r="B405" s="172"/>
      <c r="C405" s="287" t="s">
        <v>623</v>
      </c>
      <c r="D405" s="174"/>
      <c r="E405" s="174"/>
      <c r="F405" s="175"/>
      <c r="G405" s="174"/>
      <c r="H405" s="174">
        <v>13000</v>
      </c>
      <c r="I405" s="174"/>
      <c r="J405" s="176">
        <f t="shared" si="69"/>
        <v>13000</v>
      </c>
      <c r="K405" s="174"/>
      <c r="L405" s="174"/>
      <c r="M405" s="174"/>
      <c r="N405" s="177">
        <f>SUM(J405:M405)</f>
        <v>13000</v>
      </c>
      <c r="O405" s="210"/>
    </row>
    <row r="406" spans="1:15" ht="11.25" customHeight="1">
      <c r="A406" s="171"/>
      <c r="B406" s="172"/>
      <c r="C406" s="287" t="s">
        <v>624</v>
      </c>
      <c r="D406" s="174"/>
      <c r="E406" s="174"/>
      <c r="F406" s="175"/>
      <c r="G406" s="174"/>
      <c r="H406" s="174">
        <v>16000</v>
      </c>
      <c r="I406" s="174"/>
      <c r="J406" s="176">
        <f t="shared" si="69"/>
        <v>16000</v>
      </c>
      <c r="K406" s="174"/>
      <c r="L406" s="174"/>
      <c r="M406" s="174"/>
      <c r="N406" s="177">
        <f>SUM(J406:M406)</f>
        <v>16000</v>
      </c>
      <c r="O406" s="210"/>
    </row>
    <row r="407" spans="1:15" ht="11.25" customHeight="1">
      <c r="A407" s="171"/>
      <c r="B407" s="172"/>
      <c r="C407" s="287" t="s">
        <v>625</v>
      </c>
      <c r="D407" s="174"/>
      <c r="E407" s="174"/>
      <c r="F407" s="175"/>
      <c r="G407" s="174"/>
      <c r="H407" s="174">
        <v>15200</v>
      </c>
      <c r="I407" s="174"/>
      <c r="J407" s="176">
        <f t="shared" si="69"/>
        <v>15200</v>
      </c>
      <c r="K407" s="174"/>
      <c r="L407" s="174"/>
      <c r="M407" s="174"/>
      <c r="N407" s="177">
        <f>SUM(J407:M407)</f>
        <v>15200</v>
      </c>
      <c r="O407" s="210"/>
    </row>
    <row r="408" spans="1:15" ht="11.25" customHeight="1">
      <c r="A408" s="171"/>
      <c r="B408" s="172" t="s">
        <v>314</v>
      </c>
      <c r="C408" s="173" t="s">
        <v>411</v>
      </c>
      <c r="D408" s="174"/>
      <c r="E408" s="174"/>
      <c r="F408" s="175"/>
      <c r="G408" s="174"/>
      <c r="H408" s="174"/>
      <c r="I408" s="174"/>
      <c r="J408" s="176"/>
      <c r="K408" s="174"/>
      <c r="L408" s="174"/>
      <c r="M408" s="174"/>
      <c r="N408" s="177"/>
      <c r="O408" s="210"/>
    </row>
    <row r="409" spans="1:15" ht="11.25" customHeight="1">
      <c r="A409" s="171"/>
      <c r="B409" s="172"/>
      <c r="C409" s="287" t="s">
        <v>623</v>
      </c>
      <c r="D409" s="174"/>
      <c r="E409" s="174"/>
      <c r="F409" s="175"/>
      <c r="G409" s="174"/>
      <c r="H409" s="174">
        <v>15000</v>
      </c>
      <c r="I409" s="174"/>
      <c r="J409" s="176">
        <f t="shared" si="69"/>
        <v>15000</v>
      </c>
      <c r="K409" s="174"/>
      <c r="L409" s="174"/>
      <c r="M409" s="174"/>
      <c r="N409" s="177">
        <f aca="true" t="shared" si="71" ref="N409:N463">SUM(J409:M409)</f>
        <v>15000</v>
      </c>
      <c r="O409" s="210"/>
    </row>
    <row r="410" spans="1:15" ht="11.25" customHeight="1">
      <c r="A410" s="171"/>
      <c r="B410" s="172"/>
      <c r="C410" s="287" t="s">
        <v>624</v>
      </c>
      <c r="D410" s="174"/>
      <c r="E410" s="174"/>
      <c r="F410" s="175"/>
      <c r="G410" s="174"/>
      <c r="H410" s="174">
        <v>12000</v>
      </c>
      <c r="I410" s="174"/>
      <c r="J410" s="176">
        <f t="shared" si="69"/>
        <v>12000</v>
      </c>
      <c r="K410" s="174"/>
      <c r="L410" s="174"/>
      <c r="M410" s="174"/>
      <c r="N410" s="177">
        <f t="shared" si="71"/>
        <v>12000</v>
      </c>
      <c r="O410" s="210"/>
    </row>
    <row r="411" spans="1:15" ht="11.25" customHeight="1">
      <c r="A411" s="171"/>
      <c r="B411" s="172"/>
      <c r="C411" s="287" t="s">
        <v>625</v>
      </c>
      <c r="D411" s="174"/>
      <c r="E411" s="174"/>
      <c r="F411" s="175"/>
      <c r="G411" s="174"/>
      <c r="H411" s="174">
        <v>11542</v>
      </c>
      <c r="I411" s="174"/>
      <c r="J411" s="176">
        <f t="shared" si="69"/>
        <v>11542</v>
      </c>
      <c r="K411" s="174"/>
      <c r="L411" s="174"/>
      <c r="M411" s="174"/>
      <c r="N411" s="177">
        <f t="shared" si="71"/>
        <v>11542</v>
      </c>
      <c r="O411" s="210"/>
    </row>
    <row r="412" spans="1:15" ht="11.25" customHeight="1">
      <c r="A412" s="171"/>
      <c r="B412" s="172" t="s">
        <v>316</v>
      </c>
      <c r="C412" s="173" t="s">
        <v>85</v>
      </c>
      <c r="D412" s="174"/>
      <c r="E412" s="174"/>
      <c r="F412" s="175"/>
      <c r="G412" s="174"/>
      <c r="H412" s="174"/>
      <c r="I412" s="174"/>
      <c r="J412" s="176"/>
      <c r="K412" s="174"/>
      <c r="L412" s="174"/>
      <c r="M412" s="174"/>
      <c r="N412" s="177"/>
      <c r="O412" s="210"/>
    </row>
    <row r="413" spans="1:15" ht="11.25" customHeight="1">
      <c r="A413" s="171"/>
      <c r="B413" s="172"/>
      <c r="C413" s="287" t="s">
        <v>623</v>
      </c>
      <c r="D413" s="174"/>
      <c r="E413" s="174"/>
      <c r="F413" s="175"/>
      <c r="G413" s="174"/>
      <c r="H413" s="174">
        <v>20000</v>
      </c>
      <c r="I413" s="174"/>
      <c r="J413" s="176">
        <f t="shared" si="69"/>
        <v>20000</v>
      </c>
      <c r="K413" s="174"/>
      <c r="L413" s="174"/>
      <c r="M413" s="174"/>
      <c r="N413" s="177">
        <f t="shared" si="71"/>
        <v>20000</v>
      </c>
      <c r="O413" s="210"/>
    </row>
    <row r="414" spans="1:15" ht="11.25" customHeight="1">
      <c r="A414" s="171"/>
      <c r="B414" s="172"/>
      <c r="C414" s="287" t="s">
        <v>624</v>
      </c>
      <c r="D414" s="174"/>
      <c r="E414" s="174"/>
      <c r="F414" s="175"/>
      <c r="G414" s="174"/>
      <c r="H414" s="174">
        <v>20000</v>
      </c>
      <c r="I414" s="174"/>
      <c r="J414" s="176">
        <f t="shared" si="69"/>
        <v>20000</v>
      </c>
      <c r="K414" s="174"/>
      <c r="L414" s="174"/>
      <c r="M414" s="174"/>
      <c r="N414" s="177">
        <f t="shared" si="71"/>
        <v>20000</v>
      </c>
      <c r="O414" s="210"/>
    </row>
    <row r="415" spans="1:15" ht="11.25" customHeight="1">
      <c r="A415" s="171"/>
      <c r="B415" s="172"/>
      <c r="C415" s="287" t="s">
        <v>625</v>
      </c>
      <c r="D415" s="174"/>
      <c r="E415" s="174"/>
      <c r="F415" s="175"/>
      <c r="G415" s="174"/>
      <c r="H415" s="174">
        <v>17168</v>
      </c>
      <c r="I415" s="174"/>
      <c r="J415" s="176">
        <f t="shared" si="69"/>
        <v>17168</v>
      </c>
      <c r="K415" s="174"/>
      <c r="L415" s="174"/>
      <c r="M415" s="174"/>
      <c r="N415" s="177">
        <f t="shared" si="71"/>
        <v>17168</v>
      </c>
      <c r="O415" s="210"/>
    </row>
    <row r="416" spans="1:15" ht="11.25" customHeight="1">
      <c r="A416" s="171"/>
      <c r="B416" s="172" t="s">
        <v>318</v>
      </c>
      <c r="C416" s="173" t="s">
        <v>86</v>
      </c>
      <c r="D416" s="174"/>
      <c r="E416" s="174"/>
      <c r="F416" s="175"/>
      <c r="G416" s="174"/>
      <c r="H416" s="174"/>
      <c r="I416" s="174"/>
      <c r="J416" s="176"/>
      <c r="K416" s="174"/>
      <c r="L416" s="174"/>
      <c r="M416" s="174"/>
      <c r="N416" s="177"/>
      <c r="O416" s="210"/>
    </row>
    <row r="417" spans="1:15" ht="11.25" customHeight="1">
      <c r="A417" s="171"/>
      <c r="B417" s="172"/>
      <c r="C417" s="287" t="s">
        <v>623</v>
      </c>
      <c r="D417" s="174"/>
      <c r="E417" s="174"/>
      <c r="F417" s="175"/>
      <c r="G417" s="174"/>
      <c r="H417" s="174">
        <v>100</v>
      </c>
      <c r="I417" s="174"/>
      <c r="J417" s="176">
        <f t="shared" si="69"/>
        <v>100</v>
      </c>
      <c r="K417" s="174"/>
      <c r="L417" s="174"/>
      <c r="M417" s="174"/>
      <c r="N417" s="177">
        <f t="shared" si="71"/>
        <v>100</v>
      </c>
      <c r="O417" s="210"/>
    </row>
    <row r="418" spans="1:15" ht="11.25" customHeight="1">
      <c r="A418" s="171"/>
      <c r="B418" s="172"/>
      <c r="C418" s="287" t="s">
        <v>624</v>
      </c>
      <c r="D418" s="174"/>
      <c r="E418" s="174"/>
      <c r="F418" s="175"/>
      <c r="G418" s="174"/>
      <c r="H418" s="174">
        <v>100</v>
      </c>
      <c r="I418" s="174"/>
      <c r="J418" s="176">
        <f t="shared" si="69"/>
        <v>100</v>
      </c>
      <c r="K418" s="174"/>
      <c r="L418" s="174"/>
      <c r="M418" s="174"/>
      <c r="N418" s="177">
        <f t="shared" si="71"/>
        <v>100</v>
      </c>
      <c r="O418" s="210"/>
    </row>
    <row r="419" spans="1:15" ht="11.25" customHeight="1">
      <c r="A419" s="171"/>
      <c r="B419" s="172"/>
      <c r="C419" s="287" t="s">
        <v>625</v>
      </c>
      <c r="D419" s="174"/>
      <c r="E419" s="174"/>
      <c r="F419" s="175"/>
      <c r="G419" s="174"/>
      <c r="H419" s="174">
        <v>0</v>
      </c>
      <c r="I419" s="174"/>
      <c r="J419" s="176">
        <f t="shared" si="69"/>
        <v>0</v>
      </c>
      <c r="K419" s="174"/>
      <c r="L419" s="174"/>
      <c r="M419" s="174"/>
      <c r="N419" s="177">
        <f t="shared" si="71"/>
        <v>0</v>
      </c>
      <c r="O419" s="210"/>
    </row>
    <row r="420" spans="1:15" ht="11.25" customHeight="1">
      <c r="A420" s="171"/>
      <c r="B420" s="172" t="s">
        <v>320</v>
      </c>
      <c r="C420" s="173" t="s">
        <v>195</v>
      </c>
      <c r="D420" s="174"/>
      <c r="E420" s="174"/>
      <c r="F420" s="175"/>
      <c r="G420" s="174"/>
      <c r="H420" s="174"/>
      <c r="I420" s="174"/>
      <c r="J420" s="176"/>
      <c r="K420" s="174"/>
      <c r="L420" s="174"/>
      <c r="M420" s="174"/>
      <c r="N420" s="177"/>
      <c r="O420" s="210"/>
    </row>
    <row r="421" spans="1:15" ht="11.25" customHeight="1">
      <c r="A421" s="171"/>
      <c r="B421" s="172"/>
      <c r="C421" s="287" t="s">
        <v>623</v>
      </c>
      <c r="D421" s="174"/>
      <c r="E421" s="174"/>
      <c r="F421" s="175">
        <v>1000</v>
      </c>
      <c r="G421" s="174"/>
      <c r="H421" s="174">
        <v>37000</v>
      </c>
      <c r="I421" s="174"/>
      <c r="J421" s="176">
        <f t="shared" si="69"/>
        <v>38000</v>
      </c>
      <c r="K421" s="174"/>
      <c r="L421" s="174"/>
      <c r="M421" s="174"/>
      <c r="N421" s="177">
        <f t="shared" si="71"/>
        <v>38000</v>
      </c>
      <c r="O421" s="210"/>
    </row>
    <row r="422" spans="1:15" ht="11.25" customHeight="1">
      <c r="A422" s="171"/>
      <c r="B422" s="172"/>
      <c r="C422" s="287" t="s">
        <v>624</v>
      </c>
      <c r="D422" s="174"/>
      <c r="E422" s="174"/>
      <c r="F422" s="175">
        <v>1040</v>
      </c>
      <c r="G422" s="174"/>
      <c r="H422" s="174">
        <v>37053</v>
      </c>
      <c r="I422" s="174"/>
      <c r="J422" s="176">
        <f t="shared" si="69"/>
        <v>38093</v>
      </c>
      <c r="K422" s="174"/>
      <c r="L422" s="174"/>
      <c r="M422" s="174"/>
      <c r="N422" s="177">
        <f t="shared" si="71"/>
        <v>38093</v>
      </c>
      <c r="O422" s="210"/>
    </row>
    <row r="423" spans="1:15" ht="11.25" customHeight="1">
      <c r="A423" s="171"/>
      <c r="B423" s="172"/>
      <c r="C423" s="287" t="s">
        <v>625</v>
      </c>
      <c r="D423" s="174"/>
      <c r="E423" s="174"/>
      <c r="F423" s="175">
        <v>400</v>
      </c>
      <c r="G423" s="174"/>
      <c r="H423" s="174">
        <v>35605</v>
      </c>
      <c r="I423" s="174"/>
      <c r="J423" s="176">
        <f t="shared" si="69"/>
        <v>36005</v>
      </c>
      <c r="K423" s="174"/>
      <c r="L423" s="174"/>
      <c r="M423" s="174"/>
      <c r="N423" s="177">
        <f t="shared" si="71"/>
        <v>36005</v>
      </c>
      <c r="O423" s="210"/>
    </row>
    <row r="424" spans="1:15" ht="11.25" customHeight="1">
      <c r="A424" s="171"/>
      <c r="B424" s="172" t="s">
        <v>322</v>
      </c>
      <c r="C424" s="173" t="s">
        <v>196</v>
      </c>
      <c r="D424" s="174"/>
      <c r="E424" s="174"/>
      <c r="F424" s="175"/>
      <c r="G424" s="174"/>
      <c r="H424" s="174"/>
      <c r="I424" s="174"/>
      <c r="J424" s="176"/>
      <c r="K424" s="174"/>
      <c r="L424" s="174"/>
      <c r="M424" s="174"/>
      <c r="N424" s="177"/>
      <c r="O424" s="210"/>
    </row>
    <row r="425" spans="1:15" ht="11.25" customHeight="1">
      <c r="A425" s="171"/>
      <c r="B425" s="172"/>
      <c r="C425" s="287" t="s">
        <v>623</v>
      </c>
      <c r="D425" s="174"/>
      <c r="E425" s="174"/>
      <c r="F425" s="175"/>
      <c r="G425" s="174"/>
      <c r="H425" s="174">
        <v>13000</v>
      </c>
      <c r="I425" s="174"/>
      <c r="J425" s="176">
        <f t="shared" si="69"/>
        <v>13000</v>
      </c>
      <c r="K425" s="174"/>
      <c r="L425" s="174"/>
      <c r="M425" s="174"/>
      <c r="N425" s="177">
        <f t="shared" si="71"/>
        <v>13000</v>
      </c>
      <c r="O425" s="210"/>
    </row>
    <row r="426" spans="1:15" ht="11.25" customHeight="1">
      <c r="A426" s="171"/>
      <c r="B426" s="172"/>
      <c r="C426" s="287" t="s">
        <v>624</v>
      </c>
      <c r="D426" s="174"/>
      <c r="E426" s="174"/>
      <c r="F426" s="175">
        <v>0</v>
      </c>
      <c r="G426" s="174"/>
      <c r="H426" s="174">
        <v>13000</v>
      </c>
      <c r="I426" s="174"/>
      <c r="J426" s="176">
        <f t="shared" si="69"/>
        <v>13000</v>
      </c>
      <c r="K426" s="174"/>
      <c r="L426" s="174"/>
      <c r="M426" s="174"/>
      <c r="N426" s="177">
        <f t="shared" si="71"/>
        <v>13000</v>
      </c>
      <c r="O426" s="210"/>
    </row>
    <row r="427" spans="1:15" ht="11.25" customHeight="1">
      <c r="A427" s="171"/>
      <c r="B427" s="172"/>
      <c r="C427" s="287" t="s">
        <v>625</v>
      </c>
      <c r="D427" s="174"/>
      <c r="E427" s="174"/>
      <c r="F427" s="175">
        <v>0</v>
      </c>
      <c r="G427" s="174"/>
      <c r="H427" s="174">
        <v>6808</v>
      </c>
      <c r="I427" s="174"/>
      <c r="J427" s="176">
        <f t="shared" si="69"/>
        <v>6808</v>
      </c>
      <c r="K427" s="174"/>
      <c r="L427" s="174"/>
      <c r="M427" s="174"/>
      <c r="N427" s="177">
        <f t="shared" si="71"/>
        <v>6808</v>
      </c>
      <c r="O427" s="210"/>
    </row>
    <row r="428" spans="1:15" ht="11.25" customHeight="1">
      <c r="A428" s="171"/>
      <c r="B428" s="172" t="s">
        <v>346</v>
      </c>
      <c r="C428" s="173" t="s">
        <v>197</v>
      </c>
      <c r="D428" s="174"/>
      <c r="E428" s="174"/>
      <c r="F428" s="175"/>
      <c r="G428" s="174"/>
      <c r="H428" s="174"/>
      <c r="I428" s="174"/>
      <c r="J428" s="176"/>
      <c r="K428" s="174"/>
      <c r="L428" s="174"/>
      <c r="M428" s="174"/>
      <c r="N428" s="177"/>
      <c r="O428" s="210"/>
    </row>
    <row r="429" spans="1:15" ht="11.25" customHeight="1">
      <c r="A429" s="171"/>
      <c r="B429" s="172"/>
      <c r="C429" s="287" t="s">
        <v>623</v>
      </c>
      <c r="D429" s="174"/>
      <c r="E429" s="174"/>
      <c r="F429" s="175"/>
      <c r="G429" s="174"/>
      <c r="H429" s="174">
        <v>7500</v>
      </c>
      <c r="I429" s="174"/>
      <c r="J429" s="176">
        <f t="shared" si="69"/>
        <v>7500</v>
      </c>
      <c r="K429" s="174"/>
      <c r="L429" s="174"/>
      <c r="M429" s="174"/>
      <c r="N429" s="177">
        <f t="shared" si="71"/>
        <v>7500</v>
      </c>
      <c r="O429" s="210"/>
    </row>
    <row r="430" spans="1:15" ht="11.25" customHeight="1">
      <c r="A430" s="171"/>
      <c r="B430" s="172"/>
      <c r="C430" s="287" t="s">
        <v>624</v>
      </c>
      <c r="D430" s="174"/>
      <c r="E430" s="174"/>
      <c r="F430" s="175"/>
      <c r="G430" s="174"/>
      <c r="H430" s="174">
        <v>7500</v>
      </c>
      <c r="I430" s="174"/>
      <c r="J430" s="176">
        <f t="shared" si="69"/>
        <v>7500</v>
      </c>
      <c r="K430" s="174"/>
      <c r="L430" s="174"/>
      <c r="M430" s="174"/>
      <c r="N430" s="177">
        <f t="shared" si="71"/>
        <v>7500</v>
      </c>
      <c r="O430" s="210"/>
    </row>
    <row r="431" spans="1:15" ht="11.25" customHeight="1">
      <c r="A431" s="171"/>
      <c r="B431" s="172"/>
      <c r="C431" s="287" t="s">
        <v>625</v>
      </c>
      <c r="D431" s="174"/>
      <c r="E431" s="174"/>
      <c r="F431" s="175"/>
      <c r="G431" s="174"/>
      <c r="H431" s="174">
        <v>6224</v>
      </c>
      <c r="I431" s="174"/>
      <c r="J431" s="176">
        <f t="shared" si="69"/>
        <v>6224</v>
      </c>
      <c r="K431" s="174"/>
      <c r="L431" s="174"/>
      <c r="M431" s="174"/>
      <c r="N431" s="177">
        <f t="shared" si="71"/>
        <v>6224</v>
      </c>
      <c r="O431" s="210"/>
    </row>
    <row r="432" spans="1:15" ht="11.25" customHeight="1">
      <c r="A432" s="171"/>
      <c r="B432" s="172" t="s">
        <v>347</v>
      </c>
      <c r="C432" s="173" t="s">
        <v>503</v>
      </c>
      <c r="D432" s="174"/>
      <c r="E432" s="174"/>
      <c r="F432" s="175"/>
      <c r="G432" s="174"/>
      <c r="H432" s="174"/>
      <c r="I432" s="174"/>
      <c r="J432" s="176"/>
      <c r="K432" s="174"/>
      <c r="L432" s="174"/>
      <c r="M432" s="174"/>
      <c r="N432" s="177"/>
      <c r="O432" s="210"/>
    </row>
    <row r="433" spans="1:15" ht="11.25" customHeight="1">
      <c r="A433" s="171"/>
      <c r="B433" s="172"/>
      <c r="C433" s="287" t="s">
        <v>623</v>
      </c>
      <c r="D433" s="174"/>
      <c r="E433" s="174"/>
      <c r="F433" s="175"/>
      <c r="G433" s="174"/>
      <c r="H433" s="174">
        <v>600</v>
      </c>
      <c r="I433" s="174"/>
      <c r="J433" s="176">
        <f t="shared" si="69"/>
        <v>600</v>
      </c>
      <c r="K433" s="174"/>
      <c r="L433" s="174"/>
      <c r="M433" s="174"/>
      <c r="N433" s="177">
        <f t="shared" si="71"/>
        <v>600</v>
      </c>
      <c r="O433" s="210"/>
    </row>
    <row r="434" spans="1:15" ht="11.25" customHeight="1">
      <c r="A434" s="171"/>
      <c r="B434" s="172"/>
      <c r="C434" s="287" t="s">
        <v>624</v>
      </c>
      <c r="D434" s="174"/>
      <c r="E434" s="174"/>
      <c r="F434" s="175"/>
      <c r="G434" s="174"/>
      <c r="H434" s="174">
        <v>600</v>
      </c>
      <c r="I434" s="174"/>
      <c r="J434" s="176">
        <f t="shared" si="69"/>
        <v>600</v>
      </c>
      <c r="K434" s="174"/>
      <c r="L434" s="174"/>
      <c r="M434" s="174"/>
      <c r="N434" s="177">
        <f t="shared" si="71"/>
        <v>600</v>
      </c>
      <c r="O434" s="210"/>
    </row>
    <row r="435" spans="1:15" ht="11.25" customHeight="1">
      <c r="A435" s="171"/>
      <c r="B435" s="172"/>
      <c r="C435" s="287" t="s">
        <v>625</v>
      </c>
      <c r="D435" s="174"/>
      <c r="E435" s="174"/>
      <c r="F435" s="175"/>
      <c r="G435" s="174"/>
      <c r="H435" s="174">
        <v>0</v>
      </c>
      <c r="I435" s="174"/>
      <c r="J435" s="176">
        <f t="shared" si="69"/>
        <v>0</v>
      </c>
      <c r="K435" s="174"/>
      <c r="L435" s="174"/>
      <c r="M435" s="174"/>
      <c r="N435" s="177">
        <f t="shared" si="71"/>
        <v>0</v>
      </c>
      <c r="O435" s="210"/>
    </row>
    <row r="436" spans="1:15" ht="11.25" customHeight="1">
      <c r="A436" s="171"/>
      <c r="B436" s="172" t="s">
        <v>349</v>
      </c>
      <c r="C436" s="173" t="s">
        <v>820</v>
      </c>
      <c r="D436" s="174"/>
      <c r="E436" s="174"/>
      <c r="F436" s="175"/>
      <c r="G436" s="174"/>
      <c r="H436" s="174"/>
      <c r="I436" s="174"/>
      <c r="J436" s="176"/>
      <c r="K436" s="174"/>
      <c r="L436" s="174"/>
      <c r="M436" s="174"/>
      <c r="N436" s="177"/>
      <c r="O436" s="210"/>
    </row>
    <row r="437" spans="1:15" ht="11.25" customHeight="1">
      <c r="A437" s="171"/>
      <c r="B437" s="172"/>
      <c r="C437" s="287" t="s">
        <v>623</v>
      </c>
      <c r="D437" s="174"/>
      <c r="E437" s="174"/>
      <c r="F437" s="175"/>
      <c r="G437" s="174"/>
      <c r="H437" s="174">
        <v>60000</v>
      </c>
      <c r="I437" s="174"/>
      <c r="J437" s="176">
        <f t="shared" si="69"/>
        <v>60000</v>
      </c>
      <c r="K437" s="174"/>
      <c r="L437" s="174"/>
      <c r="M437" s="174"/>
      <c r="N437" s="177">
        <f t="shared" si="71"/>
        <v>60000</v>
      </c>
      <c r="O437" s="210"/>
    </row>
    <row r="438" spans="1:15" ht="11.25" customHeight="1">
      <c r="A438" s="171"/>
      <c r="B438" s="172"/>
      <c r="C438" s="287" t="s">
        <v>624</v>
      </c>
      <c r="D438" s="174"/>
      <c r="E438" s="174"/>
      <c r="F438" s="175"/>
      <c r="G438" s="174"/>
      <c r="H438" s="174">
        <v>60000</v>
      </c>
      <c r="I438" s="174"/>
      <c r="J438" s="176">
        <f t="shared" si="69"/>
        <v>60000</v>
      </c>
      <c r="K438" s="174"/>
      <c r="L438" s="174"/>
      <c r="M438" s="174"/>
      <c r="N438" s="177">
        <f t="shared" si="71"/>
        <v>60000</v>
      </c>
      <c r="O438" s="210"/>
    </row>
    <row r="439" spans="1:15" ht="11.25" customHeight="1">
      <c r="A439" s="171"/>
      <c r="B439" s="172"/>
      <c r="C439" s="287" t="s">
        <v>625</v>
      </c>
      <c r="D439" s="174"/>
      <c r="E439" s="174"/>
      <c r="F439" s="175"/>
      <c r="G439" s="174"/>
      <c r="H439" s="174">
        <v>37317</v>
      </c>
      <c r="I439" s="174"/>
      <c r="J439" s="176">
        <f t="shared" si="69"/>
        <v>37317</v>
      </c>
      <c r="K439" s="174"/>
      <c r="L439" s="174"/>
      <c r="M439" s="174"/>
      <c r="N439" s="177">
        <f t="shared" si="71"/>
        <v>37317</v>
      </c>
      <c r="O439" s="210"/>
    </row>
    <row r="440" spans="1:15" ht="11.25" customHeight="1">
      <c r="A440" s="171"/>
      <c r="B440" s="172" t="s">
        <v>350</v>
      </c>
      <c r="C440" s="173" t="s">
        <v>2</v>
      </c>
      <c r="D440" s="174"/>
      <c r="E440" s="174"/>
      <c r="F440" s="175"/>
      <c r="G440" s="174"/>
      <c r="H440" s="174"/>
      <c r="I440" s="174"/>
      <c r="J440" s="176"/>
      <c r="K440" s="174"/>
      <c r="L440" s="174"/>
      <c r="M440" s="174"/>
      <c r="N440" s="177"/>
      <c r="O440" s="210"/>
    </row>
    <row r="441" spans="1:15" ht="11.25" customHeight="1">
      <c r="A441" s="171"/>
      <c r="B441" s="172"/>
      <c r="C441" s="287" t="s">
        <v>623</v>
      </c>
      <c r="D441" s="174"/>
      <c r="E441" s="174"/>
      <c r="F441" s="175"/>
      <c r="G441" s="174"/>
      <c r="H441" s="174">
        <v>2000</v>
      </c>
      <c r="I441" s="174"/>
      <c r="J441" s="176">
        <f t="shared" si="69"/>
        <v>2000</v>
      </c>
      <c r="K441" s="174"/>
      <c r="L441" s="174"/>
      <c r="M441" s="174"/>
      <c r="N441" s="177">
        <f t="shared" si="71"/>
        <v>2000</v>
      </c>
      <c r="O441" s="210"/>
    </row>
    <row r="442" spans="1:15" ht="11.25" customHeight="1">
      <c r="A442" s="171"/>
      <c r="B442" s="172"/>
      <c r="C442" s="287" t="s">
        <v>624</v>
      </c>
      <c r="D442" s="174"/>
      <c r="E442" s="174"/>
      <c r="F442" s="175"/>
      <c r="G442" s="174"/>
      <c r="H442" s="174">
        <v>2000</v>
      </c>
      <c r="I442" s="174"/>
      <c r="J442" s="176">
        <f t="shared" si="69"/>
        <v>2000</v>
      </c>
      <c r="K442" s="174"/>
      <c r="L442" s="174"/>
      <c r="M442" s="174"/>
      <c r="N442" s="177">
        <f t="shared" si="71"/>
        <v>2000</v>
      </c>
      <c r="O442" s="210"/>
    </row>
    <row r="443" spans="1:15" ht="11.25" customHeight="1">
      <c r="A443" s="171"/>
      <c r="B443" s="172"/>
      <c r="C443" s="287" t="s">
        <v>625</v>
      </c>
      <c r="D443" s="174"/>
      <c r="E443" s="174"/>
      <c r="F443" s="175"/>
      <c r="G443" s="174"/>
      <c r="H443" s="174">
        <v>380</v>
      </c>
      <c r="I443" s="174"/>
      <c r="J443" s="176">
        <f t="shared" si="69"/>
        <v>380</v>
      </c>
      <c r="K443" s="174"/>
      <c r="L443" s="174"/>
      <c r="M443" s="174"/>
      <c r="N443" s="177">
        <f t="shared" si="71"/>
        <v>380</v>
      </c>
      <c r="O443" s="210"/>
    </row>
    <row r="444" spans="1:15" ht="11.25" customHeight="1">
      <c r="A444" s="171"/>
      <c r="B444" s="172" t="s">
        <v>351</v>
      </c>
      <c r="C444" s="173" t="s">
        <v>498</v>
      </c>
      <c r="D444" s="174"/>
      <c r="E444" s="174"/>
      <c r="F444" s="175"/>
      <c r="G444" s="174"/>
      <c r="H444" s="174"/>
      <c r="I444" s="174"/>
      <c r="J444" s="176"/>
      <c r="K444" s="174"/>
      <c r="L444" s="174"/>
      <c r="M444" s="174"/>
      <c r="N444" s="177"/>
      <c r="O444" s="210"/>
    </row>
    <row r="445" spans="1:15" ht="11.25" customHeight="1">
      <c r="A445" s="171"/>
      <c r="B445" s="172"/>
      <c r="C445" s="287" t="s">
        <v>623</v>
      </c>
      <c r="D445" s="174"/>
      <c r="E445" s="174"/>
      <c r="F445" s="175"/>
      <c r="G445" s="174"/>
      <c r="H445" s="174">
        <v>4500</v>
      </c>
      <c r="I445" s="174"/>
      <c r="J445" s="176">
        <f t="shared" si="69"/>
        <v>4500</v>
      </c>
      <c r="K445" s="174"/>
      <c r="L445" s="174"/>
      <c r="M445" s="174"/>
      <c r="N445" s="177">
        <f t="shared" si="71"/>
        <v>4500</v>
      </c>
      <c r="O445" s="210"/>
    </row>
    <row r="446" spans="1:15" ht="11.25" customHeight="1">
      <c r="A446" s="171"/>
      <c r="B446" s="172"/>
      <c r="C446" s="287" t="s">
        <v>624</v>
      </c>
      <c r="D446" s="174"/>
      <c r="E446" s="174"/>
      <c r="F446" s="175"/>
      <c r="G446" s="174"/>
      <c r="H446" s="174">
        <v>4100</v>
      </c>
      <c r="I446" s="174"/>
      <c r="J446" s="176">
        <f t="shared" si="69"/>
        <v>4100</v>
      </c>
      <c r="K446" s="174"/>
      <c r="L446" s="174"/>
      <c r="M446" s="174"/>
      <c r="N446" s="177">
        <f t="shared" si="71"/>
        <v>4100</v>
      </c>
      <c r="O446" s="210"/>
    </row>
    <row r="447" spans="1:15" ht="11.25" customHeight="1">
      <c r="A447" s="171"/>
      <c r="B447" s="172"/>
      <c r="C447" s="287" t="s">
        <v>625</v>
      </c>
      <c r="D447" s="174"/>
      <c r="E447" s="174"/>
      <c r="F447" s="175"/>
      <c r="G447" s="174"/>
      <c r="H447" s="174">
        <v>3520</v>
      </c>
      <c r="I447" s="174"/>
      <c r="J447" s="176">
        <f t="shared" si="69"/>
        <v>3520</v>
      </c>
      <c r="K447" s="174"/>
      <c r="L447" s="174"/>
      <c r="M447" s="174"/>
      <c r="N447" s="177">
        <f t="shared" si="71"/>
        <v>3520</v>
      </c>
      <c r="O447" s="210"/>
    </row>
    <row r="448" spans="1:15" ht="11.25" customHeight="1">
      <c r="A448" s="171"/>
      <c r="B448" s="172" t="s">
        <v>415</v>
      </c>
      <c r="C448" s="173" t="s">
        <v>504</v>
      </c>
      <c r="D448" s="174"/>
      <c r="E448" s="174"/>
      <c r="F448" s="175"/>
      <c r="G448" s="174"/>
      <c r="H448" s="174"/>
      <c r="I448" s="174"/>
      <c r="J448" s="176"/>
      <c r="K448" s="174"/>
      <c r="L448" s="174"/>
      <c r="M448" s="174"/>
      <c r="N448" s="177"/>
      <c r="O448" s="210"/>
    </row>
    <row r="449" spans="1:15" ht="11.25" customHeight="1">
      <c r="A449" s="171"/>
      <c r="B449" s="172"/>
      <c r="C449" s="287" t="s">
        <v>623</v>
      </c>
      <c r="D449" s="174"/>
      <c r="E449" s="174"/>
      <c r="F449" s="175"/>
      <c r="G449" s="174"/>
      <c r="H449" s="174">
        <v>500</v>
      </c>
      <c r="I449" s="174"/>
      <c r="J449" s="176">
        <f t="shared" si="69"/>
        <v>500</v>
      </c>
      <c r="K449" s="174"/>
      <c r="L449" s="174"/>
      <c r="M449" s="174"/>
      <c r="N449" s="177">
        <f t="shared" si="71"/>
        <v>500</v>
      </c>
      <c r="O449" s="210"/>
    </row>
    <row r="450" spans="1:15" ht="11.25" customHeight="1">
      <c r="A450" s="171"/>
      <c r="B450" s="172"/>
      <c r="C450" s="287" t="s">
        <v>624</v>
      </c>
      <c r="D450" s="174"/>
      <c r="E450" s="174"/>
      <c r="F450" s="175"/>
      <c r="G450" s="174"/>
      <c r="H450" s="174">
        <v>500</v>
      </c>
      <c r="I450" s="174"/>
      <c r="J450" s="176">
        <f t="shared" si="69"/>
        <v>500</v>
      </c>
      <c r="K450" s="174"/>
      <c r="L450" s="174"/>
      <c r="M450" s="174"/>
      <c r="N450" s="177">
        <f t="shared" si="71"/>
        <v>500</v>
      </c>
      <c r="O450" s="210"/>
    </row>
    <row r="451" spans="1:15" ht="11.25" customHeight="1">
      <c r="A451" s="171"/>
      <c r="B451" s="172"/>
      <c r="C451" s="287" t="s">
        <v>625</v>
      </c>
      <c r="D451" s="174"/>
      <c r="E451" s="174"/>
      <c r="F451" s="175"/>
      <c r="G451" s="174"/>
      <c r="H451" s="174">
        <v>280</v>
      </c>
      <c r="I451" s="174"/>
      <c r="J451" s="176">
        <f t="shared" si="69"/>
        <v>280</v>
      </c>
      <c r="K451" s="174"/>
      <c r="L451" s="174"/>
      <c r="M451" s="174"/>
      <c r="N451" s="177">
        <f t="shared" si="71"/>
        <v>280</v>
      </c>
      <c r="O451" s="210"/>
    </row>
    <row r="452" spans="1:15" ht="11.25" customHeight="1">
      <c r="A452" s="171"/>
      <c r="B452" s="172" t="s">
        <v>418</v>
      </c>
      <c r="C452" s="173" t="s">
        <v>501</v>
      </c>
      <c r="D452" s="174"/>
      <c r="E452" s="174"/>
      <c r="F452" s="175"/>
      <c r="G452" s="174"/>
      <c r="H452" s="174"/>
      <c r="I452" s="174"/>
      <c r="J452" s="176"/>
      <c r="K452" s="174"/>
      <c r="L452" s="174"/>
      <c r="M452" s="174"/>
      <c r="N452" s="177"/>
      <c r="O452" s="210"/>
    </row>
    <row r="453" spans="1:15" ht="11.25" customHeight="1">
      <c r="A453" s="171"/>
      <c r="B453" s="172"/>
      <c r="C453" s="287" t="s">
        <v>623</v>
      </c>
      <c r="D453" s="174"/>
      <c r="E453" s="174"/>
      <c r="F453" s="175"/>
      <c r="G453" s="174"/>
      <c r="H453" s="174">
        <v>700</v>
      </c>
      <c r="I453" s="174"/>
      <c r="J453" s="176">
        <f t="shared" si="69"/>
        <v>700</v>
      </c>
      <c r="K453" s="174"/>
      <c r="L453" s="174"/>
      <c r="M453" s="174"/>
      <c r="N453" s="177">
        <f t="shared" si="71"/>
        <v>700</v>
      </c>
      <c r="O453" s="210"/>
    </row>
    <row r="454" spans="1:15" ht="11.25" customHeight="1">
      <c r="A454" s="171"/>
      <c r="B454" s="172"/>
      <c r="C454" s="287" t="s">
        <v>624</v>
      </c>
      <c r="D454" s="174"/>
      <c r="E454" s="174"/>
      <c r="F454" s="175"/>
      <c r="G454" s="174"/>
      <c r="H454" s="174">
        <v>600</v>
      </c>
      <c r="I454" s="174"/>
      <c r="J454" s="176">
        <f t="shared" si="69"/>
        <v>600</v>
      </c>
      <c r="K454" s="174"/>
      <c r="L454" s="174"/>
      <c r="M454" s="174"/>
      <c r="N454" s="177">
        <f t="shared" si="71"/>
        <v>600</v>
      </c>
      <c r="O454" s="210"/>
    </row>
    <row r="455" spans="1:15" ht="11.25" customHeight="1">
      <c r="A455" s="171"/>
      <c r="B455" s="172"/>
      <c r="C455" s="287" t="s">
        <v>625</v>
      </c>
      <c r="D455" s="174"/>
      <c r="E455" s="174"/>
      <c r="F455" s="175"/>
      <c r="G455" s="174">
        <v>0</v>
      </c>
      <c r="H455" s="174">
        <v>554</v>
      </c>
      <c r="I455" s="174"/>
      <c r="J455" s="176">
        <f t="shared" si="69"/>
        <v>554</v>
      </c>
      <c r="K455" s="174"/>
      <c r="L455" s="174"/>
      <c r="M455" s="174"/>
      <c r="N455" s="177">
        <f t="shared" si="71"/>
        <v>554</v>
      </c>
      <c r="O455" s="210"/>
    </row>
    <row r="456" spans="1:15" ht="11.25" customHeight="1">
      <c r="A456" s="171"/>
      <c r="B456" s="172" t="s">
        <v>425</v>
      </c>
      <c r="C456" s="173" t="s">
        <v>198</v>
      </c>
      <c r="D456" s="174"/>
      <c r="E456" s="174"/>
      <c r="F456" s="175"/>
      <c r="G456" s="174"/>
      <c r="H456" s="174"/>
      <c r="I456" s="174"/>
      <c r="J456" s="176"/>
      <c r="K456" s="174"/>
      <c r="L456" s="174"/>
      <c r="M456" s="174"/>
      <c r="N456" s="177"/>
      <c r="O456" s="210"/>
    </row>
    <row r="457" spans="1:15" ht="11.25" customHeight="1">
      <c r="A457" s="171"/>
      <c r="B457" s="172"/>
      <c r="C457" s="287" t="s">
        <v>623</v>
      </c>
      <c r="D457" s="174"/>
      <c r="E457" s="174"/>
      <c r="F457" s="175"/>
      <c r="G457" s="174"/>
      <c r="H457" s="174">
        <v>4000</v>
      </c>
      <c r="I457" s="174"/>
      <c r="J457" s="176">
        <f t="shared" si="69"/>
        <v>4000</v>
      </c>
      <c r="K457" s="174"/>
      <c r="L457" s="174"/>
      <c r="M457" s="174"/>
      <c r="N457" s="177">
        <f t="shared" si="71"/>
        <v>4000</v>
      </c>
      <c r="O457" s="210"/>
    </row>
    <row r="458" spans="1:15" ht="11.25" customHeight="1">
      <c r="A458" s="171"/>
      <c r="B458" s="172"/>
      <c r="C458" s="287" t="s">
        <v>624</v>
      </c>
      <c r="D458" s="174"/>
      <c r="E458" s="174"/>
      <c r="F458" s="175"/>
      <c r="G458" s="174"/>
      <c r="H458" s="174">
        <v>4000</v>
      </c>
      <c r="I458" s="174"/>
      <c r="J458" s="176">
        <f t="shared" si="69"/>
        <v>4000</v>
      </c>
      <c r="K458" s="174"/>
      <c r="L458" s="174"/>
      <c r="M458" s="174"/>
      <c r="N458" s="177">
        <f t="shared" si="71"/>
        <v>4000</v>
      </c>
      <c r="O458" s="210"/>
    </row>
    <row r="459" spans="1:15" ht="11.25" customHeight="1">
      <c r="A459" s="171"/>
      <c r="B459" s="172"/>
      <c r="C459" s="287" t="s">
        <v>625</v>
      </c>
      <c r="D459" s="174"/>
      <c r="E459" s="174"/>
      <c r="F459" s="175"/>
      <c r="G459" s="174"/>
      <c r="H459" s="174">
        <v>3118</v>
      </c>
      <c r="I459" s="174"/>
      <c r="J459" s="176">
        <f t="shared" si="69"/>
        <v>3118</v>
      </c>
      <c r="K459" s="174"/>
      <c r="L459" s="174"/>
      <c r="M459" s="174"/>
      <c r="N459" s="177">
        <f t="shared" si="71"/>
        <v>3118</v>
      </c>
      <c r="O459" s="210"/>
    </row>
    <row r="460" spans="1:15" ht="11.25" customHeight="1">
      <c r="A460" s="171"/>
      <c r="B460" s="172" t="s">
        <v>426</v>
      </c>
      <c r="C460" s="173" t="s">
        <v>496</v>
      </c>
      <c r="D460" s="174"/>
      <c r="E460" s="174"/>
      <c r="F460" s="175"/>
      <c r="G460" s="174"/>
      <c r="H460" s="174"/>
      <c r="I460" s="174"/>
      <c r="J460" s="176"/>
      <c r="K460" s="174"/>
      <c r="L460" s="174"/>
      <c r="M460" s="174"/>
      <c r="N460" s="177"/>
      <c r="O460" s="210"/>
    </row>
    <row r="461" spans="1:15" ht="11.25" customHeight="1">
      <c r="A461" s="171"/>
      <c r="B461" s="172"/>
      <c r="C461" s="287" t="s">
        <v>623</v>
      </c>
      <c r="D461" s="174"/>
      <c r="E461" s="174"/>
      <c r="F461" s="175"/>
      <c r="G461" s="174"/>
      <c r="H461" s="174">
        <v>100</v>
      </c>
      <c r="I461" s="174"/>
      <c r="J461" s="176">
        <f t="shared" si="69"/>
        <v>100</v>
      </c>
      <c r="K461" s="174"/>
      <c r="L461" s="174"/>
      <c r="M461" s="174"/>
      <c r="N461" s="177">
        <f t="shared" si="71"/>
        <v>100</v>
      </c>
      <c r="O461" s="210"/>
    </row>
    <row r="462" spans="1:15" ht="11.25" customHeight="1">
      <c r="A462" s="171"/>
      <c r="B462" s="172"/>
      <c r="C462" s="287" t="s">
        <v>624</v>
      </c>
      <c r="D462" s="174"/>
      <c r="E462" s="174"/>
      <c r="F462" s="175"/>
      <c r="G462" s="174"/>
      <c r="H462" s="174">
        <v>100</v>
      </c>
      <c r="I462" s="174"/>
      <c r="J462" s="176">
        <f t="shared" si="69"/>
        <v>100</v>
      </c>
      <c r="K462" s="174"/>
      <c r="L462" s="174"/>
      <c r="M462" s="174"/>
      <c r="N462" s="177">
        <f t="shared" si="71"/>
        <v>100</v>
      </c>
      <c r="O462" s="210"/>
    </row>
    <row r="463" spans="1:15" ht="11.25" customHeight="1" thickBot="1">
      <c r="A463" s="158"/>
      <c r="B463" s="178"/>
      <c r="C463" s="299" t="s">
        <v>625</v>
      </c>
      <c r="D463" s="160"/>
      <c r="E463" s="160"/>
      <c r="F463" s="161"/>
      <c r="G463" s="160"/>
      <c r="H463" s="160">
        <v>0</v>
      </c>
      <c r="I463" s="160"/>
      <c r="J463" s="156">
        <f t="shared" si="69"/>
        <v>0</v>
      </c>
      <c r="K463" s="160"/>
      <c r="L463" s="160"/>
      <c r="M463" s="160"/>
      <c r="N463" s="157">
        <f t="shared" si="71"/>
        <v>0</v>
      </c>
      <c r="O463" s="208"/>
    </row>
    <row r="464" spans="1:15" ht="12.75" customHeight="1">
      <c r="A464" s="186">
        <v>33</v>
      </c>
      <c r="B464" s="187"/>
      <c r="C464" s="188" t="s">
        <v>199</v>
      </c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88"/>
      <c r="O464" s="212"/>
    </row>
    <row r="465" spans="1:15" ht="12.75" customHeight="1">
      <c r="A465" s="171"/>
      <c r="B465" s="172"/>
      <c r="C465" s="287" t="s">
        <v>623</v>
      </c>
      <c r="D465" s="176">
        <f aca="true" t="shared" si="72" ref="D465:I465">D469+D473</f>
        <v>0</v>
      </c>
      <c r="E465" s="176">
        <f t="shared" si="72"/>
        <v>0</v>
      </c>
      <c r="F465" s="176">
        <f t="shared" si="72"/>
        <v>0</v>
      </c>
      <c r="G465" s="176">
        <f t="shared" si="72"/>
        <v>0</v>
      </c>
      <c r="H465" s="176">
        <f t="shared" si="72"/>
        <v>1300</v>
      </c>
      <c r="I465" s="176">
        <f t="shared" si="72"/>
        <v>0</v>
      </c>
      <c r="J465" s="176">
        <f>SUM(D465:I465)</f>
        <v>1300</v>
      </c>
      <c r="K465" s="176">
        <f>K469+K473</f>
        <v>0</v>
      </c>
      <c r="L465" s="176">
        <f>L469+L473</f>
        <v>0</v>
      </c>
      <c r="M465" s="176">
        <f>M469+M473</f>
        <v>0</v>
      </c>
      <c r="N465" s="177">
        <f>SUM(J465:M465)</f>
        <v>1300</v>
      </c>
      <c r="O465" s="210"/>
    </row>
    <row r="466" spans="1:15" ht="12.75" customHeight="1">
      <c r="A466" s="171"/>
      <c r="B466" s="172"/>
      <c r="C466" s="287" t="s">
        <v>624</v>
      </c>
      <c r="D466" s="176">
        <f aca="true" t="shared" si="73" ref="D466:I467">D470+D474</f>
        <v>0</v>
      </c>
      <c r="E466" s="176">
        <f t="shared" si="73"/>
        <v>0</v>
      </c>
      <c r="F466" s="176">
        <f t="shared" si="73"/>
        <v>65</v>
      </c>
      <c r="G466" s="176">
        <f t="shared" si="73"/>
        <v>0</v>
      </c>
      <c r="H466" s="176">
        <f t="shared" si="73"/>
        <v>1024</v>
      </c>
      <c r="I466" s="176">
        <f t="shared" si="73"/>
        <v>0</v>
      </c>
      <c r="J466" s="176">
        <f>SUM(D466:I466)</f>
        <v>1089</v>
      </c>
      <c r="K466" s="176">
        <f aca="true" t="shared" si="74" ref="K466:M467">K470+K474</f>
        <v>0</v>
      </c>
      <c r="L466" s="176">
        <f t="shared" si="74"/>
        <v>0</v>
      </c>
      <c r="M466" s="176">
        <f t="shared" si="74"/>
        <v>0</v>
      </c>
      <c r="N466" s="177">
        <f>SUM(J466:M466)</f>
        <v>1089</v>
      </c>
      <c r="O466" s="210"/>
    </row>
    <row r="467" spans="1:15" ht="12.75" customHeight="1">
      <c r="A467" s="171"/>
      <c r="B467" s="172"/>
      <c r="C467" s="287" t="s">
        <v>625</v>
      </c>
      <c r="D467" s="176">
        <f t="shared" si="73"/>
        <v>0</v>
      </c>
      <c r="E467" s="176">
        <f t="shared" si="73"/>
        <v>0</v>
      </c>
      <c r="F467" s="176">
        <f t="shared" si="73"/>
        <v>4</v>
      </c>
      <c r="G467" s="176">
        <f t="shared" si="73"/>
        <v>0</v>
      </c>
      <c r="H467" s="176">
        <f t="shared" si="73"/>
        <v>561</v>
      </c>
      <c r="I467" s="176">
        <f t="shared" si="73"/>
        <v>0</v>
      </c>
      <c r="J467" s="176">
        <f>SUM(D467:I467)</f>
        <v>565</v>
      </c>
      <c r="K467" s="176">
        <f t="shared" si="74"/>
        <v>0</v>
      </c>
      <c r="L467" s="176">
        <f t="shared" si="74"/>
        <v>0</v>
      </c>
      <c r="M467" s="176">
        <f t="shared" si="74"/>
        <v>0</v>
      </c>
      <c r="N467" s="177">
        <f>SUM(J467:M467)</f>
        <v>565</v>
      </c>
      <c r="O467" s="210"/>
    </row>
    <row r="468" spans="1:15" ht="11.25" customHeight="1">
      <c r="A468" s="180"/>
      <c r="B468" s="172" t="s">
        <v>312</v>
      </c>
      <c r="C468" s="173" t="s">
        <v>499</v>
      </c>
      <c r="D468" s="174"/>
      <c r="E468" s="174"/>
      <c r="F468" s="175"/>
      <c r="G468" s="174"/>
      <c r="H468" s="174"/>
      <c r="I468" s="174"/>
      <c r="J468" s="176"/>
      <c r="K468" s="174"/>
      <c r="L468" s="174"/>
      <c r="M468" s="174"/>
      <c r="N468" s="177"/>
      <c r="O468" s="215"/>
    </row>
    <row r="469" spans="1:15" ht="11.25" customHeight="1">
      <c r="A469" s="180"/>
      <c r="B469" s="172"/>
      <c r="C469" s="287" t="s">
        <v>623</v>
      </c>
      <c r="D469" s="174"/>
      <c r="E469" s="174"/>
      <c r="F469" s="175"/>
      <c r="G469" s="174"/>
      <c r="H469" s="174">
        <v>1000</v>
      </c>
      <c r="I469" s="174"/>
      <c r="J469" s="176">
        <f>SUM(D469:I469)</f>
        <v>1000</v>
      </c>
      <c r="K469" s="174"/>
      <c r="L469" s="174"/>
      <c r="M469" s="174"/>
      <c r="N469" s="177">
        <f>SUM(J469:M469)</f>
        <v>1000</v>
      </c>
      <c r="O469" s="215"/>
    </row>
    <row r="470" spans="1:15" ht="11.25" customHeight="1">
      <c r="A470" s="180"/>
      <c r="B470" s="172"/>
      <c r="C470" s="287" t="s">
        <v>624</v>
      </c>
      <c r="D470" s="174"/>
      <c r="E470" s="174"/>
      <c r="F470" s="175"/>
      <c r="G470" s="174"/>
      <c r="H470" s="174">
        <v>767</v>
      </c>
      <c r="I470" s="174"/>
      <c r="J470" s="176">
        <f>SUM(D470:I470)</f>
        <v>767</v>
      </c>
      <c r="K470" s="174"/>
      <c r="L470" s="174"/>
      <c r="M470" s="174"/>
      <c r="N470" s="177">
        <f>SUM(J470:M470)</f>
        <v>767</v>
      </c>
      <c r="O470" s="215"/>
    </row>
    <row r="471" spans="1:15" ht="11.25" customHeight="1">
      <c r="A471" s="180"/>
      <c r="B471" s="172"/>
      <c r="C471" s="287" t="s">
        <v>625</v>
      </c>
      <c r="D471" s="174"/>
      <c r="E471" s="174"/>
      <c r="F471" s="175"/>
      <c r="G471" s="174"/>
      <c r="H471" s="174">
        <v>333</v>
      </c>
      <c r="I471" s="174"/>
      <c r="J471" s="176">
        <f>SUM(D471:I471)</f>
        <v>333</v>
      </c>
      <c r="K471" s="174"/>
      <c r="L471" s="174"/>
      <c r="M471" s="174"/>
      <c r="N471" s="177">
        <f>SUM(J471:M471)</f>
        <v>333</v>
      </c>
      <c r="O471" s="215"/>
    </row>
    <row r="472" spans="1:15" ht="11.25" customHeight="1">
      <c r="A472" s="180"/>
      <c r="B472" s="172" t="s">
        <v>314</v>
      </c>
      <c r="C472" s="173" t="s">
        <v>502</v>
      </c>
      <c r="D472" s="174"/>
      <c r="E472" s="174"/>
      <c r="F472" s="175"/>
      <c r="G472" s="174"/>
      <c r="H472" s="174"/>
      <c r="I472" s="174"/>
      <c r="J472" s="176"/>
      <c r="K472" s="174"/>
      <c r="L472" s="174"/>
      <c r="M472" s="174"/>
      <c r="N472" s="177"/>
      <c r="O472" s="215"/>
    </row>
    <row r="473" spans="1:15" ht="11.25" customHeight="1">
      <c r="A473" s="180"/>
      <c r="B473" s="172"/>
      <c r="C473" s="287" t="s">
        <v>623</v>
      </c>
      <c r="D473" s="174"/>
      <c r="E473" s="174"/>
      <c r="F473" s="175"/>
      <c r="G473" s="174"/>
      <c r="H473" s="174">
        <v>300</v>
      </c>
      <c r="I473" s="174"/>
      <c r="J473" s="176">
        <f>SUM(D473:I473)</f>
        <v>300</v>
      </c>
      <c r="K473" s="174"/>
      <c r="L473" s="174"/>
      <c r="M473" s="174"/>
      <c r="N473" s="177">
        <f>SUM(J473:M473)</f>
        <v>300</v>
      </c>
      <c r="O473" s="215"/>
    </row>
    <row r="474" spans="1:15" ht="11.25" customHeight="1">
      <c r="A474" s="180"/>
      <c r="B474" s="172"/>
      <c r="C474" s="287" t="s">
        <v>624</v>
      </c>
      <c r="D474" s="174"/>
      <c r="E474" s="174"/>
      <c r="F474" s="175">
        <v>65</v>
      </c>
      <c r="G474" s="174"/>
      <c r="H474" s="174">
        <v>257</v>
      </c>
      <c r="I474" s="174"/>
      <c r="J474" s="176">
        <f>SUM(D474:I474)</f>
        <v>322</v>
      </c>
      <c r="K474" s="174"/>
      <c r="L474" s="174"/>
      <c r="M474" s="174"/>
      <c r="N474" s="177">
        <f>SUM(J474:M474)</f>
        <v>322</v>
      </c>
      <c r="O474" s="215"/>
    </row>
    <row r="475" spans="1:15" ht="11.25" customHeight="1" thickBot="1">
      <c r="A475" s="181"/>
      <c r="B475" s="166"/>
      <c r="C475" s="302" t="s">
        <v>625</v>
      </c>
      <c r="D475" s="167"/>
      <c r="E475" s="167"/>
      <c r="F475" s="168">
        <v>4</v>
      </c>
      <c r="G475" s="167">
        <v>0</v>
      </c>
      <c r="H475" s="167">
        <v>228</v>
      </c>
      <c r="I475" s="167">
        <v>0</v>
      </c>
      <c r="J475" s="169">
        <f>SUM(D475:I475)</f>
        <v>232</v>
      </c>
      <c r="K475" s="167"/>
      <c r="L475" s="167"/>
      <c r="M475" s="167"/>
      <c r="N475" s="170">
        <f>SUM(J475:M475)</f>
        <v>232</v>
      </c>
      <c r="O475" s="216"/>
    </row>
    <row r="476" spans="1:15" ht="12.75" customHeight="1">
      <c r="A476" s="154">
        <v>34</v>
      </c>
      <c r="B476" s="190"/>
      <c r="C476" s="157" t="s">
        <v>200</v>
      </c>
      <c r="D476" s="156"/>
      <c r="E476" s="156"/>
      <c r="F476" s="156"/>
      <c r="G476" s="156"/>
      <c r="H476" s="156"/>
      <c r="I476" s="156"/>
      <c r="J476" s="156"/>
      <c r="K476" s="156"/>
      <c r="L476" s="156"/>
      <c r="M476" s="156"/>
      <c r="N476" s="157"/>
      <c r="O476" s="207"/>
    </row>
    <row r="477" spans="1:15" ht="12.75" customHeight="1">
      <c r="A477" s="171"/>
      <c r="B477" s="172"/>
      <c r="C477" s="287" t="s">
        <v>623</v>
      </c>
      <c r="D477" s="176">
        <f aca="true" t="shared" si="75" ref="D477:I477">D481+D485+D489+D493+D497+D501+D505+D509+D513</f>
        <v>1080</v>
      </c>
      <c r="E477" s="176">
        <f t="shared" si="75"/>
        <v>300</v>
      </c>
      <c r="F477" s="176">
        <f t="shared" si="75"/>
        <v>1480</v>
      </c>
      <c r="G477" s="176">
        <f t="shared" si="75"/>
        <v>0</v>
      </c>
      <c r="H477" s="176">
        <f t="shared" si="75"/>
        <v>8550</v>
      </c>
      <c r="I477" s="176">
        <f t="shared" si="75"/>
        <v>0</v>
      </c>
      <c r="J477" s="176">
        <f aca="true" t="shared" si="76" ref="J477:J515">SUM(D477:I477)</f>
        <v>11410</v>
      </c>
      <c r="K477" s="176">
        <f>K481+K485+K489+K493+K497+K501+K505+K509+K513</f>
        <v>0</v>
      </c>
      <c r="L477" s="176">
        <f>L481+L485+L489+L493+L497+L501+L505+L509+L513</f>
        <v>4073</v>
      </c>
      <c r="M477" s="176">
        <f>M481+M485+M489+M493+M497+M501+M505+M509+M513</f>
        <v>0</v>
      </c>
      <c r="N477" s="177">
        <f aca="true" t="shared" si="77" ref="N477:N515">SUM(J477:M477)</f>
        <v>15483</v>
      </c>
      <c r="O477" s="210"/>
    </row>
    <row r="478" spans="1:15" ht="12.75" customHeight="1">
      <c r="A478" s="171"/>
      <c r="B478" s="172"/>
      <c r="C478" s="287" t="s">
        <v>624</v>
      </c>
      <c r="D478" s="176">
        <f aca="true" t="shared" si="78" ref="D478:I479">D482+D486+D490+D494+D498+D502+D506+D510+D514</f>
        <v>1050</v>
      </c>
      <c r="E478" s="176">
        <f t="shared" si="78"/>
        <v>270</v>
      </c>
      <c r="F478" s="176">
        <f t="shared" si="78"/>
        <v>1570</v>
      </c>
      <c r="G478" s="176">
        <f t="shared" si="78"/>
        <v>0</v>
      </c>
      <c r="H478" s="176">
        <f t="shared" si="78"/>
        <v>12158</v>
      </c>
      <c r="I478" s="176">
        <f t="shared" si="78"/>
        <v>0</v>
      </c>
      <c r="J478" s="176">
        <f t="shared" si="76"/>
        <v>15048</v>
      </c>
      <c r="K478" s="176">
        <f aca="true" t="shared" si="79" ref="K478:M479">K482+K486+K490+K494+K498+K502+K506+K510+K514</f>
        <v>0</v>
      </c>
      <c r="L478" s="176">
        <f t="shared" si="79"/>
        <v>4073</v>
      </c>
      <c r="M478" s="176">
        <f t="shared" si="79"/>
        <v>0</v>
      </c>
      <c r="N478" s="177">
        <f t="shared" si="77"/>
        <v>19121</v>
      </c>
      <c r="O478" s="210"/>
    </row>
    <row r="479" spans="1:15" ht="12.75" customHeight="1">
      <c r="A479" s="171"/>
      <c r="B479" s="172"/>
      <c r="C479" s="287" t="s">
        <v>625</v>
      </c>
      <c r="D479" s="176">
        <f t="shared" si="78"/>
        <v>998</v>
      </c>
      <c r="E479" s="176">
        <f t="shared" si="78"/>
        <v>242</v>
      </c>
      <c r="F479" s="176">
        <f t="shared" si="78"/>
        <v>342</v>
      </c>
      <c r="G479" s="176">
        <f t="shared" si="78"/>
        <v>0</v>
      </c>
      <c r="H479" s="176">
        <f t="shared" si="78"/>
        <v>6173</v>
      </c>
      <c r="I479" s="176">
        <f t="shared" si="78"/>
        <v>0</v>
      </c>
      <c r="J479" s="176">
        <f t="shared" si="76"/>
        <v>7755</v>
      </c>
      <c r="K479" s="176">
        <f t="shared" si="79"/>
        <v>0</v>
      </c>
      <c r="L479" s="176">
        <f t="shared" si="79"/>
        <v>0</v>
      </c>
      <c r="M479" s="176">
        <f t="shared" si="79"/>
        <v>0</v>
      </c>
      <c r="N479" s="177">
        <f t="shared" si="77"/>
        <v>7755</v>
      </c>
      <c r="O479" s="210"/>
    </row>
    <row r="480" spans="1:15" ht="11.25" customHeight="1">
      <c r="A480" s="171"/>
      <c r="B480" s="172" t="s">
        <v>312</v>
      </c>
      <c r="C480" s="173" t="s">
        <v>506</v>
      </c>
      <c r="D480" s="174"/>
      <c r="E480" s="174"/>
      <c r="F480" s="175"/>
      <c r="G480" s="174"/>
      <c r="H480" s="174"/>
      <c r="I480" s="174"/>
      <c r="J480" s="176"/>
      <c r="K480" s="174"/>
      <c r="L480" s="174"/>
      <c r="M480" s="174"/>
      <c r="N480" s="177"/>
      <c r="O480" s="210"/>
    </row>
    <row r="481" spans="1:15" ht="11.25" customHeight="1">
      <c r="A481" s="171"/>
      <c r="B481" s="172"/>
      <c r="C481" s="287" t="s">
        <v>623</v>
      </c>
      <c r="D481" s="174"/>
      <c r="E481" s="174"/>
      <c r="F481" s="175"/>
      <c r="G481" s="174"/>
      <c r="H481" s="174">
        <v>5000</v>
      </c>
      <c r="I481" s="174"/>
      <c r="J481" s="176">
        <f t="shared" si="76"/>
        <v>5000</v>
      </c>
      <c r="K481" s="174"/>
      <c r="L481" s="174"/>
      <c r="M481" s="174"/>
      <c r="N481" s="177">
        <f t="shared" si="77"/>
        <v>5000</v>
      </c>
      <c r="O481" s="210"/>
    </row>
    <row r="482" spans="1:15" ht="11.25" customHeight="1">
      <c r="A482" s="171"/>
      <c r="B482" s="172"/>
      <c r="C482" s="287" t="s">
        <v>624</v>
      </c>
      <c r="D482" s="174"/>
      <c r="E482" s="174"/>
      <c r="F482" s="175"/>
      <c r="G482" s="174"/>
      <c r="H482" s="174">
        <v>5000</v>
      </c>
      <c r="I482" s="174"/>
      <c r="J482" s="176">
        <f t="shared" si="76"/>
        <v>5000</v>
      </c>
      <c r="K482" s="174"/>
      <c r="L482" s="174"/>
      <c r="M482" s="174"/>
      <c r="N482" s="177">
        <f t="shared" si="77"/>
        <v>5000</v>
      </c>
      <c r="O482" s="210"/>
    </row>
    <row r="483" spans="1:15" ht="11.25" customHeight="1">
      <c r="A483" s="171"/>
      <c r="B483" s="172"/>
      <c r="C483" s="287" t="s">
        <v>625</v>
      </c>
      <c r="D483" s="174"/>
      <c r="E483" s="174"/>
      <c r="F483" s="175"/>
      <c r="G483" s="174"/>
      <c r="H483" s="174">
        <v>0</v>
      </c>
      <c r="I483" s="174"/>
      <c r="J483" s="176">
        <f t="shared" si="76"/>
        <v>0</v>
      </c>
      <c r="K483" s="174"/>
      <c r="L483" s="174"/>
      <c r="M483" s="174"/>
      <c r="N483" s="177">
        <f t="shared" si="77"/>
        <v>0</v>
      </c>
      <c r="O483" s="210"/>
    </row>
    <row r="484" spans="1:15" ht="11.25" customHeight="1">
      <c r="A484" s="171"/>
      <c r="B484" s="172" t="s">
        <v>314</v>
      </c>
      <c r="C484" s="173" t="s">
        <v>295</v>
      </c>
      <c r="D484" s="174"/>
      <c r="E484" s="174"/>
      <c r="F484" s="175"/>
      <c r="G484" s="174"/>
      <c r="H484" s="174"/>
      <c r="I484" s="174"/>
      <c r="J484" s="176"/>
      <c r="K484" s="174"/>
      <c r="L484" s="175"/>
      <c r="M484" s="175"/>
      <c r="N484" s="177"/>
      <c r="O484" s="210"/>
    </row>
    <row r="485" spans="1:15" ht="11.25" customHeight="1">
      <c r="A485" s="171"/>
      <c r="B485" s="172"/>
      <c r="C485" s="287" t="s">
        <v>623</v>
      </c>
      <c r="D485" s="174"/>
      <c r="E485" s="174"/>
      <c r="F485" s="175"/>
      <c r="G485" s="174"/>
      <c r="H485" s="174">
        <v>3000</v>
      </c>
      <c r="I485" s="174"/>
      <c r="J485" s="176">
        <f t="shared" si="76"/>
        <v>3000</v>
      </c>
      <c r="K485" s="174"/>
      <c r="L485" s="175"/>
      <c r="M485" s="175"/>
      <c r="N485" s="177">
        <f t="shared" si="77"/>
        <v>3000</v>
      </c>
      <c r="O485" s="210"/>
    </row>
    <row r="486" spans="1:15" ht="11.25" customHeight="1">
      <c r="A486" s="171"/>
      <c r="B486" s="172"/>
      <c r="C486" s="287" t="s">
        <v>624</v>
      </c>
      <c r="D486" s="174"/>
      <c r="E486" s="174"/>
      <c r="F486" s="175">
        <v>0</v>
      </c>
      <c r="G486" s="174"/>
      <c r="H486" s="174">
        <v>3696</v>
      </c>
      <c r="I486" s="174"/>
      <c r="J486" s="176">
        <f t="shared" si="76"/>
        <v>3696</v>
      </c>
      <c r="K486" s="174"/>
      <c r="L486" s="175"/>
      <c r="M486" s="175"/>
      <c r="N486" s="177">
        <f t="shared" si="77"/>
        <v>3696</v>
      </c>
      <c r="O486" s="210"/>
    </row>
    <row r="487" spans="1:15" ht="11.25" customHeight="1">
      <c r="A487" s="171"/>
      <c r="B487" s="172"/>
      <c r="C487" s="287" t="s">
        <v>625</v>
      </c>
      <c r="D487" s="174"/>
      <c r="E487" s="174"/>
      <c r="F487" s="175">
        <v>0</v>
      </c>
      <c r="G487" s="174">
        <v>0</v>
      </c>
      <c r="H487" s="174">
        <v>3696</v>
      </c>
      <c r="I487" s="174"/>
      <c r="J487" s="176">
        <f t="shared" si="76"/>
        <v>3696</v>
      </c>
      <c r="K487" s="174"/>
      <c r="L487" s="175"/>
      <c r="M487" s="175"/>
      <c r="N487" s="177">
        <f t="shared" si="77"/>
        <v>3696</v>
      </c>
      <c r="O487" s="210"/>
    </row>
    <row r="488" spans="1:15" ht="11.25" customHeight="1">
      <c r="A488" s="171"/>
      <c r="B488" s="172" t="s">
        <v>316</v>
      </c>
      <c r="C488" s="173" t="s">
        <v>493</v>
      </c>
      <c r="D488" s="174"/>
      <c r="E488" s="174"/>
      <c r="F488" s="175"/>
      <c r="G488" s="174"/>
      <c r="H488" s="174"/>
      <c r="I488" s="174"/>
      <c r="J488" s="176"/>
      <c r="K488" s="174"/>
      <c r="L488" s="175"/>
      <c r="M488" s="175"/>
      <c r="N488" s="177"/>
      <c r="O488" s="210"/>
    </row>
    <row r="489" spans="1:15" ht="11.25" customHeight="1">
      <c r="A489" s="171"/>
      <c r="B489" s="172"/>
      <c r="C489" s="287" t="s">
        <v>623</v>
      </c>
      <c r="D489" s="174"/>
      <c r="E489" s="174"/>
      <c r="F489" s="175"/>
      <c r="G489" s="174"/>
      <c r="H489" s="174">
        <v>500</v>
      </c>
      <c r="I489" s="174"/>
      <c r="J489" s="176">
        <f t="shared" si="76"/>
        <v>500</v>
      </c>
      <c r="K489" s="174"/>
      <c r="L489" s="175"/>
      <c r="M489" s="175"/>
      <c r="N489" s="177">
        <f t="shared" si="77"/>
        <v>500</v>
      </c>
      <c r="O489" s="210"/>
    </row>
    <row r="490" spans="1:15" ht="11.25" customHeight="1">
      <c r="A490" s="171"/>
      <c r="B490" s="172"/>
      <c r="C490" s="287" t="s">
        <v>624</v>
      </c>
      <c r="D490" s="174"/>
      <c r="E490" s="174"/>
      <c r="F490" s="175"/>
      <c r="G490" s="174"/>
      <c r="H490" s="174">
        <v>500</v>
      </c>
      <c r="I490" s="174"/>
      <c r="J490" s="176">
        <f t="shared" si="76"/>
        <v>500</v>
      </c>
      <c r="K490" s="174"/>
      <c r="L490" s="175"/>
      <c r="M490" s="175"/>
      <c r="N490" s="177">
        <f t="shared" si="77"/>
        <v>500</v>
      </c>
      <c r="O490" s="210"/>
    </row>
    <row r="491" spans="1:15" ht="11.25" customHeight="1">
      <c r="A491" s="171"/>
      <c r="B491" s="172"/>
      <c r="C491" s="287" t="s">
        <v>625</v>
      </c>
      <c r="D491" s="174"/>
      <c r="E491" s="174"/>
      <c r="F491" s="175"/>
      <c r="G491" s="174"/>
      <c r="H491" s="174">
        <v>0</v>
      </c>
      <c r="I491" s="174"/>
      <c r="J491" s="176">
        <f t="shared" si="76"/>
        <v>0</v>
      </c>
      <c r="K491" s="174"/>
      <c r="L491" s="175"/>
      <c r="M491" s="175"/>
      <c r="N491" s="177">
        <f t="shared" si="77"/>
        <v>0</v>
      </c>
      <c r="O491" s="210"/>
    </row>
    <row r="492" spans="1:15" ht="11.25" customHeight="1">
      <c r="A492" s="171"/>
      <c r="B492" s="172" t="s">
        <v>318</v>
      </c>
      <c r="C492" s="173" t="s">
        <v>821</v>
      </c>
      <c r="D492" s="174"/>
      <c r="E492" s="174"/>
      <c r="F492" s="175"/>
      <c r="G492" s="174"/>
      <c r="H492" s="174"/>
      <c r="I492" s="174"/>
      <c r="J492" s="176"/>
      <c r="K492" s="174"/>
      <c r="L492" s="175"/>
      <c r="M492" s="175"/>
      <c r="N492" s="177"/>
      <c r="O492" s="210"/>
    </row>
    <row r="493" spans="1:15" ht="11.25" customHeight="1">
      <c r="A493" s="171"/>
      <c r="B493" s="172"/>
      <c r="C493" s="287" t="s">
        <v>623</v>
      </c>
      <c r="D493" s="174"/>
      <c r="E493" s="174"/>
      <c r="F493" s="175">
        <v>950</v>
      </c>
      <c r="G493" s="174"/>
      <c r="H493" s="174"/>
      <c r="I493" s="174"/>
      <c r="J493" s="176">
        <f t="shared" si="76"/>
        <v>950</v>
      </c>
      <c r="K493" s="174"/>
      <c r="L493" s="175"/>
      <c r="M493" s="175"/>
      <c r="N493" s="177">
        <f t="shared" si="77"/>
        <v>950</v>
      </c>
      <c r="O493" s="210"/>
    </row>
    <row r="494" spans="1:15" ht="11.25" customHeight="1">
      <c r="A494" s="171"/>
      <c r="B494" s="172"/>
      <c r="C494" s="287" t="s">
        <v>624</v>
      </c>
      <c r="D494" s="174"/>
      <c r="E494" s="174"/>
      <c r="F494" s="175">
        <v>950</v>
      </c>
      <c r="G494" s="174"/>
      <c r="H494" s="174"/>
      <c r="I494" s="174"/>
      <c r="J494" s="176">
        <f t="shared" si="76"/>
        <v>950</v>
      </c>
      <c r="K494" s="174"/>
      <c r="L494" s="175"/>
      <c r="M494" s="175"/>
      <c r="N494" s="177">
        <f t="shared" si="77"/>
        <v>950</v>
      </c>
      <c r="O494" s="210"/>
    </row>
    <row r="495" spans="1:15" ht="11.25" customHeight="1">
      <c r="A495" s="171"/>
      <c r="B495" s="172"/>
      <c r="C495" s="287" t="s">
        <v>625</v>
      </c>
      <c r="D495" s="174"/>
      <c r="E495" s="174"/>
      <c r="F495" s="175">
        <v>0</v>
      </c>
      <c r="G495" s="174">
        <v>0</v>
      </c>
      <c r="H495" s="174"/>
      <c r="I495" s="174"/>
      <c r="J495" s="176">
        <f t="shared" si="76"/>
        <v>0</v>
      </c>
      <c r="K495" s="174"/>
      <c r="L495" s="175"/>
      <c r="M495" s="175"/>
      <c r="N495" s="177">
        <f t="shared" si="77"/>
        <v>0</v>
      </c>
      <c r="O495" s="210"/>
    </row>
    <row r="496" spans="1:15" ht="11.25" customHeight="1">
      <c r="A496" s="171"/>
      <c r="B496" s="172" t="s">
        <v>320</v>
      </c>
      <c r="C496" s="173" t="s">
        <v>201</v>
      </c>
      <c r="D496" s="174"/>
      <c r="E496" s="174"/>
      <c r="F496" s="175"/>
      <c r="G496" s="174"/>
      <c r="H496" s="174"/>
      <c r="I496" s="174"/>
      <c r="J496" s="176"/>
      <c r="K496" s="174"/>
      <c r="L496" s="175"/>
      <c r="M496" s="175"/>
      <c r="N496" s="177"/>
      <c r="O496" s="210"/>
    </row>
    <row r="497" spans="1:15" ht="11.25" customHeight="1">
      <c r="A497" s="171"/>
      <c r="B497" s="172"/>
      <c r="C497" s="287" t="s">
        <v>623</v>
      </c>
      <c r="D497" s="174"/>
      <c r="E497" s="174"/>
      <c r="F497" s="175"/>
      <c r="G497" s="174"/>
      <c r="H497" s="174"/>
      <c r="I497" s="174"/>
      <c r="J497" s="176">
        <f t="shared" si="76"/>
        <v>0</v>
      </c>
      <c r="K497" s="174"/>
      <c r="L497" s="175">
        <v>4073</v>
      </c>
      <c r="M497" s="175"/>
      <c r="N497" s="177">
        <f t="shared" si="77"/>
        <v>4073</v>
      </c>
      <c r="O497" s="210"/>
    </row>
    <row r="498" spans="1:15" ht="11.25" customHeight="1">
      <c r="A498" s="171"/>
      <c r="B498" s="172"/>
      <c r="C498" s="287" t="s">
        <v>624</v>
      </c>
      <c r="D498" s="174"/>
      <c r="E498" s="174"/>
      <c r="F498" s="175"/>
      <c r="G498" s="174"/>
      <c r="H498" s="174"/>
      <c r="I498" s="174"/>
      <c r="J498" s="176">
        <f t="shared" si="76"/>
        <v>0</v>
      </c>
      <c r="K498" s="174"/>
      <c r="L498" s="175">
        <v>4073</v>
      </c>
      <c r="M498" s="175"/>
      <c r="N498" s="177">
        <f t="shared" si="77"/>
        <v>4073</v>
      </c>
      <c r="O498" s="210"/>
    </row>
    <row r="499" spans="1:15" ht="11.25" customHeight="1">
      <c r="A499" s="171"/>
      <c r="B499" s="172"/>
      <c r="C499" s="287" t="s">
        <v>625</v>
      </c>
      <c r="D499" s="174"/>
      <c r="E499" s="174"/>
      <c r="F499" s="175"/>
      <c r="G499" s="174"/>
      <c r="H499" s="174"/>
      <c r="I499" s="174"/>
      <c r="J499" s="176">
        <f t="shared" si="76"/>
        <v>0</v>
      </c>
      <c r="K499" s="174"/>
      <c r="L499" s="175">
        <v>0</v>
      </c>
      <c r="M499" s="175"/>
      <c r="N499" s="177">
        <f t="shared" si="77"/>
        <v>0</v>
      </c>
      <c r="O499" s="210"/>
    </row>
    <row r="500" spans="1:15" ht="11.25" customHeight="1">
      <c r="A500" s="171"/>
      <c r="B500" s="172" t="s">
        <v>322</v>
      </c>
      <c r="C500" s="173" t="s">
        <v>1299</v>
      </c>
      <c r="D500" s="174"/>
      <c r="E500" s="174"/>
      <c r="F500" s="175"/>
      <c r="G500" s="174"/>
      <c r="H500" s="174"/>
      <c r="I500" s="174"/>
      <c r="J500" s="176"/>
      <c r="K500" s="174"/>
      <c r="L500" s="175"/>
      <c r="M500" s="175"/>
      <c r="N500" s="177"/>
      <c r="O500" s="210"/>
    </row>
    <row r="501" spans="1:15" ht="11.25" customHeight="1">
      <c r="A501" s="171"/>
      <c r="B501" s="172"/>
      <c r="C501" s="287" t="s">
        <v>623</v>
      </c>
      <c r="D501" s="174">
        <v>1080</v>
      </c>
      <c r="E501" s="174">
        <v>300</v>
      </c>
      <c r="F501" s="175">
        <v>400</v>
      </c>
      <c r="G501" s="174"/>
      <c r="H501" s="174"/>
      <c r="I501" s="174"/>
      <c r="J501" s="176">
        <f t="shared" si="76"/>
        <v>1780</v>
      </c>
      <c r="K501" s="174"/>
      <c r="L501" s="175"/>
      <c r="M501" s="175"/>
      <c r="N501" s="177">
        <f t="shared" si="77"/>
        <v>1780</v>
      </c>
      <c r="O501" s="210"/>
    </row>
    <row r="502" spans="1:15" ht="11.25" customHeight="1">
      <c r="A502" s="171"/>
      <c r="B502" s="172"/>
      <c r="C502" s="287" t="s">
        <v>624</v>
      </c>
      <c r="D502" s="174">
        <v>1050</v>
      </c>
      <c r="E502" s="174">
        <v>270</v>
      </c>
      <c r="F502" s="175">
        <v>490</v>
      </c>
      <c r="G502" s="174"/>
      <c r="H502" s="174"/>
      <c r="I502" s="174"/>
      <c r="J502" s="176">
        <f t="shared" si="76"/>
        <v>1810</v>
      </c>
      <c r="K502" s="174"/>
      <c r="L502" s="175"/>
      <c r="M502" s="175"/>
      <c r="N502" s="177">
        <f t="shared" si="77"/>
        <v>1810</v>
      </c>
      <c r="O502" s="210"/>
    </row>
    <row r="503" spans="1:15" ht="11.25" customHeight="1">
      <c r="A503" s="171"/>
      <c r="B503" s="172"/>
      <c r="C503" s="287" t="s">
        <v>625</v>
      </c>
      <c r="D503" s="174">
        <v>998</v>
      </c>
      <c r="E503" s="174">
        <v>242</v>
      </c>
      <c r="F503" s="175">
        <f>121+221</f>
        <v>342</v>
      </c>
      <c r="G503" s="174"/>
      <c r="H503" s="174"/>
      <c r="I503" s="174"/>
      <c r="J503" s="176">
        <f t="shared" si="76"/>
        <v>1582</v>
      </c>
      <c r="K503" s="174"/>
      <c r="L503" s="175"/>
      <c r="M503" s="175"/>
      <c r="N503" s="177">
        <f t="shared" si="77"/>
        <v>1582</v>
      </c>
      <c r="O503" s="210"/>
    </row>
    <row r="504" spans="1:15" ht="11.25" customHeight="1">
      <c r="A504" s="171"/>
      <c r="B504" s="172" t="s">
        <v>346</v>
      </c>
      <c r="C504" s="173" t="s">
        <v>286</v>
      </c>
      <c r="D504" s="174"/>
      <c r="E504" s="174"/>
      <c r="F504" s="175"/>
      <c r="G504" s="174"/>
      <c r="H504" s="174"/>
      <c r="I504" s="174"/>
      <c r="J504" s="176"/>
      <c r="K504" s="174"/>
      <c r="L504" s="175"/>
      <c r="M504" s="175"/>
      <c r="N504" s="177"/>
      <c r="O504" s="210"/>
    </row>
    <row r="505" spans="1:15" ht="11.25" customHeight="1">
      <c r="A505" s="171"/>
      <c r="B505" s="172"/>
      <c r="C505" s="287" t="s">
        <v>623</v>
      </c>
      <c r="D505" s="174"/>
      <c r="E505" s="174"/>
      <c r="F505" s="175">
        <v>130</v>
      </c>
      <c r="G505" s="174"/>
      <c r="H505" s="174"/>
      <c r="I505" s="174"/>
      <c r="J505" s="176">
        <f t="shared" si="76"/>
        <v>130</v>
      </c>
      <c r="K505" s="174"/>
      <c r="L505" s="175"/>
      <c r="M505" s="175"/>
      <c r="N505" s="177">
        <f t="shared" si="77"/>
        <v>130</v>
      </c>
      <c r="O505" s="210"/>
    </row>
    <row r="506" spans="1:15" ht="11.25" customHeight="1">
      <c r="A506" s="171"/>
      <c r="B506" s="172"/>
      <c r="C506" s="287" t="s">
        <v>624</v>
      </c>
      <c r="D506" s="174"/>
      <c r="E506" s="174"/>
      <c r="F506" s="175">
        <v>130</v>
      </c>
      <c r="G506" s="174"/>
      <c r="H506" s="174"/>
      <c r="I506" s="174"/>
      <c r="J506" s="176">
        <f t="shared" si="76"/>
        <v>130</v>
      </c>
      <c r="K506" s="174"/>
      <c r="L506" s="175"/>
      <c r="M506" s="175"/>
      <c r="N506" s="177">
        <f t="shared" si="77"/>
        <v>130</v>
      </c>
      <c r="O506" s="210"/>
    </row>
    <row r="507" spans="1:15" ht="11.25" customHeight="1">
      <c r="A507" s="171"/>
      <c r="B507" s="172"/>
      <c r="C507" s="287" t="s">
        <v>625</v>
      </c>
      <c r="D507" s="174"/>
      <c r="E507" s="174"/>
      <c r="F507" s="175">
        <v>0</v>
      </c>
      <c r="G507" s="174"/>
      <c r="H507" s="174"/>
      <c r="I507" s="174"/>
      <c r="J507" s="176">
        <f t="shared" si="76"/>
        <v>0</v>
      </c>
      <c r="K507" s="174"/>
      <c r="L507" s="175"/>
      <c r="M507" s="175"/>
      <c r="N507" s="177">
        <f t="shared" si="77"/>
        <v>0</v>
      </c>
      <c r="O507" s="210"/>
    </row>
    <row r="508" spans="1:15" ht="11.25" customHeight="1">
      <c r="A508" s="171"/>
      <c r="B508" s="172" t="s">
        <v>347</v>
      </c>
      <c r="C508" s="173" t="s">
        <v>287</v>
      </c>
      <c r="D508" s="174"/>
      <c r="E508" s="174"/>
      <c r="F508" s="175"/>
      <c r="G508" s="174"/>
      <c r="H508" s="174"/>
      <c r="I508" s="174"/>
      <c r="J508" s="176"/>
      <c r="K508" s="174"/>
      <c r="L508" s="175"/>
      <c r="M508" s="175"/>
      <c r="N508" s="177"/>
      <c r="O508" s="210"/>
    </row>
    <row r="509" spans="1:15" ht="11.25" customHeight="1">
      <c r="A509" s="171"/>
      <c r="B509" s="172"/>
      <c r="C509" s="287" t="s">
        <v>623</v>
      </c>
      <c r="D509" s="174"/>
      <c r="E509" s="174"/>
      <c r="F509" s="175"/>
      <c r="G509" s="174"/>
      <c r="H509" s="174">
        <v>50</v>
      </c>
      <c r="I509" s="174"/>
      <c r="J509" s="176">
        <f t="shared" si="76"/>
        <v>50</v>
      </c>
      <c r="K509" s="174"/>
      <c r="L509" s="175"/>
      <c r="M509" s="175"/>
      <c r="N509" s="177">
        <f t="shared" si="77"/>
        <v>50</v>
      </c>
      <c r="O509" s="210"/>
    </row>
    <row r="510" spans="1:15" ht="11.25" customHeight="1">
      <c r="A510" s="171"/>
      <c r="B510" s="172"/>
      <c r="C510" s="287" t="s">
        <v>624</v>
      </c>
      <c r="D510" s="174"/>
      <c r="E510" s="174"/>
      <c r="F510" s="175"/>
      <c r="G510" s="174"/>
      <c r="H510" s="174">
        <v>50</v>
      </c>
      <c r="I510" s="174"/>
      <c r="J510" s="176">
        <f t="shared" si="76"/>
        <v>50</v>
      </c>
      <c r="K510" s="174"/>
      <c r="L510" s="175"/>
      <c r="M510" s="175"/>
      <c r="N510" s="177">
        <f t="shared" si="77"/>
        <v>50</v>
      </c>
      <c r="O510" s="210"/>
    </row>
    <row r="511" spans="1:15" ht="11.25" customHeight="1">
      <c r="A511" s="171"/>
      <c r="B511" s="172"/>
      <c r="C511" s="287" t="s">
        <v>625</v>
      </c>
      <c r="D511" s="174"/>
      <c r="E511" s="174"/>
      <c r="F511" s="175"/>
      <c r="G511" s="174"/>
      <c r="H511" s="174">
        <v>50</v>
      </c>
      <c r="I511" s="174">
        <v>0</v>
      </c>
      <c r="J511" s="176">
        <f t="shared" si="76"/>
        <v>50</v>
      </c>
      <c r="K511" s="174"/>
      <c r="L511" s="175"/>
      <c r="M511" s="175"/>
      <c r="N511" s="177">
        <f t="shared" si="77"/>
        <v>50</v>
      </c>
      <c r="O511" s="210"/>
    </row>
    <row r="512" spans="1:15" ht="23.25" customHeight="1">
      <c r="A512" s="171"/>
      <c r="B512" s="172" t="s">
        <v>349</v>
      </c>
      <c r="C512" s="258" t="s">
        <v>822</v>
      </c>
      <c r="D512" s="174"/>
      <c r="E512" s="174"/>
      <c r="F512" s="175"/>
      <c r="G512" s="174"/>
      <c r="H512" s="174"/>
      <c r="I512" s="174"/>
      <c r="J512" s="176"/>
      <c r="K512" s="174"/>
      <c r="L512" s="175"/>
      <c r="M512" s="175"/>
      <c r="N512" s="177"/>
      <c r="O512" s="210"/>
    </row>
    <row r="513" spans="1:15" ht="11.25" customHeight="1">
      <c r="A513" s="171"/>
      <c r="B513" s="172"/>
      <c r="C513" s="287" t="s">
        <v>623</v>
      </c>
      <c r="D513" s="174"/>
      <c r="E513" s="174"/>
      <c r="F513" s="175"/>
      <c r="G513" s="174"/>
      <c r="H513" s="174"/>
      <c r="I513" s="174"/>
      <c r="J513" s="176">
        <f t="shared" si="76"/>
        <v>0</v>
      </c>
      <c r="K513" s="174"/>
      <c r="L513" s="175"/>
      <c r="M513" s="175"/>
      <c r="N513" s="177">
        <f t="shared" si="77"/>
        <v>0</v>
      </c>
      <c r="O513" s="210"/>
    </row>
    <row r="514" spans="1:15" ht="11.25" customHeight="1">
      <c r="A514" s="171"/>
      <c r="B514" s="172"/>
      <c r="C514" s="287" t="s">
        <v>624</v>
      </c>
      <c r="D514" s="174"/>
      <c r="E514" s="174"/>
      <c r="F514" s="175"/>
      <c r="G514" s="174"/>
      <c r="H514" s="174">
        <v>2912</v>
      </c>
      <c r="I514" s="174"/>
      <c r="J514" s="176">
        <f t="shared" si="76"/>
        <v>2912</v>
      </c>
      <c r="K514" s="174"/>
      <c r="L514" s="175"/>
      <c r="M514" s="175"/>
      <c r="N514" s="177">
        <f t="shared" si="77"/>
        <v>2912</v>
      </c>
      <c r="O514" s="210"/>
    </row>
    <row r="515" spans="1:15" ht="11.25" customHeight="1" thickBot="1">
      <c r="A515" s="158"/>
      <c r="B515" s="178"/>
      <c r="C515" s="303" t="s">
        <v>625</v>
      </c>
      <c r="D515" s="160"/>
      <c r="E515" s="160"/>
      <c r="F515" s="161"/>
      <c r="G515" s="160"/>
      <c r="H515" s="160">
        <v>2427</v>
      </c>
      <c r="I515" s="160"/>
      <c r="J515" s="156">
        <f t="shared" si="76"/>
        <v>2427</v>
      </c>
      <c r="K515" s="160"/>
      <c r="L515" s="161"/>
      <c r="M515" s="161"/>
      <c r="N515" s="157">
        <f t="shared" si="77"/>
        <v>2427</v>
      </c>
      <c r="O515" s="208"/>
    </row>
    <row r="516" spans="1:15" s="179" customFormat="1" ht="12.75" customHeight="1">
      <c r="A516" s="186">
        <v>35</v>
      </c>
      <c r="B516" s="250"/>
      <c r="C516" s="188" t="s">
        <v>202</v>
      </c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  <c r="N516" s="188"/>
      <c r="O516" s="212"/>
    </row>
    <row r="517" spans="1:15" s="179" customFormat="1" ht="12.75" customHeight="1">
      <c r="A517" s="171"/>
      <c r="B517" s="251"/>
      <c r="C517" s="287" t="s">
        <v>623</v>
      </c>
      <c r="D517" s="176">
        <f aca="true" t="shared" si="80" ref="D517:I517">D521+D525+D529+D533</f>
        <v>0</v>
      </c>
      <c r="E517" s="176">
        <f t="shared" si="80"/>
        <v>0</v>
      </c>
      <c r="F517" s="176">
        <f t="shared" si="80"/>
        <v>0</v>
      </c>
      <c r="G517" s="176">
        <f t="shared" si="80"/>
        <v>0</v>
      </c>
      <c r="H517" s="176">
        <f t="shared" si="80"/>
        <v>1100</v>
      </c>
      <c r="I517" s="176">
        <f t="shared" si="80"/>
        <v>0</v>
      </c>
      <c r="J517" s="176">
        <f aca="true" t="shared" si="81" ref="J517:J535">SUM(D517:I517)</f>
        <v>1100</v>
      </c>
      <c r="K517" s="176">
        <f aca="true" t="shared" si="82" ref="K517:M519">K521+K525+K529+K533</f>
        <v>0</v>
      </c>
      <c r="L517" s="176">
        <f t="shared" si="82"/>
        <v>0</v>
      </c>
      <c r="M517" s="176">
        <f t="shared" si="82"/>
        <v>0</v>
      </c>
      <c r="N517" s="177">
        <f aca="true" t="shared" si="83" ref="N517:N535">SUM(J517:M517)</f>
        <v>1100</v>
      </c>
      <c r="O517" s="210"/>
    </row>
    <row r="518" spans="1:15" s="179" customFormat="1" ht="12.75" customHeight="1">
      <c r="A518" s="171"/>
      <c r="B518" s="251"/>
      <c r="C518" s="287" t="s">
        <v>624</v>
      </c>
      <c r="D518" s="176">
        <f aca="true" t="shared" si="84" ref="D518:I519">D522+D526+D530+D534</f>
        <v>0</v>
      </c>
      <c r="E518" s="176">
        <f t="shared" si="84"/>
        <v>0</v>
      </c>
      <c r="F518" s="176">
        <f t="shared" si="84"/>
        <v>0</v>
      </c>
      <c r="G518" s="176">
        <f t="shared" si="84"/>
        <v>0</v>
      </c>
      <c r="H518" s="176">
        <f t="shared" si="84"/>
        <v>1980</v>
      </c>
      <c r="I518" s="176">
        <f t="shared" si="84"/>
        <v>0</v>
      </c>
      <c r="J518" s="176">
        <f>SUM(D518:I518)</f>
        <v>1980</v>
      </c>
      <c r="K518" s="176">
        <f t="shared" si="82"/>
        <v>0</v>
      </c>
      <c r="L518" s="176">
        <f t="shared" si="82"/>
        <v>0</v>
      </c>
      <c r="M518" s="176">
        <f t="shared" si="82"/>
        <v>0</v>
      </c>
      <c r="N518" s="177">
        <f t="shared" si="83"/>
        <v>1980</v>
      </c>
      <c r="O518" s="210"/>
    </row>
    <row r="519" spans="1:15" s="179" customFormat="1" ht="12.75" customHeight="1">
      <c r="A519" s="171"/>
      <c r="B519" s="251"/>
      <c r="C519" s="287" t="s">
        <v>625</v>
      </c>
      <c r="D519" s="176">
        <f t="shared" si="84"/>
        <v>0</v>
      </c>
      <c r="E519" s="176">
        <f t="shared" si="84"/>
        <v>0</v>
      </c>
      <c r="F519" s="176">
        <f t="shared" si="84"/>
        <v>0</v>
      </c>
      <c r="G519" s="176">
        <f t="shared" si="84"/>
        <v>0</v>
      </c>
      <c r="H519" s="176">
        <f t="shared" si="84"/>
        <v>1980</v>
      </c>
      <c r="I519" s="176">
        <f t="shared" si="84"/>
        <v>0</v>
      </c>
      <c r="J519" s="176">
        <f t="shared" si="81"/>
        <v>1980</v>
      </c>
      <c r="K519" s="176">
        <f t="shared" si="82"/>
        <v>0</v>
      </c>
      <c r="L519" s="176">
        <f t="shared" si="82"/>
        <v>0</v>
      </c>
      <c r="M519" s="176">
        <f t="shared" si="82"/>
        <v>0</v>
      </c>
      <c r="N519" s="177">
        <f t="shared" si="83"/>
        <v>1980</v>
      </c>
      <c r="O519" s="210"/>
    </row>
    <row r="520" spans="1:15" ht="24" customHeight="1">
      <c r="A520" s="171"/>
      <c r="B520" s="191" t="s">
        <v>312</v>
      </c>
      <c r="C520" s="252" t="s">
        <v>203</v>
      </c>
      <c r="D520" s="174"/>
      <c r="E520" s="174"/>
      <c r="F520" s="175"/>
      <c r="G520" s="174"/>
      <c r="H520" s="174"/>
      <c r="I520" s="174"/>
      <c r="J520" s="176"/>
      <c r="K520" s="174"/>
      <c r="L520" s="174"/>
      <c r="M520" s="174"/>
      <c r="N520" s="177"/>
      <c r="O520" s="210"/>
    </row>
    <row r="521" spans="1:15" ht="12.75" customHeight="1">
      <c r="A521" s="171"/>
      <c r="B521" s="191"/>
      <c r="C521" s="287" t="s">
        <v>623</v>
      </c>
      <c r="D521" s="174"/>
      <c r="E521" s="174"/>
      <c r="F521" s="175"/>
      <c r="G521" s="174"/>
      <c r="H521" s="174">
        <v>600</v>
      </c>
      <c r="I521" s="174"/>
      <c r="J521" s="176">
        <f t="shared" si="81"/>
        <v>600</v>
      </c>
      <c r="K521" s="174"/>
      <c r="L521" s="174"/>
      <c r="M521" s="174"/>
      <c r="N521" s="177">
        <f t="shared" si="83"/>
        <v>600</v>
      </c>
      <c r="O521" s="210"/>
    </row>
    <row r="522" spans="1:15" ht="12.75" customHeight="1">
      <c r="A522" s="171"/>
      <c r="B522" s="191"/>
      <c r="C522" s="287" t="s">
        <v>624</v>
      </c>
      <c r="D522" s="174"/>
      <c r="E522" s="174"/>
      <c r="F522" s="175"/>
      <c r="G522" s="174"/>
      <c r="H522" s="174">
        <v>730</v>
      </c>
      <c r="I522" s="174"/>
      <c r="J522" s="176">
        <f t="shared" si="81"/>
        <v>730</v>
      </c>
      <c r="K522" s="174"/>
      <c r="L522" s="174"/>
      <c r="M522" s="174"/>
      <c r="N522" s="177">
        <f t="shared" si="83"/>
        <v>730</v>
      </c>
      <c r="O522" s="210"/>
    </row>
    <row r="523" spans="1:15" ht="12.75" customHeight="1">
      <c r="A523" s="171"/>
      <c r="B523" s="191"/>
      <c r="C523" s="287" t="s">
        <v>625</v>
      </c>
      <c r="D523" s="174"/>
      <c r="E523" s="174"/>
      <c r="F523" s="175"/>
      <c r="G523" s="174"/>
      <c r="H523" s="174">
        <v>730</v>
      </c>
      <c r="I523" s="174"/>
      <c r="J523" s="176">
        <f t="shared" si="81"/>
        <v>730</v>
      </c>
      <c r="K523" s="174"/>
      <c r="L523" s="174"/>
      <c r="M523" s="174"/>
      <c r="N523" s="177">
        <f t="shared" si="83"/>
        <v>730</v>
      </c>
      <c r="O523" s="210"/>
    </row>
    <row r="524" spans="1:15" ht="12.75" customHeight="1">
      <c r="A524" s="171"/>
      <c r="B524" s="172">
        <v>2</v>
      </c>
      <c r="C524" s="252" t="s">
        <v>283</v>
      </c>
      <c r="D524" s="174"/>
      <c r="E524" s="174"/>
      <c r="F524" s="175"/>
      <c r="G524" s="174"/>
      <c r="H524" s="174"/>
      <c r="I524" s="174"/>
      <c r="J524" s="176"/>
      <c r="K524" s="174"/>
      <c r="L524" s="174"/>
      <c r="M524" s="174"/>
      <c r="N524" s="177"/>
      <c r="O524" s="210"/>
    </row>
    <row r="525" spans="1:15" ht="12.75" customHeight="1">
      <c r="A525" s="171"/>
      <c r="B525" s="172"/>
      <c r="C525" s="287" t="s">
        <v>623</v>
      </c>
      <c r="D525" s="174"/>
      <c r="E525" s="174"/>
      <c r="F525" s="175"/>
      <c r="G525" s="174"/>
      <c r="H525" s="174">
        <v>150</v>
      </c>
      <c r="I525" s="174"/>
      <c r="J525" s="176">
        <f t="shared" si="81"/>
        <v>150</v>
      </c>
      <c r="K525" s="174"/>
      <c r="L525" s="174"/>
      <c r="M525" s="174"/>
      <c r="N525" s="177">
        <f t="shared" si="83"/>
        <v>150</v>
      </c>
      <c r="O525" s="210"/>
    </row>
    <row r="526" spans="1:15" ht="12.75" customHeight="1">
      <c r="A526" s="171"/>
      <c r="B526" s="172"/>
      <c r="C526" s="287" t="s">
        <v>624</v>
      </c>
      <c r="D526" s="174"/>
      <c r="E526" s="174"/>
      <c r="F526" s="175"/>
      <c r="G526" s="174"/>
      <c r="H526" s="174">
        <v>150</v>
      </c>
      <c r="I526" s="174"/>
      <c r="J526" s="176">
        <f t="shared" si="81"/>
        <v>150</v>
      </c>
      <c r="K526" s="174"/>
      <c r="L526" s="174"/>
      <c r="M526" s="174"/>
      <c r="N526" s="177">
        <f t="shared" si="83"/>
        <v>150</v>
      </c>
      <c r="O526" s="210"/>
    </row>
    <row r="527" spans="1:15" ht="12.75" customHeight="1">
      <c r="A527" s="171"/>
      <c r="B527" s="172"/>
      <c r="C527" s="287" t="s">
        <v>625</v>
      </c>
      <c r="D527" s="174"/>
      <c r="E527" s="174"/>
      <c r="F527" s="175"/>
      <c r="G527" s="174"/>
      <c r="H527" s="174">
        <v>150</v>
      </c>
      <c r="I527" s="174"/>
      <c r="J527" s="176">
        <f t="shared" si="81"/>
        <v>150</v>
      </c>
      <c r="K527" s="174"/>
      <c r="L527" s="174"/>
      <c r="M527" s="174"/>
      <c r="N527" s="177">
        <f t="shared" si="83"/>
        <v>150</v>
      </c>
      <c r="O527" s="210"/>
    </row>
    <row r="528" spans="1:15" ht="11.25" customHeight="1">
      <c r="A528" s="171"/>
      <c r="B528" s="172">
        <v>3</v>
      </c>
      <c r="C528" s="173" t="s">
        <v>296</v>
      </c>
      <c r="D528" s="174"/>
      <c r="E528" s="174"/>
      <c r="F528" s="175"/>
      <c r="G528" s="174"/>
      <c r="H528" s="174"/>
      <c r="I528" s="174"/>
      <c r="J528" s="176"/>
      <c r="K528" s="174"/>
      <c r="L528" s="174"/>
      <c r="M528" s="174"/>
      <c r="N528" s="177"/>
      <c r="O528" s="210"/>
    </row>
    <row r="529" spans="1:15" ht="11.25" customHeight="1">
      <c r="A529" s="171"/>
      <c r="B529" s="172"/>
      <c r="C529" s="287" t="s">
        <v>623</v>
      </c>
      <c r="D529" s="174"/>
      <c r="E529" s="174"/>
      <c r="F529" s="175"/>
      <c r="G529" s="174"/>
      <c r="H529" s="174">
        <v>350</v>
      </c>
      <c r="I529" s="174"/>
      <c r="J529" s="176">
        <f t="shared" si="81"/>
        <v>350</v>
      </c>
      <c r="K529" s="174"/>
      <c r="L529" s="174"/>
      <c r="M529" s="174"/>
      <c r="N529" s="177">
        <f t="shared" si="83"/>
        <v>350</v>
      </c>
      <c r="O529" s="210"/>
    </row>
    <row r="530" spans="1:15" ht="11.25" customHeight="1">
      <c r="A530" s="171"/>
      <c r="B530" s="172"/>
      <c r="C530" s="287" t="s">
        <v>624</v>
      </c>
      <c r="D530" s="174"/>
      <c r="E530" s="174"/>
      <c r="F530" s="175"/>
      <c r="G530" s="174"/>
      <c r="H530" s="174">
        <v>650</v>
      </c>
      <c r="I530" s="174"/>
      <c r="J530" s="176">
        <f t="shared" si="81"/>
        <v>650</v>
      </c>
      <c r="K530" s="174"/>
      <c r="L530" s="174"/>
      <c r="M530" s="174"/>
      <c r="N530" s="177">
        <f t="shared" si="83"/>
        <v>650</v>
      </c>
      <c r="O530" s="210"/>
    </row>
    <row r="531" spans="1:15" ht="11.25" customHeight="1">
      <c r="A531" s="171"/>
      <c r="B531" s="172"/>
      <c r="C531" s="287" t="s">
        <v>625</v>
      </c>
      <c r="D531" s="174"/>
      <c r="E531" s="174"/>
      <c r="F531" s="175"/>
      <c r="G531" s="174"/>
      <c r="H531" s="174">
        <v>650</v>
      </c>
      <c r="I531" s="174"/>
      <c r="J531" s="176">
        <f t="shared" si="81"/>
        <v>650</v>
      </c>
      <c r="K531" s="174"/>
      <c r="L531" s="174"/>
      <c r="M531" s="174"/>
      <c r="N531" s="177">
        <f t="shared" si="83"/>
        <v>650</v>
      </c>
      <c r="O531" s="210"/>
    </row>
    <row r="532" spans="1:15" ht="11.25" customHeight="1">
      <c r="A532" s="171"/>
      <c r="B532" s="172">
        <v>4</v>
      </c>
      <c r="C532" s="173" t="s">
        <v>549</v>
      </c>
      <c r="D532" s="174"/>
      <c r="E532" s="174"/>
      <c r="F532" s="175"/>
      <c r="G532" s="174"/>
      <c r="H532" s="174"/>
      <c r="I532" s="174"/>
      <c r="J532" s="176"/>
      <c r="K532" s="174"/>
      <c r="L532" s="174"/>
      <c r="M532" s="174"/>
      <c r="N532" s="177"/>
      <c r="O532" s="210"/>
    </row>
    <row r="533" spans="1:15" ht="11.25" customHeight="1">
      <c r="A533" s="171"/>
      <c r="B533" s="172"/>
      <c r="C533" s="287" t="s">
        <v>623</v>
      </c>
      <c r="D533" s="174"/>
      <c r="E533" s="174"/>
      <c r="F533" s="175"/>
      <c r="G533" s="174"/>
      <c r="H533" s="174"/>
      <c r="I533" s="174"/>
      <c r="J533" s="176">
        <f t="shared" si="81"/>
        <v>0</v>
      </c>
      <c r="K533" s="174"/>
      <c r="L533" s="174"/>
      <c r="M533" s="174"/>
      <c r="N533" s="177">
        <f t="shared" si="83"/>
        <v>0</v>
      </c>
      <c r="O533" s="210"/>
    </row>
    <row r="534" spans="1:15" ht="11.25" customHeight="1">
      <c r="A534" s="171"/>
      <c r="B534" s="172"/>
      <c r="C534" s="287" t="s">
        <v>624</v>
      </c>
      <c r="D534" s="174"/>
      <c r="E534" s="174"/>
      <c r="F534" s="175"/>
      <c r="G534" s="174"/>
      <c r="H534" s="174">
        <v>450</v>
      </c>
      <c r="I534" s="174"/>
      <c r="J534" s="176">
        <f t="shared" si="81"/>
        <v>450</v>
      </c>
      <c r="K534" s="174"/>
      <c r="L534" s="174"/>
      <c r="M534" s="174"/>
      <c r="N534" s="177">
        <f t="shared" si="83"/>
        <v>450</v>
      </c>
      <c r="O534" s="210"/>
    </row>
    <row r="535" spans="1:15" ht="11.25" customHeight="1" thickBot="1">
      <c r="A535" s="171"/>
      <c r="B535" s="172"/>
      <c r="C535" s="287" t="s">
        <v>625</v>
      </c>
      <c r="D535" s="174"/>
      <c r="E535" s="174"/>
      <c r="F535" s="175"/>
      <c r="G535" s="174"/>
      <c r="H535" s="174">
        <f>290+10+150</f>
        <v>450</v>
      </c>
      <c r="I535" s="174"/>
      <c r="J535" s="176">
        <f t="shared" si="81"/>
        <v>450</v>
      </c>
      <c r="K535" s="174"/>
      <c r="L535" s="174"/>
      <c r="M535" s="174"/>
      <c r="N535" s="177">
        <f t="shared" si="83"/>
        <v>450</v>
      </c>
      <c r="O535" s="210"/>
    </row>
    <row r="536" spans="1:15" s="179" customFormat="1" ht="12.75" customHeight="1">
      <c r="A536" s="186">
        <v>36</v>
      </c>
      <c r="B536" s="250" t="s">
        <v>312</v>
      </c>
      <c r="C536" s="188" t="s">
        <v>823</v>
      </c>
      <c r="D536" s="194"/>
      <c r="E536" s="194"/>
      <c r="F536" s="188"/>
      <c r="G536" s="194"/>
      <c r="H536" s="194"/>
      <c r="I536" s="194"/>
      <c r="J536" s="194"/>
      <c r="K536" s="194"/>
      <c r="L536" s="194"/>
      <c r="M536" s="194"/>
      <c r="N536" s="188"/>
      <c r="O536" s="212"/>
    </row>
    <row r="537" spans="1:15" s="179" customFormat="1" ht="12.75" customHeight="1">
      <c r="A537" s="171"/>
      <c r="B537" s="251"/>
      <c r="C537" s="287" t="s">
        <v>623</v>
      </c>
      <c r="D537" s="176">
        <v>34503</v>
      </c>
      <c r="E537" s="176">
        <v>4667</v>
      </c>
      <c r="F537" s="177">
        <v>0</v>
      </c>
      <c r="G537" s="176"/>
      <c r="H537" s="176"/>
      <c r="I537" s="176"/>
      <c r="J537" s="176">
        <f>SUM(D537:I537)</f>
        <v>39170</v>
      </c>
      <c r="K537" s="176"/>
      <c r="L537" s="176"/>
      <c r="M537" s="176"/>
      <c r="N537" s="177">
        <f>SUM(J537:M537)</f>
        <v>39170</v>
      </c>
      <c r="O537" s="210">
        <v>98</v>
      </c>
    </row>
    <row r="538" spans="1:15" s="179" customFormat="1" ht="12.75" customHeight="1">
      <c r="A538" s="171"/>
      <c r="B538" s="251"/>
      <c r="C538" s="287" t="s">
        <v>624</v>
      </c>
      <c r="D538" s="176">
        <v>26584</v>
      </c>
      <c r="E538" s="176">
        <v>3641</v>
      </c>
      <c r="F538" s="177">
        <v>1492</v>
      </c>
      <c r="G538" s="176"/>
      <c r="H538" s="176"/>
      <c r="I538" s="176">
        <v>436</v>
      </c>
      <c r="J538" s="176">
        <f>SUM(D538:I538)</f>
        <v>32153</v>
      </c>
      <c r="K538" s="176"/>
      <c r="L538" s="176"/>
      <c r="M538" s="176"/>
      <c r="N538" s="177">
        <f>SUM(J538:M538)</f>
        <v>32153</v>
      </c>
      <c r="O538" s="210">
        <v>98</v>
      </c>
    </row>
    <row r="539" spans="1:15" s="179" customFormat="1" ht="12.75" customHeight="1" thickBot="1">
      <c r="A539" s="158"/>
      <c r="B539" s="249"/>
      <c r="C539" s="303" t="s">
        <v>625</v>
      </c>
      <c r="D539" s="162">
        <f>12985+6410+3153</f>
        <v>22548</v>
      </c>
      <c r="E539" s="162">
        <f>1788+899+430</f>
        <v>3117</v>
      </c>
      <c r="F539" s="163">
        <f>358+10+56+269+10+137</f>
        <v>840</v>
      </c>
      <c r="G539" s="162"/>
      <c r="H539" s="162"/>
      <c r="I539" s="162">
        <v>248</v>
      </c>
      <c r="J539" s="196">
        <f>SUM(D539:I539)</f>
        <v>26753</v>
      </c>
      <c r="K539" s="162"/>
      <c r="L539" s="162"/>
      <c r="M539" s="162"/>
      <c r="N539" s="197">
        <f>SUM(J539:M539)</f>
        <v>26753</v>
      </c>
      <c r="O539" s="208">
        <f>13+9+4-1</f>
        <v>25</v>
      </c>
    </row>
    <row r="540" spans="1:15" s="179" customFormat="1" ht="12.75" customHeight="1">
      <c r="A540" s="186">
        <v>37</v>
      </c>
      <c r="B540" s="250">
        <v>1</v>
      </c>
      <c r="C540" s="188" t="s">
        <v>824</v>
      </c>
      <c r="D540" s="194"/>
      <c r="E540" s="194"/>
      <c r="F540" s="188"/>
      <c r="G540" s="194"/>
      <c r="H540" s="194"/>
      <c r="I540" s="194"/>
      <c r="J540" s="194"/>
      <c r="K540" s="194"/>
      <c r="L540" s="194"/>
      <c r="M540" s="194"/>
      <c r="N540" s="188"/>
      <c r="O540" s="212"/>
    </row>
    <row r="541" spans="1:15" s="179" customFormat="1" ht="12.75" customHeight="1">
      <c r="A541" s="171"/>
      <c r="B541" s="251"/>
      <c r="C541" s="287" t="s">
        <v>623</v>
      </c>
      <c r="D541" s="176">
        <v>1785</v>
      </c>
      <c r="E541" s="176">
        <v>482</v>
      </c>
      <c r="F541" s="176">
        <v>0</v>
      </c>
      <c r="G541" s="176">
        <v>0</v>
      </c>
      <c r="H541" s="176">
        <v>0</v>
      </c>
      <c r="I541" s="176">
        <v>0</v>
      </c>
      <c r="J541" s="176">
        <f>SUM(D541:I541)</f>
        <v>2267</v>
      </c>
      <c r="K541" s="176"/>
      <c r="L541" s="176"/>
      <c r="M541" s="176"/>
      <c r="N541" s="177">
        <f>SUM(J541:M541)</f>
        <v>2267</v>
      </c>
      <c r="O541" s="210">
        <v>1</v>
      </c>
    </row>
    <row r="542" spans="1:15" s="179" customFormat="1" ht="12.75" customHeight="1">
      <c r="A542" s="171"/>
      <c r="B542" s="251"/>
      <c r="C542" s="287" t="s">
        <v>624</v>
      </c>
      <c r="D542" s="176">
        <v>1785</v>
      </c>
      <c r="E542" s="176">
        <v>482</v>
      </c>
      <c r="F542" s="176">
        <v>3</v>
      </c>
      <c r="G542" s="176">
        <v>0</v>
      </c>
      <c r="H542" s="176">
        <v>0</v>
      </c>
      <c r="I542" s="176">
        <v>0</v>
      </c>
      <c r="J542" s="176">
        <f>SUM(D542:I542)</f>
        <v>2270</v>
      </c>
      <c r="K542" s="176"/>
      <c r="L542" s="176"/>
      <c r="M542" s="176"/>
      <c r="N542" s="177">
        <f>SUM(J542:M542)</f>
        <v>2270</v>
      </c>
      <c r="O542" s="210">
        <v>1</v>
      </c>
    </row>
    <row r="543" spans="1:15" s="179" customFormat="1" ht="12.75" customHeight="1" thickBot="1">
      <c r="A543" s="607"/>
      <c r="B543" s="608"/>
      <c r="C543" s="288" t="s">
        <v>625</v>
      </c>
      <c r="D543" s="600">
        <v>1745</v>
      </c>
      <c r="E543" s="600">
        <v>410</v>
      </c>
      <c r="F543" s="600">
        <v>4</v>
      </c>
      <c r="G543" s="600"/>
      <c r="H543" s="600"/>
      <c r="I543" s="600"/>
      <c r="J543" s="600">
        <f>SUM(D543:I543)</f>
        <v>2159</v>
      </c>
      <c r="K543" s="600"/>
      <c r="L543" s="600"/>
      <c r="M543" s="600"/>
      <c r="N543" s="605">
        <f>SUM(J543:M543)</f>
        <v>2159</v>
      </c>
      <c r="O543" s="211">
        <v>1</v>
      </c>
    </row>
    <row r="544" spans="1:15" s="179" customFormat="1" ht="15" customHeight="1">
      <c r="A544" s="149">
        <v>38</v>
      </c>
      <c r="B544" s="615"/>
      <c r="C544" s="1376" t="s">
        <v>204</v>
      </c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2"/>
      <c r="O544" s="206"/>
    </row>
    <row r="545" spans="1:15" s="179" customFormat="1" ht="10.5" customHeight="1">
      <c r="A545" s="171"/>
      <c r="B545" s="251"/>
      <c r="C545" s="287" t="s">
        <v>623</v>
      </c>
      <c r="D545" s="176">
        <f aca="true" t="shared" si="85" ref="D545:I545">D549+D553</f>
        <v>0</v>
      </c>
      <c r="E545" s="176">
        <f t="shared" si="85"/>
        <v>0</v>
      </c>
      <c r="F545" s="176">
        <f t="shared" si="85"/>
        <v>0</v>
      </c>
      <c r="G545" s="176">
        <f t="shared" si="85"/>
        <v>0</v>
      </c>
      <c r="H545" s="176">
        <f t="shared" si="85"/>
        <v>500</v>
      </c>
      <c r="I545" s="176">
        <f t="shared" si="85"/>
        <v>0</v>
      </c>
      <c r="J545" s="176">
        <f>SUM(D545:I545)</f>
        <v>500</v>
      </c>
      <c r="K545" s="176"/>
      <c r="L545" s="176"/>
      <c r="M545" s="176"/>
      <c r="N545" s="177">
        <f>SUM(J545:M545)</f>
        <v>500</v>
      </c>
      <c r="O545" s="210"/>
    </row>
    <row r="546" spans="1:15" s="179" customFormat="1" ht="10.5" customHeight="1">
      <c r="A546" s="171"/>
      <c r="B546" s="251"/>
      <c r="C546" s="287" t="s">
        <v>624</v>
      </c>
      <c r="D546" s="176">
        <f aca="true" t="shared" si="86" ref="D546:I547">D550+D554</f>
        <v>0</v>
      </c>
      <c r="E546" s="176">
        <f t="shared" si="86"/>
        <v>0</v>
      </c>
      <c r="F546" s="176">
        <f t="shared" si="86"/>
        <v>0</v>
      </c>
      <c r="G546" s="176">
        <f t="shared" si="86"/>
        <v>0</v>
      </c>
      <c r="H546" s="176">
        <f>H550+H554+H558</f>
        <v>550</v>
      </c>
      <c r="I546" s="176">
        <f t="shared" si="86"/>
        <v>0</v>
      </c>
      <c r="J546" s="176">
        <f>SUM(D546:I546)</f>
        <v>550</v>
      </c>
      <c r="K546" s="176"/>
      <c r="L546" s="176"/>
      <c r="M546" s="176"/>
      <c r="N546" s="177">
        <f>SUM(J546:M546)</f>
        <v>550</v>
      </c>
      <c r="O546" s="210"/>
    </row>
    <row r="547" spans="1:15" s="179" customFormat="1" ht="10.5" customHeight="1">
      <c r="A547" s="171"/>
      <c r="B547" s="251"/>
      <c r="C547" s="287" t="s">
        <v>625</v>
      </c>
      <c r="D547" s="176">
        <f t="shared" si="86"/>
        <v>0</v>
      </c>
      <c r="E547" s="176">
        <f t="shared" si="86"/>
        <v>0</v>
      </c>
      <c r="F547" s="176">
        <f t="shared" si="86"/>
        <v>0</v>
      </c>
      <c r="G547" s="176">
        <f t="shared" si="86"/>
        <v>0</v>
      </c>
      <c r="H547" s="176">
        <f>H551+H555+H559</f>
        <v>550</v>
      </c>
      <c r="I547" s="176">
        <f t="shared" si="86"/>
        <v>0</v>
      </c>
      <c r="J547" s="176">
        <f>SUM(D547:I547)</f>
        <v>550</v>
      </c>
      <c r="K547" s="176"/>
      <c r="L547" s="176"/>
      <c r="M547" s="176"/>
      <c r="N547" s="177">
        <f>SUM(J547:M547)</f>
        <v>550</v>
      </c>
      <c r="O547" s="210"/>
    </row>
    <row r="548" spans="1:15" ht="10.5" customHeight="1">
      <c r="A548" s="171"/>
      <c r="B548" s="191" t="s">
        <v>312</v>
      </c>
      <c r="C548" s="198" t="s">
        <v>205</v>
      </c>
      <c r="D548" s="174"/>
      <c r="E548" s="174"/>
      <c r="F548" s="175"/>
      <c r="G548" s="174"/>
      <c r="H548" s="174"/>
      <c r="I548" s="174"/>
      <c r="J548" s="176"/>
      <c r="K548" s="174"/>
      <c r="L548" s="174"/>
      <c r="M548" s="174"/>
      <c r="N548" s="177"/>
      <c r="O548" s="210"/>
    </row>
    <row r="549" spans="1:15" ht="10.5" customHeight="1">
      <c r="A549" s="171"/>
      <c r="B549" s="191"/>
      <c r="C549" s="287" t="s">
        <v>623</v>
      </c>
      <c r="D549" s="174"/>
      <c r="E549" s="174"/>
      <c r="F549" s="175"/>
      <c r="G549" s="174"/>
      <c r="H549" s="174">
        <v>100</v>
      </c>
      <c r="I549" s="174"/>
      <c r="J549" s="176">
        <f>SUM(D549:I549)</f>
        <v>100</v>
      </c>
      <c r="K549" s="174"/>
      <c r="L549" s="174"/>
      <c r="M549" s="174"/>
      <c r="N549" s="177">
        <f>SUM(J549:M549)</f>
        <v>100</v>
      </c>
      <c r="O549" s="210"/>
    </row>
    <row r="550" spans="1:15" ht="10.5" customHeight="1">
      <c r="A550" s="171"/>
      <c r="B550" s="191"/>
      <c r="C550" s="287" t="s">
        <v>624</v>
      </c>
      <c r="D550" s="174"/>
      <c r="E550" s="174"/>
      <c r="F550" s="175"/>
      <c r="G550" s="174"/>
      <c r="H550" s="174">
        <v>100</v>
      </c>
      <c r="I550" s="174"/>
      <c r="J550" s="176">
        <f>SUM(D550:I550)</f>
        <v>100</v>
      </c>
      <c r="K550" s="174"/>
      <c r="L550" s="174"/>
      <c r="M550" s="174"/>
      <c r="N550" s="177">
        <f>SUM(J550:M550)</f>
        <v>100</v>
      </c>
      <c r="O550" s="210"/>
    </row>
    <row r="551" spans="1:15" ht="10.5" customHeight="1">
      <c r="A551" s="171"/>
      <c r="B551" s="191"/>
      <c r="C551" s="287" t="s">
        <v>625</v>
      </c>
      <c r="D551" s="174"/>
      <c r="E551" s="174"/>
      <c r="F551" s="175"/>
      <c r="G551" s="174"/>
      <c r="H551" s="174">
        <v>100</v>
      </c>
      <c r="I551" s="174"/>
      <c r="J551" s="176">
        <f>SUM(D551:I551)</f>
        <v>100</v>
      </c>
      <c r="K551" s="174"/>
      <c r="L551" s="174"/>
      <c r="M551" s="174"/>
      <c r="N551" s="177">
        <f>SUM(J551:M551)</f>
        <v>100</v>
      </c>
      <c r="O551" s="210"/>
    </row>
    <row r="552" spans="1:15" ht="12.75" customHeight="1">
      <c r="A552" s="171"/>
      <c r="B552" s="191" t="s">
        <v>314</v>
      </c>
      <c r="C552" s="198" t="s">
        <v>206</v>
      </c>
      <c r="D552" s="174"/>
      <c r="E552" s="174"/>
      <c r="F552" s="175"/>
      <c r="G552" s="174"/>
      <c r="H552" s="174"/>
      <c r="I552" s="174"/>
      <c r="J552" s="176"/>
      <c r="K552" s="174"/>
      <c r="L552" s="174"/>
      <c r="M552" s="174"/>
      <c r="N552" s="177"/>
      <c r="O552" s="210"/>
    </row>
    <row r="553" spans="1:15" ht="12.75" customHeight="1">
      <c r="A553" s="171"/>
      <c r="B553" s="191"/>
      <c r="C553" s="287" t="s">
        <v>623</v>
      </c>
      <c r="D553" s="174"/>
      <c r="E553" s="174"/>
      <c r="F553" s="175"/>
      <c r="G553" s="174"/>
      <c r="H553" s="174">
        <v>400</v>
      </c>
      <c r="I553" s="174"/>
      <c r="J553" s="176">
        <f>SUM(D553:I553)</f>
        <v>400</v>
      </c>
      <c r="K553" s="174"/>
      <c r="L553" s="174"/>
      <c r="M553" s="174"/>
      <c r="N553" s="177">
        <f>SUM(J553:M553)</f>
        <v>400</v>
      </c>
      <c r="O553" s="210"/>
    </row>
    <row r="554" spans="1:15" ht="12.75" customHeight="1">
      <c r="A554" s="171"/>
      <c r="B554" s="191"/>
      <c r="C554" s="287" t="s">
        <v>624</v>
      </c>
      <c r="D554" s="174"/>
      <c r="E554" s="174"/>
      <c r="F554" s="175"/>
      <c r="G554" s="174"/>
      <c r="H554" s="174">
        <v>400</v>
      </c>
      <c r="I554" s="174"/>
      <c r="J554" s="176">
        <f>SUM(D554:I554)</f>
        <v>400</v>
      </c>
      <c r="K554" s="174"/>
      <c r="L554" s="174"/>
      <c r="M554" s="174"/>
      <c r="N554" s="177">
        <f>SUM(J554:M554)</f>
        <v>400</v>
      </c>
      <c r="O554" s="210"/>
    </row>
    <row r="555" spans="1:15" ht="12.75" customHeight="1">
      <c r="A555" s="607"/>
      <c r="B555" s="1375"/>
      <c r="C555" s="288" t="s">
        <v>625</v>
      </c>
      <c r="D555" s="604"/>
      <c r="E555" s="604"/>
      <c r="F555" s="610"/>
      <c r="G555" s="604"/>
      <c r="H555" s="604">
        <v>400</v>
      </c>
      <c r="I555" s="604"/>
      <c r="J555" s="600">
        <f>SUM(D555:I555)</f>
        <v>400</v>
      </c>
      <c r="K555" s="604"/>
      <c r="L555" s="604"/>
      <c r="M555" s="604"/>
      <c r="N555" s="605">
        <f>SUM(J555:M555)</f>
        <v>400</v>
      </c>
      <c r="O555" s="211"/>
    </row>
    <row r="556" spans="1:15" ht="12.75" customHeight="1">
      <c r="A556" s="171"/>
      <c r="B556" s="191" t="s">
        <v>316</v>
      </c>
      <c r="C556" s="287" t="s">
        <v>825</v>
      </c>
      <c r="D556" s="174"/>
      <c r="E556" s="174"/>
      <c r="F556" s="175"/>
      <c r="G556" s="174"/>
      <c r="H556" s="174"/>
      <c r="I556" s="174"/>
      <c r="J556" s="176"/>
      <c r="K556" s="174"/>
      <c r="L556" s="174"/>
      <c r="M556" s="174"/>
      <c r="N556" s="177"/>
      <c r="O556" s="210"/>
    </row>
    <row r="557" spans="1:15" ht="12.75" customHeight="1">
      <c r="A557" s="171"/>
      <c r="B557" s="191"/>
      <c r="C557" s="287" t="s">
        <v>623</v>
      </c>
      <c r="D557" s="174"/>
      <c r="E557" s="174"/>
      <c r="F557" s="175"/>
      <c r="G557" s="174"/>
      <c r="H557" s="174"/>
      <c r="I557" s="174"/>
      <c r="J557" s="176"/>
      <c r="K557" s="174"/>
      <c r="L557" s="174"/>
      <c r="M557" s="174"/>
      <c r="N557" s="177"/>
      <c r="O557" s="210"/>
    </row>
    <row r="558" spans="1:15" ht="12.75" customHeight="1">
      <c r="A558" s="171"/>
      <c r="B558" s="191"/>
      <c r="C558" s="287" t="s">
        <v>624</v>
      </c>
      <c r="D558" s="174"/>
      <c r="E558" s="174"/>
      <c r="F558" s="175"/>
      <c r="G558" s="174"/>
      <c r="H558" s="174">
        <v>50</v>
      </c>
      <c r="I558" s="174"/>
      <c r="J558" s="176">
        <f>H558</f>
        <v>50</v>
      </c>
      <c r="K558" s="174"/>
      <c r="L558" s="174"/>
      <c r="M558" s="174"/>
      <c r="N558" s="177">
        <f>J558</f>
        <v>50</v>
      </c>
      <c r="O558" s="210"/>
    </row>
    <row r="559" spans="1:15" ht="12.75" customHeight="1" thickBot="1">
      <c r="A559" s="165"/>
      <c r="B559" s="189"/>
      <c r="C559" s="302" t="s">
        <v>625</v>
      </c>
      <c r="D559" s="167"/>
      <c r="E559" s="167"/>
      <c r="F559" s="168"/>
      <c r="G559" s="167"/>
      <c r="H559" s="167">
        <v>50</v>
      </c>
      <c r="I559" s="167"/>
      <c r="J559" s="169">
        <f>H559</f>
        <v>50</v>
      </c>
      <c r="K559" s="167"/>
      <c r="L559" s="167"/>
      <c r="M559" s="167"/>
      <c r="N559" s="170">
        <f>J559</f>
        <v>50</v>
      </c>
      <c r="O559" s="209"/>
    </row>
    <row r="560" spans="1:15" s="179" customFormat="1" ht="12.75" customHeight="1">
      <c r="A560" s="154">
        <v>39</v>
      </c>
      <c r="B560" s="182"/>
      <c r="C560" s="157" t="s">
        <v>207</v>
      </c>
      <c r="D560" s="156"/>
      <c r="E560" s="156"/>
      <c r="F560" s="156"/>
      <c r="G560" s="156"/>
      <c r="H560" s="156"/>
      <c r="I560" s="156"/>
      <c r="J560" s="156"/>
      <c r="K560" s="157"/>
      <c r="L560" s="157"/>
      <c r="M560" s="157"/>
      <c r="N560" s="157"/>
      <c r="O560" s="207"/>
    </row>
    <row r="561" spans="1:15" s="179" customFormat="1" ht="12.75" customHeight="1">
      <c r="A561" s="171"/>
      <c r="B561" s="251"/>
      <c r="C561" s="287" t="s">
        <v>623</v>
      </c>
      <c r="D561" s="176">
        <f aca="true" t="shared" si="87" ref="D561:I563">D565+D569+D573+D577+D581+D585+D589+D593+D597</f>
        <v>0</v>
      </c>
      <c r="E561" s="176">
        <f t="shared" si="87"/>
        <v>0</v>
      </c>
      <c r="F561" s="176">
        <f t="shared" si="87"/>
        <v>16200</v>
      </c>
      <c r="G561" s="176">
        <f t="shared" si="87"/>
        <v>0</v>
      </c>
      <c r="H561" s="176">
        <f t="shared" si="87"/>
        <v>870</v>
      </c>
      <c r="I561" s="176">
        <f t="shared" si="87"/>
        <v>0</v>
      </c>
      <c r="J561" s="176">
        <f>SUM(D561:I561)</f>
        <v>17070</v>
      </c>
      <c r="K561" s="176">
        <f>K565+K569+K573+K577+K581+K585</f>
        <v>0</v>
      </c>
      <c r="L561" s="176">
        <f>L565+L569+L573+L577+L581+L585</f>
        <v>0</v>
      </c>
      <c r="M561" s="176">
        <f>M565+M569+M573+M577+M581+M585</f>
        <v>0</v>
      </c>
      <c r="N561" s="177">
        <f>SUM(J561:M561)</f>
        <v>17070</v>
      </c>
      <c r="O561" s="210"/>
    </row>
    <row r="562" spans="1:15" s="179" customFormat="1" ht="12.75" customHeight="1">
      <c r="A562" s="171"/>
      <c r="B562" s="251"/>
      <c r="C562" s="287" t="s">
        <v>624</v>
      </c>
      <c r="D562" s="176">
        <f t="shared" si="87"/>
        <v>0</v>
      </c>
      <c r="E562" s="176">
        <f t="shared" si="87"/>
        <v>0</v>
      </c>
      <c r="F562" s="176">
        <f t="shared" si="87"/>
        <v>17420</v>
      </c>
      <c r="G562" s="176">
        <f t="shared" si="87"/>
        <v>0</v>
      </c>
      <c r="H562" s="176">
        <f t="shared" si="87"/>
        <v>3877</v>
      </c>
      <c r="I562" s="176">
        <f t="shared" si="87"/>
        <v>0</v>
      </c>
      <c r="J562" s="176">
        <f>SUM(D562:I562)</f>
        <v>21297</v>
      </c>
      <c r="K562" s="176">
        <f aca="true" t="shared" si="88" ref="K562:M563">K566+K570+K574+K578+K582+K586</f>
        <v>0</v>
      </c>
      <c r="L562" s="176">
        <f t="shared" si="88"/>
        <v>0</v>
      </c>
      <c r="M562" s="176">
        <f t="shared" si="88"/>
        <v>0</v>
      </c>
      <c r="N562" s="177">
        <f>SUM(J562:M562)</f>
        <v>21297</v>
      </c>
      <c r="O562" s="210"/>
    </row>
    <row r="563" spans="1:15" s="179" customFormat="1" ht="12.75" customHeight="1">
      <c r="A563" s="171"/>
      <c r="B563" s="251"/>
      <c r="C563" s="287" t="s">
        <v>625</v>
      </c>
      <c r="D563" s="176">
        <f t="shared" si="87"/>
        <v>0</v>
      </c>
      <c r="E563" s="176">
        <f t="shared" si="87"/>
        <v>0</v>
      </c>
      <c r="F563" s="176">
        <f t="shared" si="87"/>
        <v>12632</v>
      </c>
      <c r="G563" s="176">
        <f t="shared" si="87"/>
        <v>0</v>
      </c>
      <c r="H563" s="176">
        <f t="shared" si="87"/>
        <v>500</v>
      </c>
      <c r="I563" s="176">
        <f t="shared" si="87"/>
        <v>0</v>
      </c>
      <c r="J563" s="176">
        <f>SUM(D563:I563)</f>
        <v>13132</v>
      </c>
      <c r="K563" s="176">
        <f t="shared" si="88"/>
        <v>0</v>
      </c>
      <c r="L563" s="176">
        <f t="shared" si="88"/>
        <v>0</v>
      </c>
      <c r="M563" s="176">
        <f t="shared" si="88"/>
        <v>0</v>
      </c>
      <c r="N563" s="177">
        <f>SUM(J563:M563)</f>
        <v>13132</v>
      </c>
      <c r="O563" s="210"/>
    </row>
    <row r="564" spans="1:15" ht="10.5" customHeight="1">
      <c r="A564" s="171"/>
      <c r="B564" s="191" t="s">
        <v>312</v>
      </c>
      <c r="C564" s="175" t="s">
        <v>208</v>
      </c>
      <c r="D564" s="174"/>
      <c r="E564" s="174"/>
      <c r="F564" s="175"/>
      <c r="G564" s="175"/>
      <c r="H564" s="174"/>
      <c r="I564" s="174"/>
      <c r="J564" s="176"/>
      <c r="K564" s="175"/>
      <c r="L564" s="175"/>
      <c r="M564" s="175"/>
      <c r="N564" s="177"/>
      <c r="O564" s="210"/>
    </row>
    <row r="565" spans="1:15" ht="10.5" customHeight="1">
      <c r="A565" s="171"/>
      <c r="B565" s="191"/>
      <c r="C565" s="287" t="s">
        <v>623</v>
      </c>
      <c r="D565" s="174"/>
      <c r="E565" s="174"/>
      <c r="F565" s="175">
        <v>6500</v>
      </c>
      <c r="G565" s="175"/>
      <c r="H565" s="174"/>
      <c r="I565" s="174"/>
      <c r="J565" s="176">
        <f>SUM(D565:I565)</f>
        <v>6500</v>
      </c>
      <c r="K565" s="175"/>
      <c r="L565" s="175"/>
      <c r="M565" s="175"/>
      <c r="N565" s="177">
        <f>SUM(J565:M565)</f>
        <v>6500</v>
      </c>
      <c r="O565" s="210"/>
    </row>
    <row r="566" spans="1:15" ht="10.5" customHeight="1">
      <c r="A566" s="171"/>
      <c r="B566" s="191"/>
      <c r="C566" s="287" t="s">
        <v>624</v>
      </c>
      <c r="D566" s="174"/>
      <c r="E566" s="174"/>
      <c r="F566" s="175">
        <v>6300</v>
      </c>
      <c r="G566" s="175"/>
      <c r="H566" s="174">
        <v>3077</v>
      </c>
      <c r="I566" s="174"/>
      <c r="J566" s="176">
        <f>SUM(D566:I566)</f>
        <v>9377</v>
      </c>
      <c r="K566" s="175"/>
      <c r="L566" s="175"/>
      <c r="M566" s="175"/>
      <c r="N566" s="177">
        <f>SUM(J566:M566)</f>
        <v>9377</v>
      </c>
      <c r="O566" s="210"/>
    </row>
    <row r="567" spans="1:15" ht="10.5" customHeight="1">
      <c r="A567" s="171"/>
      <c r="B567" s="191"/>
      <c r="C567" s="287" t="s">
        <v>625</v>
      </c>
      <c r="D567" s="174"/>
      <c r="E567" s="174"/>
      <c r="F567" s="175">
        <v>5910</v>
      </c>
      <c r="G567" s="175"/>
      <c r="H567" s="174">
        <v>0</v>
      </c>
      <c r="I567" s="174"/>
      <c r="J567" s="176">
        <f>SUM(D567:I567)</f>
        <v>5910</v>
      </c>
      <c r="K567" s="175"/>
      <c r="L567" s="175"/>
      <c r="M567" s="175"/>
      <c r="N567" s="177">
        <f>SUM(J567:M567)</f>
        <v>5910</v>
      </c>
      <c r="O567" s="210"/>
    </row>
    <row r="568" spans="1:15" ht="10.5" customHeight="1">
      <c r="A568" s="171"/>
      <c r="B568" s="191" t="s">
        <v>314</v>
      </c>
      <c r="C568" s="175" t="s">
        <v>209</v>
      </c>
      <c r="D568" s="174"/>
      <c r="E568" s="174"/>
      <c r="F568" s="175"/>
      <c r="G568" s="175"/>
      <c r="H568" s="174"/>
      <c r="I568" s="174"/>
      <c r="J568" s="176"/>
      <c r="K568" s="175"/>
      <c r="L568" s="175"/>
      <c r="M568" s="175"/>
      <c r="N568" s="177"/>
      <c r="O568" s="210"/>
    </row>
    <row r="569" spans="1:15" ht="10.5" customHeight="1">
      <c r="A569" s="171"/>
      <c r="B569" s="191"/>
      <c r="C569" s="287" t="s">
        <v>623</v>
      </c>
      <c r="D569" s="174"/>
      <c r="E569" s="174"/>
      <c r="F569" s="175"/>
      <c r="G569" s="175"/>
      <c r="H569" s="174">
        <v>450</v>
      </c>
      <c r="I569" s="174"/>
      <c r="J569" s="176">
        <f>SUM(D569:I569)</f>
        <v>450</v>
      </c>
      <c r="K569" s="175"/>
      <c r="L569" s="175"/>
      <c r="M569" s="175"/>
      <c r="N569" s="177">
        <f>SUM(J569:M569)</f>
        <v>450</v>
      </c>
      <c r="O569" s="210"/>
    </row>
    <row r="570" spans="1:15" ht="10.5" customHeight="1">
      <c r="A570" s="171"/>
      <c r="B570" s="191"/>
      <c r="C570" s="287" t="s">
        <v>624</v>
      </c>
      <c r="D570" s="174"/>
      <c r="E570" s="174"/>
      <c r="F570" s="175"/>
      <c r="G570" s="175"/>
      <c r="H570" s="174">
        <v>450</v>
      </c>
      <c r="I570" s="174"/>
      <c r="J570" s="176">
        <f>SUM(D570:I570)</f>
        <v>450</v>
      </c>
      <c r="K570" s="175"/>
      <c r="L570" s="175"/>
      <c r="M570" s="175"/>
      <c r="N570" s="177">
        <f>SUM(J570:M570)</f>
        <v>450</v>
      </c>
      <c r="O570" s="210"/>
    </row>
    <row r="571" spans="1:15" ht="10.5" customHeight="1">
      <c r="A571" s="171"/>
      <c r="B571" s="191"/>
      <c r="C571" s="287" t="s">
        <v>625</v>
      </c>
      <c r="D571" s="174"/>
      <c r="E571" s="174"/>
      <c r="F571" s="175"/>
      <c r="G571" s="175"/>
      <c r="H571" s="174">
        <v>450</v>
      </c>
      <c r="I571" s="174"/>
      <c r="J571" s="176">
        <f>SUM(D571:I571)</f>
        <v>450</v>
      </c>
      <c r="K571" s="175"/>
      <c r="L571" s="175"/>
      <c r="M571" s="175"/>
      <c r="N571" s="177">
        <f>SUM(J571:M571)</f>
        <v>450</v>
      </c>
      <c r="O571" s="210"/>
    </row>
    <row r="572" spans="1:15" ht="10.5" customHeight="1">
      <c r="A572" s="171"/>
      <c r="B572" s="191" t="s">
        <v>316</v>
      </c>
      <c r="C572" s="173" t="s">
        <v>826</v>
      </c>
      <c r="D572" s="174"/>
      <c r="E572" s="174"/>
      <c r="F572" s="175"/>
      <c r="G572" s="175"/>
      <c r="H572" s="174"/>
      <c r="I572" s="174"/>
      <c r="J572" s="176"/>
      <c r="K572" s="175"/>
      <c r="L572" s="175"/>
      <c r="M572" s="175"/>
      <c r="N572" s="177"/>
      <c r="O572" s="210"/>
    </row>
    <row r="573" spans="1:15" ht="10.5" customHeight="1">
      <c r="A573" s="171"/>
      <c r="B573" s="191"/>
      <c r="C573" s="287" t="s">
        <v>623</v>
      </c>
      <c r="D573" s="174"/>
      <c r="E573" s="174"/>
      <c r="F573" s="175">
        <v>9700</v>
      </c>
      <c r="G573" s="175"/>
      <c r="H573" s="174"/>
      <c r="I573" s="174"/>
      <c r="J573" s="176">
        <f>SUM(D573:I573)</f>
        <v>9700</v>
      </c>
      <c r="K573" s="175"/>
      <c r="L573" s="175"/>
      <c r="M573" s="175"/>
      <c r="N573" s="177">
        <f>SUM(J573:M573)</f>
        <v>9700</v>
      </c>
      <c r="O573" s="210"/>
    </row>
    <row r="574" spans="1:15" ht="10.5" customHeight="1">
      <c r="A574" s="171"/>
      <c r="B574" s="191"/>
      <c r="C574" s="287" t="s">
        <v>624</v>
      </c>
      <c r="D574" s="174"/>
      <c r="E574" s="174"/>
      <c r="F574" s="175">
        <v>9700</v>
      </c>
      <c r="G574" s="175"/>
      <c r="H574" s="174"/>
      <c r="I574" s="174"/>
      <c r="J574" s="176">
        <f>SUM(D574:I574)</f>
        <v>9700</v>
      </c>
      <c r="K574" s="175"/>
      <c r="L574" s="175"/>
      <c r="M574" s="175"/>
      <c r="N574" s="177">
        <f>SUM(J574:M574)</f>
        <v>9700</v>
      </c>
      <c r="O574" s="210"/>
    </row>
    <row r="575" spans="1:15" ht="10.5" customHeight="1">
      <c r="A575" s="171"/>
      <c r="B575" s="191"/>
      <c r="C575" s="287" t="s">
        <v>625</v>
      </c>
      <c r="D575" s="174"/>
      <c r="E575" s="174"/>
      <c r="F575" s="175">
        <v>5632</v>
      </c>
      <c r="G575" s="175"/>
      <c r="H575" s="174"/>
      <c r="I575" s="174"/>
      <c r="J575" s="176">
        <f>SUM(D575:I575)</f>
        <v>5632</v>
      </c>
      <c r="K575" s="175"/>
      <c r="L575" s="175"/>
      <c r="M575" s="175"/>
      <c r="N575" s="177">
        <f>SUM(J575:M575)</f>
        <v>5632</v>
      </c>
      <c r="O575" s="210"/>
    </row>
    <row r="576" spans="1:15" ht="10.5" customHeight="1">
      <c r="A576" s="171"/>
      <c r="B576" s="191" t="s">
        <v>318</v>
      </c>
      <c r="C576" s="173" t="s">
        <v>827</v>
      </c>
      <c r="D576" s="174"/>
      <c r="E576" s="174"/>
      <c r="F576" s="175"/>
      <c r="G576" s="175"/>
      <c r="H576" s="174"/>
      <c r="I576" s="174"/>
      <c r="J576" s="176"/>
      <c r="K576" s="175"/>
      <c r="L576" s="175"/>
      <c r="M576" s="175"/>
      <c r="N576" s="177"/>
      <c r="O576" s="210"/>
    </row>
    <row r="577" spans="1:15" ht="10.5" customHeight="1">
      <c r="A577" s="171"/>
      <c r="B577" s="191"/>
      <c r="C577" s="287" t="s">
        <v>623</v>
      </c>
      <c r="D577" s="174"/>
      <c r="E577" s="174"/>
      <c r="F577" s="175">
        <v>0</v>
      </c>
      <c r="G577" s="175"/>
      <c r="H577" s="174"/>
      <c r="I577" s="174"/>
      <c r="J577" s="176">
        <f>SUM(D577:I577)</f>
        <v>0</v>
      </c>
      <c r="K577" s="175"/>
      <c r="L577" s="175"/>
      <c r="M577" s="175"/>
      <c r="N577" s="177">
        <f>SUM(J577:M577)</f>
        <v>0</v>
      </c>
      <c r="O577" s="210"/>
    </row>
    <row r="578" spans="1:15" ht="10.5" customHeight="1">
      <c r="A578" s="171"/>
      <c r="B578" s="191"/>
      <c r="C578" s="287" t="s">
        <v>624</v>
      </c>
      <c r="D578" s="174"/>
      <c r="E578" s="174"/>
      <c r="F578" s="175">
        <v>600</v>
      </c>
      <c r="G578" s="175"/>
      <c r="H578" s="174"/>
      <c r="I578" s="174"/>
      <c r="J578" s="176">
        <f>SUM(D578:I578)</f>
        <v>600</v>
      </c>
      <c r="K578" s="175"/>
      <c r="L578" s="175"/>
      <c r="M578" s="175"/>
      <c r="N578" s="177">
        <f>SUM(J578:M578)</f>
        <v>600</v>
      </c>
      <c r="O578" s="210"/>
    </row>
    <row r="579" spans="1:15" ht="10.5" customHeight="1">
      <c r="A579" s="171"/>
      <c r="B579" s="191"/>
      <c r="C579" s="287" t="s">
        <v>625</v>
      </c>
      <c r="D579" s="174"/>
      <c r="E579" s="174"/>
      <c r="F579" s="175">
        <v>307</v>
      </c>
      <c r="G579" s="175"/>
      <c r="H579" s="174"/>
      <c r="I579" s="174"/>
      <c r="J579" s="176">
        <f>SUM(D579:I579)</f>
        <v>307</v>
      </c>
      <c r="K579" s="175"/>
      <c r="L579" s="175"/>
      <c r="M579" s="175"/>
      <c r="N579" s="177">
        <f>SUM(J579:M579)</f>
        <v>307</v>
      </c>
      <c r="O579" s="210"/>
    </row>
    <row r="580" spans="1:15" ht="10.5" customHeight="1">
      <c r="A580" s="171"/>
      <c r="B580" s="191" t="s">
        <v>320</v>
      </c>
      <c r="C580" s="199" t="s">
        <v>210</v>
      </c>
      <c r="D580" s="174"/>
      <c r="E580" s="174"/>
      <c r="F580" s="175"/>
      <c r="G580" s="175"/>
      <c r="H580" s="174"/>
      <c r="I580" s="174"/>
      <c r="J580" s="176"/>
      <c r="K580" s="175"/>
      <c r="L580" s="175"/>
      <c r="M580" s="175"/>
      <c r="N580" s="177"/>
      <c r="O580" s="210"/>
    </row>
    <row r="581" spans="1:15" ht="10.5" customHeight="1">
      <c r="A581" s="171"/>
      <c r="B581" s="191"/>
      <c r="C581" s="287" t="s">
        <v>623</v>
      </c>
      <c r="D581" s="174"/>
      <c r="E581" s="174"/>
      <c r="F581" s="175"/>
      <c r="G581" s="175"/>
      <c r="H581" s="174">
        <v>210</v>
      </c>
      <c r="I581" s="174"/>
      <c r="J581" s="176">
        <f>SUM(D581:I581)</f>
        <v>210</v>
      </c>
      <c r="K581" s="175"/>
      <c r="L581" s="175"/>
      <c r="M581" s="175"/>
      <c r="N581" s="177">
        <f>SUM(J581:M581)</f>
        <v>210</v>
      </c>
      <c r="O581" s="210"/>
    </row>
    <row r="582" spans="1:15" ht="10.5" customHeight="1">
      <c r="A582" s="171"/>
      <c r="B582" s="191"/>
      <c r="C582" s="287" t="s">
        <v>624</v>
      </c>
      <c r="D582" s="174"/>
      <c r="E582" s="174"/>
      <c r="F582" s="175">
        <v>210</v>
      </c>
      <c r="G582" s="175"/>
      <c r="H582" s="174">
        <v>0</v>
      </c>
      <c r="I582" s="174"/>
      <c r="J582" s="176">
        <f>SUM(D582:I582)</f>
        <v>210</v>
      </c>
      <c r="K582" s="175"/>
      <c r="L582" s="175"/>
      <c r="M582" s="175"/>
      <c r="N582" s="177">
        <f>SUM(J582:M582)</f>
        <v>210</v>
      </c>
      <c r="O582" s="210"/>
    </row>
    <row r="583" spans="1:15" ht="10.5" customHeight="1">
      <c r="A583" s="171"/>
      <c r="B583" s="191"/>
      <c r="C583" s="287" t="s">
        <v>625</v>
      </c>
      <c r="D583" s="174"/>
      <c r="E583" s="174"/>
      <c r="F583" s="175">
        <v>207</v>
      </c>
      <c r="G583" s="175"/>
      <c r="H583" s="174"/>
      <c r="I583" s="174"/>
      <c r="J583" s="176">
        <f>SUM(D583:I583)</f>
        <v>207</v>
      </c>
      <c r="K583" s="175"/>
      <c r="L583" s="175"/>
      <c r="M583" s="175"/>
      <c r="N583" s="177">
        <f>SUM(J583:M583)</f>
        <v>207</v>
      </c>
      <c r="O583" s="210"/>
    </row>
    <row r="584" spans="1:15" ht="10.5" customHeight="1">
      <c r="A584" s="171"/>
      <c r="B584" s="191" t="s">
        <v>322</v>
      </c>
      <c r="C584" s="283" t="s">
        <v>211</v>
      </c>
      <c r="D584" s="174"/>
      <c r="E584" s="174"/>
      <c r="F584" s="175"/>
      <c r="G584" s="175"/>
      <c r="H584" s="174"/>
      <c r="I584" s="174"/>
      <c r="J584" s="176"/>
      <c r="K584" s="175"/>
      <c r="L584" s="175"/>
      <c r="M584" s="175"/>
      <c r="N584" s="177"/>
      <c r="O584" s="210"/>
    </row>
    <row r="585" spans="1:15" ht="10.5" customHeight="1">
      <c r="A585" s="171"/>
      <c r="B585" s="191"/>
      <c r="C585" s="287" t="s">
        <v>623</v>
      </c>
      <c r="D585" s="174"/>
      <c r="E585" s="174"/>
      <c r="F585" s="175"/>
      <c r="G585" s="175"/>
      <c r="H585" s="174">
        <v>210</v>
      </c>
      <c r="I585" s="174"/>
      <c r="J585" s="176">
        <f>SUM(D585:I585)</f>
        <v>210</v>
      </c>
      <c r="K585" s="175"/>
      <c r="L585" s="175"/>
      <c r="M585" s="175"/>
      <c r="N585" s="177">
        <f>SUM(J585:M585)</f>
        <v>210</v>
      </c>
      <c r="O585" s="210"/>
    </row>
    <row r="586" spans="1:15" ht="10.5" customHeight="1">
      <c r="A586" s="171"/>
      <c r="B586" s="191"/>
      <c r="C586" s="287" t="s">
        <v>624</v>
      </c>
      <c r="D586" s="174"/>
      <c r="E586" s="174"/>
      <c r="F586" s="175">
        <v>210</v>
      </c>
      <c r="G586" s="175"/>
      <c r="H586" s="174">
        <v>0</v>
      </c>
      <c r="I586" s="174"/>
      <c r="J586" s="176">
        <f>SUM(D586:I586)</f>
        <v>210</v>
      </c>
      <c r="K586" s="175"/>
      <c r="L586" s="175"/>
      <c r="M586" s="175"/>
      <c r="N586" s="177">
        <f>SUM(J586:M586)</f>
        <v>210</v>
      </c>
      <c r="O586" s="210"/>
    </row>
    <row r="587" spans="1:15" ht="10.5" customHeight="1">
      <c r="A587" s="607"/>
      <c r="B587" s="1375"/>
      <c r="C587" s="288" t="s">
        <v>625</v>
      </c>
      <c r="D587" s="604"/>
      <c r="E587" s="604"/>
      <c r="F587" s="610">
        <v>207</v>
      </c>
      <c r="G587" s="610"/>
      <c r="H587" s="604"/>
      <c r="I587" s="604"/>
      <c r="J587" s="600">
        <f>SUM(D587:I587)</f>
        <v>207</v>
      </c>
      <c r="K587" s="610"/>
      <c r="L587" s="610"/>
      <c r="M587" s="610"/>
      <c r="N587" s="605">
        <f>SUM(J587:M587)</f>
        <v>207</v>
      </c>
      <c r="O587" s="211"/>
    </row>
    <row r="588" spans="1:15" ht="10.5" customHeight="1">
      <c r="A588" s="171"/>
      <c r="B588" s="191" t="s">
        <v>346</v>
      </c>
      <c r="C588" s="601" t="s">
        <v>828</v>
      </c>
      <c r="D588" s="174"/>
      <c r="E588" s="174"/>
      <c r="F588" s="175"/>
      <c r="G588" s="175"/>
      <c r="H588" s="174"/>
      <c r="I588" s="174"/>
      <c r="J588" s="176"/>
      <c r="K588" s="175"/>
      <c r="L588" s="175"/>
      <c r="M588" s="175"/>
      <c r="N588" s="177"/>
      <c r="O588" s="210"/>
    </row>
    <row r="589" spans="1:15" ht="10.5" customHeight="1">
      <c r="A589" s="171"/>
      <c r="B589" s="191"/>
      <c r="C589" s="287" t="s">
        <v>623</v>
      </c>
      <c r="D589" s="174"/>
      <c r="E589" s="174"/>
      <c r="F589" s="175"/>
      <c r="G589" s="175"/>
      <c r="H589" s="174"/>
      <c r="I589" s="174"/>
      <c r="J589" s="176">
        <f aca="true" t="shared" si="89" ref="J589:J599">SUM(D589:I589)</f>
        <v>0</v>
      </c>
      <c r="K589" s="175"/>
      <c r="L589" s="175"/>
      <c r="M589" s="175"/>
      <c r="N589" s="177">
        <f aca="true" t="shared" si="90" ref="N589:N599">SUM(J589:M589)</f>
        <v>0</v>
      </c>
      <c r="O589" s="210"/>
    </row>
    <row r="590" spans="1:15" ht="10.5" customHeight="1">
      <c r="A590" s="171"/>
      <c r="B590" s="191"/>
      <c r="C590" s="287" t="s">
        <v>624</v>
      </c>
      <c r="D590" s="174"/>
      <c r="E590" s="174"/>
      <c r="F590" s="175">
        <v>400</v>
      </c>
      <c r="G590" s="175"/>
      <c r="H590" s="174"/>
      <c r="I590" s="174"/>
      <c r="J590" s="176">
        <f t="shared" si="89"/>
        <v>400</v>
      </c>
      <c r="K590" s="175"/>
      <c r="L590" s="175"/>
      <c r="M590" s="175"/>
      <c r="N590" s="177">
        <f t="shared" si="90"/>
        <v>400</v>
      </c>
      <c r="O590" s="210"/>
    </row>
    <row r="591" spans="1:15" ht="10.5" customHeight="1">
      <c r="A591" s="171"/>
      <c r="B591" s="191"/>
      <c r="C591" s="287" t="s">
        <v>625</v>
      </c>
      <c r="D591" s="174"/>
      <c r="E591" s="174"/>
      <c r="F591" s="175">
        <v>369</v>
      </c>
      <c r="G591" s="175"/>
      <c r="H591" s="174"/>
      <c r="I591" s="174"/>
      <c r="J591" s="176">
        <f t="shared" si="89"/>
        <v>369</v>
      </c>
      <c r="K591" s="175"/>
      <c r="L591" s="175"/>
      <c r="M591" s="175"/>
      <c r="N591" s="177">
        <f t="shared" si="90"/>
        <v>369</v>
      </c>
      <c r="O591" s="210"/>
    </row>
    <row r="592" spans="1:15" ht="10.5" customHeight="1">
      <c r="A592" s="171"/>
      <c r="B592" s="191" t="s">
        <v>347</v>
      </c>
      <c r="C592" s="287" t="s">
        <v>829</v>
      </c>
      <c r="D592" s="174"/>
      <c r="E592" s="174"/>
      <c r="F592" s="175"/>
      <c r="G592" s="175"/>
      <c r="H592" s="174"/>
      <c r="I592" s="174"/>
      <c r="J592" s="176"/>
      <c r="K592" s="175"/>
      <c r="L592" s="175"/>
      <c r="M592" s="175"/>
      <c r="N592" s="177"/>
      <c r="O592" s="210"/>
    </row>
    <row r="593" spans="1:15" ht="10.5" customHeight="1">
      <c r="A593" s="171"/>
      <c r="B593" s="191"/>
      <c r="C593" s="287" t="s">
        <v>623</v>
      </c>
      <c r="D593" s="174"/>
      <c r="E593" s="174"/>
      <c r="F593" s="175"/>
      <c r="G593" s="175"/>
      <c r="H593" s="174"/>
      <c r="I593" s="174"/>
      <c r="J593" s="176">
        <f t="shared" si="89"/>
        <v>0</v>
      </c>
      <c r="K593" s="175"/>
      <c r="L593" s="175"/>
      <c r="M593" s="175"/>
      <c r="N593" s="177">
        <f t="shared" si="90"/>
        <v>0</v>
      </c>
      <c r="O593" s="210"/>
    </row>
    <row r="594" spans="1:15" ht="10.5" customHeight="1">
      <c r="A594" s="171"/>
      <c r="B594" s="191"/>
      <c r="C594" s="287" t="s">
        <v>624</v>
      </c>
      <c r="D594" s="174"/>
      <c r="E594" s="174"/>
      <c r="F594" s="175"/>
      <c r="G594" s="175"/>
      <c r="H594" s="174">
        <v>300</v>
      </c>
      <c r="I594" s="174"/>
      <c r="J594" s="176">
        <f t="shared" si="89"/>
        <v>300</v>
      </c>
      <c r="K594" s="175"/>
      <c r="L594" s="175"/>
      <c r="M594" s="175"/>
      <c r="N594" s="177">
        <f t="shared" si="90"/>
        <v>300</v>
      </c>
      <c r="O594" s="210"/>
    </row>
    <row r="595" spans="1:15" ht="10.5" customHeight="1">
      <c r="A595" s="171"/>
      <c r="B595" s="191"/>
      <c r="C595" s="287" t="s">
        <v>625</v>
      </c>
      <c r="D595" s="174"/>
      <c r="E595" s="174"/>
      <c r="F595" s="175"/>
      <c r="G595" s="175"/>
      <c r="H595" s="174"/>
      <c r="I595" s="174"/>
      <c r="J595" s="176">
        <f t="shared" si="89"/>
        <v>0</v>
      </c>
      <c r="K595" s="175"/>
      <c r="L595" s="175"/>
      <c r="M595" s="175"/>
      <c r="N595" s="177">
        <f t="shared" si="90"/>
        <v>0</v>
      </c>
      <c r="O595" s="210"/>
    </row>
    <row r="596" spans="1:15" ht="10.5" customHeight="1">
      <c r="A596" s="171"/>
      <c r="B596" s="191" t="s">
        <v>349</v>
      </c>
      <c r="C596" s="287" t="s">
        <v>830</v>
      </c>
      <c r="D596" s="174"/>
      <c r="E596" s="174"/>
      <c r="F596" s="175"/>
      <c r="G596" s="175"/>
      <c r="H596" s="174"/>
      <c r="I596" s="174"/>
      <c r="J596" s="176"/>
      <c r="K596" s="175"/>
      <c r="L596" s="175"/>
      <c r="M596" s="175"/>
      <c r="N596" s="177"/>
      <c r="O596" s="210"/>
    </row>
    <row r="597" spans="1:15" ht="10.5" customHeight="1">
      <c r="A597" s="171"/>
      <c r="B597" s="191"/>
      <c r="C597" s="287" t="s">
        <v>623</v>
      </c>
      <c r="D597" s="174"/>
      <c r="E597" s="174"/>
      <c r="F597" s="175"/>
      <c r="G597" s="175"/>
      <c r="H597" s="174"/>
      <c r="I597" s="174"/>
      <c r="J597" s="176">
        <f t="shared" si="89"/>
        <v>0</v>
      </c>
      <c r="K597" s="175"/>
      <c r="L597" s="175"/>
      <c r="M597" s="175"/>
      <c r="N597" s="177">
        <f t="shared" si="90"/>
        <v>0</v>
      </c>
      <c r="O597" s="210"/>
    </row>
    <row r="598" spans="1:15" ht="10.5" customHeight="1">
      <c r="A598" s="171"/>
      <c r="B598" s="191"/>
      <c r="C598" s="287" t="s">
        <v>624</v>
      </c>
      <c r="D598" s="174"/>
      <c r="E598" s="174"/>
      <c r="F598" s="175"/>
      <c r="G598" s="175"/>
      <c r="H598" s="174">
        <v>50</v>
      </c>
      <c r="I598" s="174"/>
      <c r="J598" s="176">
        <f t="shared" si="89"/>
        <v>50</v>
      </c>
      <c r="K598" s="175"/>
      <c r="L598" s="175"/>
      <c r="M598" s="175"/>
      <c r="N598" s="177">
        <f t="shared" si="90"/>
        <v>50</v>
      </c>
      <c r="O598" s="210"/>
    </row>
    <row r="599" spans="1:15" ht="10.5" customHeight="1" thickBot="1">
      <c r="A599" s="165"/>
      <c r="B599" s="189"/>
      <c r="C599" s="302" t="s">
        <v>625</v>
      </c>
      <c r="D599" s="167"/>
      <c r="E599" s="167"/>
      <c r="F599" s="168"/>
      <c r="G599" s="168"/>
      <c r="H599" s="167">
        <v>50</v>
      </c>
      <c r="I599" s="167"/>
      <c r="J599" s="169">
        <f t="shared" si="89"/>
        <v>50</v>
      </c>
      <c r="K599" s="168"/>
      <c r="L599" s="168"/>
      <c r="M599" s="168"/>
      <c r="N599" s="170">
        <f t="shared" si="90"/>
        <v>50</v>
      </c>
      <c r="O599" s="209"/>
    </row>
    <row r="600" spans="1:15" s="179" customFormat="1" ht="12.75" customHeight="1">
      <c r="A600" s="154">
        <v>40</v>
      </c>
      <c r="B600" s="182"/>
      <c r="C600" s="157" t="s">
        <v>212</v>
      </c>
      <c r="D600" s="156"/>
      <c r="E600" s="156"/>
      <c r="F600" s="156"/>
      <c r="G600" s="156"/>
      <c r="H600" s="156"/>
      <c r="I600" s="156"/>
      <c r="J600" s="151"/>
      <c r="K600" s="151"/>
      <c r="L600" s="151"/>
      <c r="M600" s="151"/>
      <c r="N600" s="152"/>
      <c r="O600" s="207"/>
    </row>
    <row r="601" spans="1:15" s="179" customFormat="1" ht="12.75" customHeight="1">
      <c r="A601" s="171"/>
      <c r="B601" s="251"/>
      <c r="C601" s="287" t="s">
        <v>623</v>
      </c>
      <c r="D601" s="176">
        <f>D605+D609</f>
        <v>0</v>
      </c>
      <c r="E601" s="176">
        <f aca="true" t="shared" si="91" ref="E601:M601">E605+E609</f>
        <v>0</v>
      </c>
      <c r="F601" s="176">
        <f t="shared" si="91"/>
        <v>37107</v>
      </c>
      <c r="G601" s="176">
        <f t="shared" si="91"/>
        <v>0</v>
      </c>
      <c r="H601" s="176">
        <f t="shared" si="91"/>
        <v>0</v>
      </c>
      <c r="I601" s="176">
        <f t="shared" si="91"/>
        <v>0</v>
      </c>
      <c r="J601" s="156">
        <f>SUM(D601:I601)</f>
        <v>37107</v>
      </c>
      <c r="K601" s="156">
        <f t="shared" si="91"/>
        <v>0</v>
      </c>
      <c r="L601" s="156">
        <f t="shared" si="91"/>
        <v>0</v>
      </c>
      <c r="M601" s="156">
        <f t="shared" si="91"/>
        <v>0</v>
      </c>
      <c r="N601" s="157">
        <f>SUM(J601:M601)</f>
        <v>37107</v>
      </c>
      <c r="O601" s="210"/>
    </row>
    <row r="602" spans="1:15" s="179" customFormat="1" ht="12.75" customHeight="1">
      <c r="A602" s="171"/>
      <c r="B602" s="251"/>
      <c r="C602" s="287" t="s">
        <v>624</v>
      </c>
      <c r="D602" s="176">
        <f aca="true" t="shared" si="92" ref="D602:M603">D606+D610</f>
        <v>0</v>
      </c>
      <c r="E602" s="176">
        <f t="shared" si="92"/>
        <v>0</v>
      </c>
      <c r="F602" s="176">
        <f t="shared" si="92"/>
        <v>34124</v>
      </c>
      <c r="G602" s="176">
        <f t="shared" si="92"/>
        <v>0</v>
      </c>
      <c r="H602" s="176">
        <f t="shared" si="92"/>
        <v>0</v>
      </c>
      <c r="I602" s="176">
        <f t="shared" si="92"/>
        <v>0</v>
      </c>
      <c r="J602" s="176">
        <f>SUM(D602:I602)</f>
        <v>34124</v>
      </c>
      <c r="K602" s="176">
        <f t="shared" si="92"/>
        <v>0</v>
      </c>
      <c r="L602" s="176">
        <f t="shared" si="92"/>
        <v>0</v>
      </c>
      <c r="M602" s="176">
        <f t="shared" si="92"/>
        <v>0</v>
      </c>
      <c r="N602" s="177">
        <f>SUM(J602:M602)</f>
        <v>34124</v>
      </c>
      <c r="O602" s="210"/>
    </row>
    <row r="603" spans="1:15" s="179" customFormat="1" ht="12.75" customHeight="1">
      <c r="A603" s="171"/>
      <c r="B603" s="251"/>
      <c r="C603" s="287" t="s">
        <v>625</v>
      </c>
      <c r="D603" s="176">
        <f t="shared" si="92"/>
        <v>0</v>
      </c>
      <c r="E603" s="176">
        <f t="shared" si="92"/>
        <v>0</v>
      </c>
      <c r="F603" s="176">
        <f t="shared" si="92"/>
        <v>31941</v>
      </c>
      <c r="G603" s="176">
        <f t="shared" si="92"/>
        <v>0</v>
      </c>
      <c r="H603" s="176">
        <f t="shared" si="92"/>
        <v>0</v>
      </c>
      <c r="I603" s="176">
        <f t="shared" si="92"/>
        <v>0</v>
      </c>
      <c r="J603" s="176">
        <f>SUM(D603:I603)</f>
        <v>31941</v>
      </c>
      <c r="K603" s="176">
        <f t="shared" si="92"/>
        <v>0</v>
      </c>
      <c r="L603" s="176">
        <f t="shared" si="92"/>
        <v>0</v>
      </c>
      <c r="M603" s="176">
        <f t="shared" si="92"/>
        <v>0</v>
      </c>
      <c r="N603" s="177">
        <f>SUM(J603:M603)</f>
        <v>31941</v>
      </c>
      <c r="O603" s="210"/>
    </row>
    <row r="604" spans="1:15" ht="21.75" customHeight="1">
      <c r="A604" s="171"/>
      <c r="B604" s="172" t="s">
        <v>312</v>
      </c>
      <c r="C604" s="258" t="s">
        <v>294</v>
      </c>
      <c r="D604" s="174"/>
      <c r="E604" s="174"/>
      <c r="F604" s="175"/>
      <c r="G604" s="174"/>
      <c r="H604" s="174"/>
      <c r="I604" s="174"/>
      <c r="J604" s="176"/>
      <c r="K604" s="174"/>
      <c r="L604" s="174"/>
      <c r="M604" s="174"/>
      <c r="N604" s="177"/>
      <c r="O604" s="210"/>
    </row>
    <row r="605" spans="1:15" ht="11.25" customHeight="1">
      <c r="A605" s="171"/>
      <c r="B605" s="172"/>
      <c r="C605" s="287" t="s">
        <v>623</v>
      </c>
      <c r="D605" s="174"/>
      <c r="E605" s="174"/>
      <c r="F605" s="175">
        <v>36589</v>
      </c>
      <c r="G605" s="174"/>
      <c r="H605" s="174"/>
      <c r="I605" s="174"/>
      <c r="J605" s="176">
        <f>SUM(D605:I605)</f>
        <v>36589</v>
      </c>
      <c r="K605" s="174"/>
      <c r="L605" s="174"/>
      <c r="M605" s="174"/>
      <c r="N605" s="177">
        <f>SUM(J605:M605)</f>
        <v>36589</v>
      </c>
      <c r="O605" s="210"/>
    </row>
    <row r="606" spans="1:15" ht="11.25" customHeight="1">
      <c r="A606" s="171"/>
      <c r="B606" s="172"/>
      <c r="C606" s="287" t="s">
        <v>624</v>
      </c>
      <c r="D606" s="174"/>
      <c r="E606" s="174"/>
      <c r="F606" s="175">
        <v>33606</v>
      </c>
      <c r="G606" s="174"/>
      <c r="H606" s="174"/>
      <c r="I606" s="174"/>
      <c r="J606" s="176">
        <f>SUM(D606:I606)</f>
        <v>33606</v>
      </c>
      <c r="K606" s="174"/>
      <c r="L606" s="174"/>
      <c r="M606" s="174"/>
      <c r="N606" s="177">
        <f>SUM(J606:M606)</f>
        <v>33606</v>
      </c>
      <c r="O606" s="210"/>
    </row>
    <row r="607" spans="1:15" ht="11.25" customHeight="1">
      <c r="A607" s="171"/>
      <c r="B607" s="172"/>
      <c r="C607" s="287" t="s">
        <v>625</v>
      </c>
      <c r="D607" s="174"/>
      <c r="E607" s="174"/>
      <c r="F607" s="175">
        <v>31390</v>
      </c>
      <c r="G607" s="174"/>
      <c r="H607" s="174"/>
      <c r="I607" s="174"/>
      <c r="J607" s="176">
        <f>SUM(D607:I607)</f>
        <v>31390</v>
      </c>
      <c r="K607" s="174"/>
      <c r="L607" s="174"/>
      <c r="M607" s="174"/>
      <c r="N607" s="177">
        <f>SUM(J607:M607)</f>
        <v>31390</v>
      </c>
      <c r="O607" s="210"/>
    </row>
    <row r="608" spans="1:15" ht="12" customHeight="1">
      <c r="A608" s="171"/>
      <c r="B608" s="172" t="s">
        <v>314</v>
      </c>
      <c r="C608" s="173" t="s">
        <v>213</v>
      </c>
      <c r="D608" s="174"/>
      <c r="E608" s="174"/>
      <c r="F608" s="175"/>
      <c r="G608" s="174"/>
      <c r="H608" s="174"/>
      <c r="I608" s="174"/>
      <c r="J608" s="176"/>
      <c r="K608" s="174"/>
      <c r="L608" s="174"/>
      <c r="M608" s="174"/>
      <c r="N608" s="177"/>
      <c r="O608" s="210"/>
    </row>
    <row r="609" spans="1:15" ht="12" customHeight="1">
      <c r="A609" s="171"/>
      <c r="B609" s="172"/>
      <c r="C609" s="287" t="s">
        <v>623</v>
      </c>
      <c r="D609" s="174"/>
      <c r="E609" s="174"/>
      <c r="F609" s="175">
        <v>518</v>
      </c>
      <c r="G609" s="174"/>
      <c r="H609" s="174"/>
      <c r="I609" s="174"/>
      <c r="J609" s="176">
        <f>SUM(D609:I609)</f>
        <v>518</v>
      </c>
      <c r="K609" s="174"/>
      <c r="L609" s="174">
        <v>0</v>
      </c>
      <c r="M609" s="174"/>
      <c r="N609" s="177">
        <f>SUM(J609:M609)</f>
        <v>518</v>
      </c>
      <c r="O609" s="210"/>
    </row>
    <row r="610" spans="1:15" ht="12" customHeight="1">
      <c r="A610" s="171"/>
      <c r="B610" s="172"/>
      <c r="C610" s="287" t="s">
        <v>624</v>
      </c>
      <c r="D610" s="174"/>
      <c r="E610" s="174"/>
      <c r="F610" s="175">
        <v>518</v>
      </c>
      <c r="G610" s="174"/>
      <c r="H610" s="174"/>
      <c r="I610" s="174"/>
      <c r="J610" s="176">
        <f>SUM(D610:I610)</f>
        <v>518</v>
      </c>
      <c r="K610" s="174"/>
      <c r="L610" s="174">
        <v>0</v>
      </c>
      <c r="M610" s="174"/>
      <c r="N610" s="177">
        <f>SUM(J610:M610)</f>
        <v>518</v>
      </c>
      <c r="O610" s="210"/>
    </row>
    <row r="611" spans="1:15" ht="12" customHeight="1" thickBot="1">
      <c r="A611" s="165"/>
      <c r="B611" s="166"/>
      <c r="C611" s="302" t="s">
        <v>625</v>
      </c>
      <c r="D611" s="167"/>
      <c r="E611" s="167"/>
      <c r="F611" s="168">
        <v>551</v>
      </c>
      <c r="G611" s="167"/>
      <c r="H611" s="167"/>
      <c r="I611" s="167"/>
      <c r="J611" s="169">
        <f>SUM(D611:I611)</f>
        <v>551</v>
      </c>
      <c r="K611" s="167"/>
      <c r="L611" s="167"/>
      <c r="M611" s="167"/>
      <c r="N611" s="170">
        <f>SUM(J611:M611)</f>
        <v>551</v>
      </c>
      <c r="O611" s="209"/>
    </row>
    <row r="612" spans="1:15" s="179" customFormat="1" ht="11.25" customHeight="1">
      <c r="A612" s="154">
        <v>41</v>
      </c>
      <c r="B612" s="182" t="s">
        <v>465</v>
      </c>
      <c r="C612" s="157" t="s">
        <v>583</v>
      </c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7"/>
      <c r="O612" s="207"/>
    </row>
    <row r="613" spans="1:15" s="179" customFormat="1" ht="11.25" customHeight="1">
      <c r="A613" s="171"/>
      <c r="B613" s="251"/>
      <c r="C613" s="287" t="s">
        <v>623</v>
      </c>
      <c r="D613" s="176">
        <f aca="true" t="shared" si="93" ref="D613:I613">D617</f>
        <v>0</v>
      </c>
      <c r="E613" s="176">
        <f t="shared" si="93"/>
        <v>0</v>
      </c>
      <c r="F613" s="176">
        <f t="shared" si="93"/>
        <v>0</v>
      </c>
      <c r="G613" s="176">
        <f t="shared" si="93"/>
        <v>0</v>
      </c>
      <c r="H613" s="176">
        <f t="shared" si="93"/>
        <v>2449</v>
      </c>
      <c r="I613" s="176">
        <f t="shared" si="93"/>
        <v>0</v>
      </c>
      <c r="J613" s="176">
        <f aca="true" t="shared" si="94" ref="J613:J620">SUM(D613:I613)</f>
        <v>2449</v>
      </c>
      <c r="K613" s="176">
        <f>K617</f>
        <v>0</v>
      </c>
      <c r="L613" s="176">
        <f>L617</f>
        <v>0</v>
      </c>
      <c r="M613" s="176">
        <f>M617</f>
        <v>0</v>
      </c>
      <c r="N613" s="177">
        <f>SUM(J613:M613)</f>
        <v>2449</v>
      </c>
      <c r="O613" s="210"/>
    </row>
    <row r="614" spans="1:15" s="179" customFormat="1" ht="11.25" customHeight="1">
      <c r="A614" s="171"/>
      <c r="B614" s="251"/>
      <c r="C614" s="287" t="s">
        <v>624</v>
      </c>
      <c r="D614" s="176">
        <f aca="true" t="shared" si="95" ref="D614:I615">D618</f>
        <v>0</v>
      </c>
      <c r="E614" s="176">
        <f t="shared" si="95"/>
        <v>0</v>
      </c>
      <c r="F614" s="176">
        <f t="shared" si="95"/>
        <v>0</v>
      </c>
      <c r="G614" s="176">
        <f t="shared" si="95"/>
        <v>0</v>
      </c>
      <c r="H614" s="176">
        <f t="shared" si="95"/>
        <v>2449</v>
      </c>
      <c r="I614" s="176">
        <f t="shared" si="95"/>
        <v>0</v>
      </c>
      <c r="J614" s="176">
        <f t="shared" si="94"/>
        <v>2449</v>
      </c>
      <c r="K614" s="176">
        <f aca="true" t="shared" si="96" ref="K614:M615">K618</f>
        <v>0</v>
      </c>
      <c r="L614" s="176">
        <f t="shared" si="96"/>
        <v>0</v>
      </c>
      <c r="M614" s="176">
        <f t="shared" si="96"/>
        <v>0</v>
      </c>
      <c r="N614" s="177">
        <f>SUM(J614:M614)</f>
        <v>2449</v>
      </c>
      <c r="O614" s="210"/>
    </row>
    <row r="615" spans="1:15" s="179" customFormat="1" ht="11.25" customHeight="1">
      <c r="A615" s="171"/>
      <c r="B615" s="251"/>
      <c r="C615" s="287" t="s">
        <v>625</v>
      </c>
      <c r="D615" s="176">
        <f t="shared" si="95"/>
        <v>0</v>
      </c>
      <c r="E615" s="176">
        <f t="shared" si="95"/>
        <v>0</v>
      </c>
      <c r="F615" s="176">
        <f t="shared" si="95"/>
        <v>0</v>
      </c>
      <c r="G615" s="176">
        <f t="shared" si="95"/>
        <v>0</v>
      </c>
      <c r="H615" s="176">
        <f t="shared" si="95"/>
        <v>2449</v>
      </c>
      <c r="I615" s="176">
        <f t="shared" si="95"/>
        <v>0</v>
      </c>
      <c r="J615" s="176">
        <f t="shared" si="94"/>
        <v>2449</v>
      </c>
      <c r="K615" s="176">
        <f t="shared" si="96"/>
        <v>0</v>
      </c>
      <c r="L615" s="176">
        <f t="shared" si="96"/>
        <v>0</v>
      </c>
      <c r="M615" s="176">
        <f t="shared" si="96"/>
        <v>0</v>
      </c>
      <c r="N615" s="177">
        <f>SUM(J615:M615)</f>
        <v>2449</v>
      </c>
      <c r="O615" s="210"/>
    </row>
    <row r="616" spans="1:15" ht="11.25" customHeight="1">
      <c r="A616" s="180"/>
      <c r="B616" s="172" t="s">
        <v>312</v>
      </c>
      <c r="C616" s="173" t="s">
        <v>1</v>
      </c>
      <c r="D616" s="174"/>
      <c r="E616" s="174"/>
      <c r="F616" s="174"/>
      <c r="G616" s="174"/>
      <c r="H616" s="174"/>
      <c r="I616" s="174"/>
      <c r="J616" s="176"/>
      <c r="K616" s="174"/>
      <c r="L616" s="174"/>
      <c r="M616" s="174"/>
      <c r="N616" s="177"/>
      <c r="O616" s="215"/>
    </row>
    <row r="617" spans="1:15" ht="11.25" customHeight="1">
      <c r="A617" s="180"/>
      <c r="B617" s="172"/>
      <c r="C617" s="287" t="s">
        <v>623</v>
      </c>
      <c r="D617" s="174"/>
      <c r="E617" s="174"/>
      <c r="F617" s="174"/>
      <c r="G617" s="174"/>
      <c r="H617" s="174">
        <v>2449</v>
      </c>
      <c r="I617" s="174"/>
      <c r="J617" s="176">
        <f t="shared" si="94"/>
        <v>2449</v>
      </c>
      <c r="K617" s="174"/>
      <c r="L617" s="174"/>
      <c r="M617" s="174"/>
      <c r="N617" s="177">
        <f aca="true" t="shared" si="97" ref="N617:N623">SUM(J617:M617)</f>
        <v>2449</v>
      </c>
      <c r="O617" s="215"/>
    </row>
    <row r="618" spans="1:15" ht="11.25" customHeight="1">
      <c r="A618" s="180"/>
      <c r="B618" s="172"/>
      <c r="C618" s="287" t="s">
        <v>624</v>
      </c>
      <c r="D618" s="174"/>
      <c r="E618" s="174"/>
      <c r="F618" s="174"/>
      <c r="G618" s="174"/>
      <c r="H618" s="174">
        <v>2449</v>
      </c>
      <c r="I618" s="174"/>
      <c r="J618" s="176">
        <f t="shared" si="94"/>
        <v>2449</v>
      </c>
      <c r="K618" s="174"/>
      <c r="L618" s="174"/>
      <c r="M618" s="174"/>
      <c r="N618" s="177">
        <f t="shared" si="97"/>
        <v>2449</v>
      </c>
      <c r="O618" s="215"/>
    </row>
    <row r="619" spans="1:15" ht="11.25" customHeight="1" thickBot="1">
      <c r="A619" s="180"/>
      <c r="B619" s="172"/>
      <c r="C619" s="287" t="s">
        <v>625</v>
      </c>
      <c r="D619" s="174"/>
      <c r="E619" s="174"/>
      <c r="F619" s="174"/>
      <c r="G619" s="174"/>
      <c r="H619" s="174">
        <v>2449</v>
      </c>
      <c r="I619" s="174"/>
      <c r="J619" s="176">
        <f t="shared" si="94"/>
        <v>2449</v>
      </c>
      <c r="K619" s="174"/>
      <c r="L619" s="174"/>
      <c r="M619" s="174"/>
      <c r="N619" s="177">
        <f t="shared" si="97"/>
        <v>2449</v>
      </c>
      <c r="O619" s="215"/>
    </row>
    <row r="620" spans="1:15" s="179" customFormat="1" ht="11.25" customHeight="1">
      <c r="A620" s="186">
        <v>42</v>
      </c>
      <c r="B620" s="250"/>
      <c r="C620" s="188" t="s">
        <v>214</v>
      </c>
      <c r="D620" s="194"/>
      <c r="E620" s="194"/>
      <c r="F620" s="194"/>
      <c r="G620" s="194"/>
      <c r="H620" s="194">
        <v>0</v>
      </c>
      <c r="I620" s="194"/>
      <c r="J620" s="194">
        <f t="shared" si="94"/>
        <v>0</v>
      </c>
      <c r="K620" s="194"/>
      <c r="L620" s="194"/>
      <c r="M620" s="194"/>
      <c r="N620" s="188">
        <f t="shared" si="97"/>
        <v>0</v>
      </c>
      <c r="O620" s="212"/>
    </row>
    <row r="621" spans="1:15" s="179" customFormat="1" ht="11.25" customHeight="1">
      <c r="A621" s="171"/>
      <c r="B621" s="251"/>
      <c r="C621" s="287" t="s">
        <v>623</v>
      </c>
      <c r="D621" s="176">
        <f aca="true" t="shared" si="98" ref="D621:I621">D625+D629+D633+D637+D641</f>
        <v>0</v>
      </c>
      <c r="E621" s="176">
        <f t="shared" si="98"/>
        <v>0</v>
      </c>
      <c r="F621" s="176">
        <f t="shared" si="98"/>
        <v>0</v>
      </c>
      <c r="G621" s="176">
        <f t="shared" si="98"/>
        <v>0</v>
      </c>
      <c r="H621" s="176">
        <f t="shared" si="98"/>
        <v>3184</v>
      </c>
      <c r="I621" s="176">
        <f t="shared" si="98"/>
        <v>0</v>
      </c>
      <c r="J621" s="176">
        <f>SUM(D621:I621)</f>
        <v>3184</v>
      </c>
      <c r="K621" s="176">
        <f>K625+K629+K633+K637+K641</f>
        <v>0</v>
      </c>
      <c r="L621" s="176">
        <f>L625+L629+L633+L637+L641</f>
        <v>0</v>
      </c>
      <c r="M621" s="176">
        <f>M625+M629+M633+M637+M641</f>
        <v>0</v>
      </c>
      <c r="N621" s="177">
        <f t="shared" si="97"/>
        <v>3184</v>
      </c>
      <c r="O621" s="210"/>
    </row>
    <row r="622" spans="1:15" s="179" customFormat="1" ht="11.25" customHeight="1">
      <c r="A622" s="171"/>
      <c r="B622" s="251"/>
      <c r="C622" s="287" t="s">
        <v>624</v>
      </c>
      <c r="D622" s="176">
        <f aca="true" t="shared" si="99" ref="D622:I623">D626+D630+D634+D638+D642</f>
        <v>0</v>
      </c>
      <c r="E622" s="176">
        <f t="shared" si="99"/>
        <v>0</v>
      </c>
      <c r="F622" s="176">
        <f t="shared" si="99"/>
        <v>0</v>
      </c>
      <c r="G622" s="176">
        <f t="shared" si="99"/>
        <v>0</v>
      </c>
      <c r="H622" s="176">
        <f t="shared" si="99"/>
        <v>3224</v>
      </c>
      <c r="I622" s="176">
        <f t="shared" si="99"/>
        <v>0</v>
      </c>
      <c r="J622" s="176">
        <f>SUM(D622:I622)</f>
        <v>3224</v>
      </c>
      <c r="K622" s="176">
        <f aca="true" t="shared" si="100" ref="K622:M623">K626+K630+K634+K638+K642</f>
        <v>0</v>
      </c>
      <c r="L622" s="176">
        <f t="shared" si="100"/>
        <v>0</v>
      </c>
      <c r="M622" s="176">
        <f t="shared" si="100"/>
        <v>0</v>
      </c>
      <c r="N622" s="177">
        <f t="shared" si="97"/>
        <v>3224</v>
      </c>
      <c r="O622" s="210"/>
    </row>
    <row r="623" spans="1:15" s="179" customFormat="1" ht="11.25" customHeight="1">
      <c r="A623" s="171"/>
      <c r="B623" s="251"/>
      <c r="C623" s="287" t="s">
        <v>625</v>
      </c>
      <c r="D623" s="176">
        <f t="shared" si="99"/>
        <v>0</v>
      </c>
      <c r="E623" s="176">
        <f t="shared" si="99"/>
        <v>0</v>
      </c>
      <c r="F623" s="176">
        <f t="shared" si="99"/>
        <v>0</v>
      </c>
      <c r="G623" s="176">
        <f t="shared" si="99"/>
        <v>0</v>
      </c>
      <c r="H623" s="176">
        <f t="shared" si="99"/>
        <v>3034</v>
      </c>
      <c r="I623" s="176">
        <f t="shared" si="99"/>
        <v>0</v>
      </c>
      <c r="J623" s="176">
        <f>SUM(D623:I623)</f>
        <v>3034</v>
      </c>
      <c r="K623" s="176">
        <f t="shared" si="100"/>
        <v>0</v>
      </c>
      <c r="L623" s="176">
        <f t="shared" si="100"/>
        <v>0</v>
      </c>
      <c r="M623" s="176">
        <f t="shared" si="100"/>
        <v>0</v>
      </c>
      <c r="N623" s="177">
        <f t="shared" si="97"/>
        <v>3034</v>
      </c>
      <c r="O623" s="210"/>
    </row>
    <row r="624" spans="1:15" ht="11.25" customHeight="1">
      <c r="A624" s="171"/>
      <c r="B624" s="191" t="s">
        <v>312</v>
      </c>
      <c r="C624" s="199" t="s">
        <v>831</v>
      </c>
      <c r="D624" s="174"/>
      <c r="E624" s="174"/>
      <c r="F624" s="175"/>
      <c r="G624" s="174"/>
      <c r="H624" s="174"/>
      <c r="I624" s="174"/>
      <c r="J624" s="176"/>
      <c r="K624" s="174"/>
      <c r="L624" s="174"/>
      <c r="M624" s="174"/>
      <c r="N624" s="177"/>
      <c r="O624" s="210"/>
    </row>
    <row r="625" spans="1:15" ht="11.25" customHeight="1">
      <c r="A625" s="171"/>
      <c r="B625" s="191"/>
      <c r="C625" s="287" t="s">
        <v>623</v>
      </c>
      <c r="D625" s="174"/>
      <c r="E625" s="174"/>
      <c r="F625" s="175"/>
      <c r="G625" s="174"/>
      <c r="H625" s="174">
        <v>1771</v>
      </c>
      <c r="I625" s="174"/>
      <c r="J625" s="176">
        <f>SUM(D625:I625)</f>
        <v>1771</v>
      </c>
      <c r="K625" s="174"/>
      <c r="L625" s="174"/>
      <c r="M625" s="174"/>
      <c r="N625" s="177">
        <f>SUM(J625:M625)</f>
        <v>1771</v>
      </c>
      <c r="O625" s="210"/>
    </row>
    <row r="626" spans="1:15" ht="11.25" customHeight="1">
      <c r="A626" s="171"/>
      <c r="B626" s="191"/>
      <c r="C626" s="287" t="s">
        <v>624</v>
      </c>
      <c r="D626" s="174"/>
      <c r="E626" s="174"/>
      <c r="F626" s="175"/>
      <c r="G626" s="174"/>
      <c r="H626" s="174">
        <v>1771</v>
      </c>
      <c r="I626" s="174"/>
      <c r="J626" s="176">
        <f>SUM(D626:I626)</f>
        <v>1771</v>
      </c>
      <c r="K626" s="174"/>
      <c r="L626" s="174"/>
      <c r="M626" s="174"/>
      <c r="N626" s="177">
        <f>SUM(J626:M626)</f>
        <v>1771</v>
      </c>
      <c r="O626" s="210"/>
    </row>
    <row r="627" spans="1:15" ht="11.25" customHeight="1">
      <c r="A627" s="171"/>
      <c r="B627" s="191"/>
      <c r="C627" s="287" t="s">
        <v>625</v>
      </c>
      <c r="D627" s="174"/>
      <c r="E627" s="174"/>
      <c r="F627" s="175"/>
      <c r="G627" s="174"/>
      <c r="H627" s="174">
        <v>1771</v>
      </c>
      <c r="I627" s="174"/>
      <c r="J627" s="176">
        <f>SUM(D627:I627)</f>
        <v>1771</v>
      </c>
      <c r="K627" s="174"/>
      <c r="L627" s="174"/>
      <c r="M627" s="174"/>
      <c r="N627" s="177">
        <f>SUM(J627:M627)</f>
        <v>1771</v>
      </c>
      <c r="O627" s="210"/>
    </row>
    <row r="628" spans="1:15" ht="11.25" customHeight="1">
      <c r="A628" s="171"/>
      <c r="B628" s="191" t="s">
        <v>314</v>
      </c>
      <c r="C628" s="199" t="s">
        <v>215</v>
      </c>
      <c r="D628" s="174"/>
      <c r="E628" s="174"/>
      <c r="F628" s="175"/>
      <c r="G628" s="174"/>
      <c r="H628" s="174"/>
      <c r="I628" s="174"/>
      <c r="J628" s="176"/>
      <c r="K628" s="174"/>
      <c r="L628" s="174"/>
      <c r="M628" s="174"/>
      <c r="N628" s="177"/>
      <c r="O628" s="210"/>
    </row>
    <row r="629" spans="1:15" ht="11.25" customHeight="1">
      <c r="A629" s="171"/>
      <c r="B629" s="191"/>
      <c r="C629" s="287" t="s">
        <v>623</v>
      </c>
      <c r="D629" s="174"/>
      <c r="E629" s="174"/>
      <c r="F629" s="175"/>
      <c r="G629" s="174"/>
      <c r="H629" s="174">
        <v>300</v>
      </c>
      <c r="I629" s="174"/>
      <c r="J629" s="176">
        <f>SUM(D629:I629)</f>
        <v>300</v>
      </c>
      <c r="K629" s="174"/>
      <c r="L629" s="174"/>
      <c r="M629" s="174"/>
      <c r="N629" s="177">
        <f>SUM(J629:M629)</f>
        <v>300</v>
      </c>
      <c r="O629" s="210"/>
    </row>
    <row r="630" spans="1:15" ht="11.25" customHeight="1">
      <c r="A630" s="171"/>
      <c r="B630" s="191"/>
      <c r="C630" s="287" t="s">
        <v>624</v>
      </c>
      <c r="D630" s="174"/>
      <c r="E630" s="174"/>
      <c r="F630" s="175"/>
      <c r="G630" s="174"/>
      <c r="H630" s="174">
        <v>300</v>
      </c>
      <c r="I630" s="174"/>
      <c r="J630" s="176">
        <f>SUM(D630:I630)</f>
        <v>300</v>
      </c>
      <c r="K630" s="174"/>
      <c r="L630" s="174"/>
      <c r="M630" s="174"/>
      <c r="N630" s="177">
        <f>SUM(J630:M630)</f>
        <v>300</v>
      </c>
      <c r="O630" s="210"/>
    </row>
    <row r="631" spans="1:15" ht="11.25" customHeight="1">
      <c r="A631" s="171"/>
      <c r="B631" s="191"/>
      <c r="C631" s="287" t="s">
        <v>625</v>
      </c>
      <c r="D631" s="174"/>
      <c r="E631" s="174"/>
      <c r="F631" s="175"/>
      <c r="G631" s="174"/>
      <c r="H631" s="174">
        <v>150</v>
      </c>
      <c r="I631" s="174"/>
      <c r="J631" s="176">
        <f>SUM(D631:I631)</f>
        <v>150</v>
      </c>
      <c r="K631" s="174"/>
      <c r="L631" s="174"/>
      <c r="M631" s="174"/>
      <c r="N631" s="177">
        <f>SUM(J631:M631)</f>
        <v>150</v>
      </c>
      <c r="O631" s="210"/>
    </row>
    <row r="632" spans="1:15" ht="11.25" customHeight="1">
      <c r="A632" s="171"/>
      <c r="B632" s="191" t="s">
        <v>316</v>
      </c>
      <c r="C632" s="199" t="s">
        <v>832</v>
      </c>
      <c r="D632" s="174"/>
      <c r="E632" s="174"/>
      <c r="F632" s="175"/>
      <c r="G632" s="174"/>
      <c r="H632" s="174"/>
      <c r="I632" s="174"/>
      <c r="J632" s="176"/>
      <c r="K632" s="174"/>
      <c r="L632" s="174"/>
      <c r="M632" s="174"/>
      <c r="N632" s="177"/>
      <c r="O632" s="210"/>
    </row>
    <row r="633" spans="1:15" ht="11.25" customHeight="1">
      <c r="A633" s="171"/>
      <c r="B633" s="191"/>
      <c r="C633" s="287" t="s">
        <v>623</v>
      </c>
      <c r="D633" s="174"/>
      <c r="E633" s="174"/>
      <c r="F633" s="175"/>
      <c r="G633" s="174"/>
      <c r="H633" s="174">
        <v>400</v>
      </c>
      <c r="I633" s="174"/>
      <c r="J633" s="176">
        <f>SUM(D633:I633)</f>
        <v>400</v>
      </c>
      <c r="K633" s="174"/>
      <c r="L633" s="174"/>
      <c r="M633" s="174"/>
      <c r="N633" s="177">
        <f>SUM(J633:M633)</f>
        <v>400</v>
      </c>
      <c r="O633" s="210"/>
    </row>
    <row r="634" spans="1:15" ht="11.25" customHeight="1">
      <c r="A634" s="171"/>
      <c r="B634" s="191"/>
      <c r="C634" s="287" t="s">
        <v>624</v>
      </c>
      <c r="D634" s="174"/>
      <c r="E634" s="174"/>
      <c r="F634" s="175"/>
      <c r="G634" s="174"/>
      <c r="H634" s="174">
        <v>440</v>
      </c>
      <c r="I634" s="174"/>
      <c r="J634" s="176">
        <f>SUM(D634:I634)</f>
        <v>440</v>
      </c>
      <c r="K634" s="174"/>
      <c r="L634" s="174"/>
      <c r="M634" s="174"/>
      <c r="N634" s="177">
        <f>SUM(J634:M634)</f>
        <v>440</v>
      </c>
      <c r="O634" s="210"/>
    </row>
    <row r="635" spans="1:15" ht="11.25" customHeight="1">
      <c r="A635" s="171"/>
      <c r="B635" s="191"/>
      <c r="C635" s="287" t="s">
        <v>625</v>
      </c>
      <c r="D635" s="174"/>
      <c r="E635" s="174"/>
      <c r="F635" s="175"/>
      <c r="G635" s="174"/>
      <c r="H635" s="174">
        <v>400</v>
      </c>
      <c r="I635" s="174"/>
      <c r="J635" s="176">
        <f>SUM(D635:I635)</f>
        <v>400</v>
      </c>
      <c r="K635" s="174"/>
      <c r="L635" s="174"/>
      <c r="M635" s="174"/>
      <c r="N635" s="177">
        <f>SUM(J635:M635)</f>
        <v>400</v>
      </c>
      <c r="O635" s="210"/>
    </row>
    <row r="636" spans="1:15" ht="11.25" customHeight="1">
      <c r="A636" s="171"/>
      <c r="B636" s="191" t="s">
        <v>318</v>
      </c>
      <c r="C636" s="199" t="s">
        <v>216</v>
      </c>
      <c r="D636" s="174"/>
      <c r="E636" s="174"/>
      <c r="F636" s="175"/>
      <c r="G636" s="174"/>
      <c r="H636" s="174"/>
      <c r="I636" s="174"/>
      <c r="J636" s="176"/>
      <c r="K636" s="174"/>
      <c r="L636" s="174"/>
      <c r="M636" s="174"/>
      <c r="N636" s="177"/>
      <c r="O636" s="210"/>
    </row>
    <row r="637" spans="1:15" ht="11.25" customHeight="1">
      <c r="A637" s="171"/>
      <c r="B637" s="191"/>
      <c r="C637" s="287" t="s">
        <v>623</v>
      </c>
      <c r="D637" s="174"/>
      <c r="E637" s="174"/>
      <c r="F637" s="175"/>
      <c r="G637" s="174"/>
      <c r="H637" s="174">
        <v>400</v>
      </c>
      <c r="I637" s="174"/>
      <c r="J637" s="176">
        <f>SUM(D637:I637)</f>
        <v>400</v>
      </c>
      <c r="K637" s="174"/>
      <c r="L637" s="174"/>
      <c r="M637" s="174"/>
      <c r="N637" s="177">
        <f>SUM(J637:M637)</f>
        <v>400</v>
      </c>
      <c r="O637" s="210"/>
    </row>
    <row r="638" spans="1:15" ht="11.25" customHeight="1">
      <c r="A638" s="171"/>
      <c r="B638" s="191"/>
      <c r="C638" s="287" t="s">
        <v>624</v>
      </c>
      <c r="D638" s="174"/>
      <c r="E638" s="174"/>
      <c r="F638" s="175"/>
      <c r="G638" s="174"/>
      <c r="H638" s="174">
        <v>400</v>
      </c>
      <c r="I638" s="174"/>
      <c r="J638" s="176">
        <f>SUM(D638:I638)</f>
        <v>400</v>
      </c>
      <c r="K638" s="174"/>
      <c r="L638" s="174"/>
      <c r="M638" s="174"/>
      <c r="N638" s="177">
        <f>SUM(J638:M638)</f>
        <v>400</v>
      </c>
      <c r="O638" s="210"/>
    </row>
    <row r="639" spans="1:15" ht="11.25" customHeight="1">
      <c r="A639" s="171"/>
      <c r="B639" s="191"/>
      <c r="C639" s="287" t="s">
        <v>625</v>
      </c>
      <c r="D639" s="174"/>
      <c r="E639" s="174"/>
      <c r="F639" s="175"/>
      <c r="G639" s="174"/>
      <c r="H639" s="174">
        <v>400</v>
      </c>
      <c r="I639" s="174"/>
      <c r="J639" s="176">
        <f>SUM(D639:I639)</f>
        <v>400</v>
      </c>
      <c r="K639" s="174"/>
      <c r="L639" s="174"/>
      <c r="M639" s="174"/>
      <c r="N639" s="177">
        <f>SUM(J639:M639)</f>
        <v>400</v>
      </c>
      <c r="O639" s="210"/>
    </row>
    <row r="640" spans="1:15" ht="11.25" customHeight="1">
      <c r="A640" s="171"/>
      <c r="B640" s="191" t="s">
        <v>320</v>
      </c>
      <c r="C640" s="199" t="s">
        <v>217</v>
      </c>
      <c r="D640" s="174"/>
      <c r="E640" s="174"/>
      <c r="F640" s="175"/>
      <c r="G640" s="174"/>
      <c r="H640" s="174"/>
      <c r="I640" s="174"/>
      <c r="J640" s="176"/>
      <c r="K640" s="174"/>
      <c r="L640" s="174"/>
      <c r="M640" s="174"/>
      <c r="N640" s="177"/>
      <c r="O640" s="210"/>
    </row>
    <row r="641" spans="1:15" ht="11.25" customHeight="1">
      <c r="A641" s="171"/>
      <c r="B641" s="191"/>
      <c r="C641" s="287" t="s">
        <v>623</v>
      </c>
      <c r="D641" s="174"/>
      <c r="E641" s="174"/>
      <c r="F641" s="175"/>
      <c r="G641" s="174"/>
      <c r="H641" s="174">
        <v>313</v>
      </c>
      <c r="I641" s="174"/>
      <c r="J641" s="176">
        <f>SUM(D641:I641)</f>
        <v>313</v>
      </c>
      <c r="K641" s="174"/>
      <c r="L641" s="174"/>
      <c r="M641" s="174"/>
      <c r="N641" s="177">
        <f>SUM(J641:M641)</f>
        <v>313</v>
      </c>
      <c r="O641" s="210"/>
    </row>
    <row r="642" spans="1:15" ht="11.25" customHeight="1">
      <c r="A642" s="171"/>
      <c r="B642" s="191"/>
      <c r="C642" s="287" t="s">
        <v>624</v>
      </c>
      <c r="D642" s="174"/>
      <c r="E642" s="174"/>
      <c r="F642" s="175"/>
      <c r="G642" s="174"/>
      <c r="H642" s="174">
        <v>313</v>
      </c>
      <c r="I642" s="174"/>
      <c r="J642" s="176">
        <f>SUM(D642:I642)</f>
        <v>313</v>
      </c>
      <c r="K642" s="174"/>
      <c r="L642" s="174"/>
      <c r="M642" s="174"/>
      <c r="N642" s="177">
        <f>SUM(J642:M642)</f>
        <v>313</v>
      </c>
      <c r="O642" s="210"/>
    </row>
    <row r="643" spans="1:15" ht="11.25" customHeight="1" thickBot="1">
      <c r="A643" s="171"/>
      <c r="B643" s="191"/>
      <c r="C643" s="287" t="s">
        <v>625</v>
      </c>
      <c r="D643" s="174"/>
      <c r="E643" s="174"/>
      <c r="F643" s="175"/>
      <c r="G643" s="174"/>
      <c r="H643" s="174">
        <v>313</v>
      </c>
      <c r="I643" s="174"/>
      <c r="J643" s="176">
        <f>SUM(D643:I643)</f>
        <v>313</v>
      </c>
      <c r="K643" s="174"/>
      <c r="L643" s="174"/>
      <c r="M643" s="174"/>
      <c r="N643" s="177">
        <f>SUM(J643:M643)</f>
        <v>313</v>
      </c>
      <c r="O643" s="210"/>
    </row>
    <row r="644" spans="1:15" ht="12.75" customHeight="1">
      <c r="A644" s="186">
        <v>43</v>
      </c>
      <c r="B644" s="253" t="s">
        <v>312</v>
      </c>
      <c r="C644" s="313" t="s">
        <v>218</v>
      </c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88"/>
      <c r="O644" s="212"/>
    </row>
    <row r="645" spans="1:15" ht="12.75" customHeight="1">
      <c r="A645" s="171"/>
      <c r="B645" s="301"/>
      <c r="C645" s="287" t="s">
        <v>623</v>
      </c>
      <c r="D645" s="176"/>
      <c r="E645" s="176"/>
      <c r="F645" s="176">
        <v>252</v>
      </c>
      <c r="G645" s="176"/>
      <c r="H645" s="176">
        <v>0</v>
      </c>
      <c r="I645" s="176"/>
      <c r="J645" s="176">
        <f>SUM(D645:I645)</f>
        <v>252</v>
      </c>
      <c r="K645" s="176"/>
      <c r="L645" s="176"/>
      <c r="M645" s="176"/>
      <c r="N645" s="177">
        <f>SUM(J645:M645)</f>
        <v>252</v>
      </c>
      <c r="O645" s="210"/>
    </row>
    <row r="646" spans="1:15" ht="12.75" customHeight="1">
      <c r="A646" s="171"/>
      <c r="B646" s="301"/>
      <c r="C646" s="287" t="s">
        <v>624</v>
      </c>
      <c r="D646" s="176"/>
      <c r="E646" s="176"/>
      <c r="F646" s="176">
        <v>252</v>
      </c>
      <c r="G646" s="176"/>
      <c r="H646" s="176">
        <v>0</v>
      </c>
      <c r="I646" s="176"/>
      <c r="J646" s="176">
        <f>SUM(D646:I646)</f>
        <v>252</v>
      </c>
      <c r="K646" s="176"/>
      <c r="L646" s="176"/>
      <c r="M646" s="176"/>
      <c r="N646" s="177">
        <f>SUM(J646:M646)</f>
        <v>252</v>
      </c>
      <c r="O646" s="210"/>
    </row>
    <row r="647" spans="1:15" ht="12.75" customHeight="1" thickBot="1">
      <c r="A647" s="195"/>
      <c r="B647" s="314"/>
      <c r="C647" s="299" t="s">
        <v>625</v>
      </c>
      <c r="D647" s="196"/>
      <c r="E647" s="196"/>
      <c r="F647" s="196">
        <v>125</v>
      </c>
      <c r="G647" s="196"/>
      <c r="H647" s="196">
        <v>0</v>
      </c>
      <c r="I647" s="196"/>
      <c r="J647" s="162">
        <f>SUM(D647:I647)</f>
        <v>125</v>
      </c>
      <c r="K647" s="196"/>
      <c r="L647" s="196"/>
      <c r="M647" s="196"/>
      <c r="N647" s="163">
        <f>SUM(J647:M647)</f>
        <v>125</v>
      </c>
      <c r="O647" s="208"/>
    </row>
    <row r="648" spans="1:15" s="179" customFormat="1" ht="12" customHeight="1">
      <c r="A648" s="186">
        <v>44</v>
      </c>
      <c r="B648" s="250" t="s">
        <v>312</v>
      </c>
      <c r="C648" s="313" t="s">
        <v>219</v>
      </c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88"/>
      <c r="O648" s="212"/>
    </row>
    <row r="649" spans="1:15" s="179" customFormat="1" ht="12" customHeight="1">
      <c r="A649" s="171"/>
      <c r="B649" s="251"/>
      <c r="C649" s="287" t="s">
        <v>623</v>
      </c>
      <c r="D649" s="176"/>
      <c r="E649" s="176"/>
      <c r="F649" s="176">
        <v>1738</v>
      </c>
      <c r="G649" s="176"/>
      <c r="H649" s="176"/>
      <c r="I649" s="176"/>
      <c r="J649" s="176">
        <f>SUM(D649:I649)</f>
        <v>1738</v>
      </c>
      <c r="K649" s="176"/>
      <c r="L649" s="176"/>
      <c r="M649" s="176"/>
      <c r="N649" s="177">
        <f>SUM(J649:M649)</f>
        <v>1738</v>
      </c>
      <c r="O649" s="210"/>
    </row>
    <row r="650" spans="1:15" s="179" customFormat="1" ht="12" customHeight="1">
      <c r="A650" s="171"/>
      <c r="B650" s="251"/>
      <c r="C650" s="287" t="s">
        <v>624</v>
      </c>
      <c r="D650" s="176"/>
      <c r="E650" s="176"/>
      <c r="F650" s="176">
        <v>1880</v>
      </c>
      <c r="G650" s="176"/>
      <c r="H650" s="176"/>
      <c r="I650" s="176"/>
      <c r="J650" s="176">
        <f>SUM(D650:I650)</f>
        <v>1880</v>
      </c>
      <c r="K650" s="176"/>
      <c r="L650" s="176"/>
      <c r="M650" s="176"/>
      <c r="N650" s="177">
        <f>SUM(J650:M650)</f>
        <v>1880</v>
      </c>
      <c r="O650" s="210"/>
    </row>
    <row r="651" spans="1:15" s="179" customFormat="1" ht="12" customHeight="1" thickBot="1">
      <c r="A651" s="165"/>
      <c r="B651" s="311"/>
      <c r="C651" s="302" t="s">
        <v>625</v>
      </c>
      <c r="D651" s="169"/>
      <c r="E651" s="169"/>
      <c r="F651" s="169">
        <v>1564</v>
      </c>
      <c r="G651" s="169"/>
      <c r="H651" s="169"/>
      <c r="I651" s="169"/>
      <c r="J651" s="169">
        <f>SUM(D651:I651)</f>
        <v>1564</v>
      </c>
      <c r="K651" s="169"/>
      <c r="L651" s="169"/>
      <c r="M651" s="169"/>
      <c r="N651" s="170">
        <f>SUM(J651:M651)</f>
        <v>1564</v>
      </c>
      <c r="O651" s="209"/>
    </row>
    <row r="652" spans="1:15" s="179" customFormat="1" ht="12" customHeight="1">
      <c r="A652" s="1454">
        <v>45</v>
      </c>
      <c r="B652" s="250">
        <v>1</v>
      </c>
      <c r="C652" s="1469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88"/>
      <c r="O652" s="1466"/>
    </row>
    <row r="653" spans="1:15" s="179" customFormat="1" ht="12" customHeight="1">
      <c r="A653" s="1467"/>
      <c r="B653" s="251"/>
      <c r="C653" s="287" t="s">
        <v>623</v>
      </c>
      <c r="D653" s="176"/>
      <c r="E653" s="176"/>
      <c r="F653" s="176"/>
      <c r="G653" s="176"/>
      <c r="H653" s="176"/>
      <c r="I653" s="176"/>
      <c r="J653" s="176">
        <v>0</v>
      </c>
      <c r="K653" s="176"/>
      <c r="L653" s="176"/>
      <c r="M653" s="176"/>
      <c r="N653" s="177"/>
      <c r="O653" s="1468"/>
    </row>
    <row r="654" spans="1:15" s="179" customFormat="1" ht="12" customHeight="1">
      <c r="A654" s="1467"/>
      <c r="B654" s="251"/>
      <c r="C654" s="287" t="s">
        <v>624</v>
      </c>
      <c r="D654" s="176"/>
      <c r="E654" s="176"/>
      <c r="F654" s="176"/>
      <c r="G654" s="176"/>
      <c r="H654" s="176"/>
      <c r="I654" s="176">
        <v>399707</v>
      </c>
      <c r="J654" s="176">
        <f>I654</f>
        <v>399707</v>
      </c>
      <c r="K654" s="176"/>
      <c r="L654" s="176"/>
      <c r="M654" s="176"/>
      <c r="N654" s="177"/>
      <c r="O654" s="1468"/>
    </row>
    <row r="655" spans="1:15" s="179" customFormat="1" ht="12" customHeight="1" thickBot="1">
      <c r="A655" s="1454"/>
      <c r="B655" s="1470"/>
      <c r="C655" s="303" t="s">
        <v>625</v>
      </c>
      <c r="D655" s="196"/>
      <c r="E655" s="196"/>
      <c r="F655" s="196"/>
      <c r="G655" s="196"/>
      <c r="H655" s="196"/>
      <c r="I655" s="196">
        <f>'4 '!I38</f>
        <v>399707</v>
      </c>
      <c r="J655" s="196">
        <f>I655</f>
        <v>399707</v>
      </c>
      <c r="K655" s="196"/>
      <c r="L655" s="196"/>
      <c r="M655" s="196"/>
      <c r="N655" s="197"/>
      <c r="O655" s="1466"/>
    </row>
    <row r="656" spans="1:15" s="179" customFormat="1" ht="20.25" customHeight="1">
      <c r="A656" s="2015" t="s">
        <v>905</v>
      </c>
      <c r="B656" s="2016"/>
      <c r="C656" s="2016"/>
      <c r="D656" s="2016"/>
      <c r="E656" s="2016"/>
      <c r="F656" s="2016"/>
      <c r="G656" s="2016"/>
      <c r="H656" s="2016"/>
      <c r="I656" s="2016"/>
      <c r="J656" s="2016"/>
      <c r="K656" s="2016"/>
      <c r="L656" s="2016"/>
      <c r="M656" s="2016"/>
      <c r="N656" s="2016"/>
      <c r="O656" s="2017"/>
    </row>
    <row r="657" spans="1:15" s="179" customFormat="1" ht="12" customHeight="1">
      <c r="A657" s="171">
        <v>46</v>
      </c>
      <c r="B657" s="251">
        <v>1</v>
      </c>
      <c r="C657" s="612" t="s">
        <v>906</v>
      </c>
      <c r="D657" s="176"/>
      <c r="E657" s="176"/>
      <c r="F657" s="176"/>
      <c r="G657" s="176"/>
      <c r="H657" s="176"/>
      <c r="I657" s="176"/>
      <c r="J657" s="176"/>
      <c r="K657" s="176"/>
      <c r="L657" s="176"/>
      <c r="M657" s="176"/>
      <c r="N657" s="177"/>
      <c r="O657" s="210"/>
    </row>
    <row r="658" spans="1:15" s="179" customFormat="1" ht="12" customHeight="1">
      <c r="A658" s="171"/>
      <c r="B658" s="251"/>
      <c r="C658" s="613" t="s">
        <v>623</v>
      </c>
      <c r="D658" s="176"/>
      <c r="E658" s="176"/>
      <c r="F658" s="176"/>
      <c r="G658" s="176"/>
      <c r="H658" s="176"/>
      <c r="I658" s="176"/>
      <c r="J658" s="176"/>
      <c r="K658" s="176"/>
      <c r="L658" s="176">
        <v>978</v>
      </c>
      <c r="M658" s="176"/>
      <c r="N658" s="177"/>
      <c r="O658" s="210"/>
    </row>
    <row r="659" spans="1:15" s="179" customFormat="1" ht="12" customHeight="1">
      <c r="A659" s="171"/>
      <c r="B659" s="251"/>
      <c r="C659" s="613" t="s">
        <v>624</v>
      </c>
      <c r="D659" s="176"/>
      <c r="E659" s="176"/>
      <c r="F659" s="176"/>
      <c r="G659" s="176"/>
      <c r="H659" s="176"/>
      <c r="I659" s="176"/>
      <c r="J659" s="176">
        <f>SUM(D659:I659)</f>
        <v>0</v>
      </c>
      <c r="K659" s="176"/>
      <c r="L659" s="176">
        <v>978</v>
      </c>
      <c r="M659" s="176"/>
      <c r="N659" s="177">
        <f>SUM(K659:M659)</f>
        <v>978</v>
      </c>
      <c r="O659" s="210"/>
    </row>
    <row r="660" spans="1:15" s="179" customFormat="1" ht="12" customHeight="1">
      <c r="A660" s="171"/>
      <c r="B660" s="251"/>
      <c r="C660" s="613" t="s">
        <v>625</v>
      </c>
      <c r="D660" s="176"/>
      <c r="E660" s="176"/>
      <c r="F660" s="176"/>
      <c r="G660" s="176"/>
      <c r="H660" s="176"/>
      <c r="I660" s="176"/>
      <c r="J660" s="176"/>
      <c r="K660" s="176"/>
      <c r="L660" s="176">
        <v>978</v>
      </c>
      <c r="M660" s="176"/>
      <c r="N660" s="177">
        <f>SUM(K660:M660)</f>
        <v>978</v>
      </c>
      <c r="O660" s="210"/>
    </row>
    <row r="661" spans="1:15" s="179" customFormat="1" ht="12" customHeight="1">
      <c r="A661" s="171">
        <v>47</v>
      </c>
      <c r="B661" s="251">
        <v>1</v>
      </c>
      <c r="C661" s="612" t="s">
        <v>907</v>
      </c>
      <c r="D661" s="176"/>
      <c r="E661" s="176"/>
      <c r="F661" s="176"/>
      <c r="G661" s="176"/>
      <c r="H661" s="176"/>
      <c r="I661" s="176"/>
      <c r="J661" s="176"/>
      <c r="K661" s="176"/>
      <c r="L661" s="176"/>
      <c r="M661" s="176"/>
      <c r="N661" s="177"/>
      <c r="O661" s="210"/>
    </row>
    <row r="662" spans="1:15" s="179" customFormat="1" ht="12" customHeight="1">
      <c r="A662" s="171"/>
      <c r="B662" s="251"/>
      <c r="C662" s="613" t="s">
        <v>623</v>
      </c>
      <c r="D662" s="176"/>
      <c r="E662" s="176"/>
      <c r="F662" s="176"/>
      <c r="G662" s="176"/>
      <c r="H662" s="176"/>
      <c r="I662" s="176"/>
      <c r="J662" s="176"/>
      <c r="K662" s="176"/>
      <c r="L662" s="176"/>
      <c r="M662" s="176"/>
      <c r="N662" s="177"/>
      <c r="O662" s="210"/>
    </row>
    <row r="663" spans="1:15" s="179" customFormat="1" ht="12" customHeight="1">
      <c r="A663" s="171"/>
      <c r="B663" s="251"/>
      <c r="C663" s="613" t="s">
        <v>624</v>
      </c>
      <c r="D663" s="176"/>
      <c r="E663" s="176"/>
      <c r="F663" s="176">
        <v>86358</v>
      </c>
      <c r="G663" s="176"/>
      <c r="H663" s="176"/>
      <c r="I663" s="176"/>
      <c r="J663" s="176">
        <f>SUM(F663:I663)</f>
        <v>86358</v>
      </c>
      <c r="K663" s="176"/>
      <c r="L663" s="176"/>
      <c r="M663" s="176"/>
      <c r="N663" s="177">
        <f>SUM(J663:M663)</f>
        <v>86358</v>
      </c>
      <c r="O663" s="210"/>
    </row>
    <row r="664" spans="1:15" s="179" customFormat="1" ht="12" customHeight="1" thickBot="1">
      <c r="A664" s="165"/>
      <c r="B664" s="311"/>
      <c r="C664" s="614" t="s">
        <v>625</v>
      </c>
      <c r="D664" s="169"/>
      <c r="E664" s="169"/>
      <c r="F664" s="169">
        <v>86358</v>
      </c>
      <c r="G664" s="169"/>
      <c r="H664" s="169"/>
      <c r="I664" s="169"/>
      <c r="J664" s="169">
        <f>SUM(F664:I664)</f>
        <v>86358</v>
      </c>
      <c r="K664" s="169"/>
      <c r="L664" s="169"/>
      <c r="M664" s="169"/>
      <c r="N664" s="170">
        <f>SUM(J664:M664)</f>
        <v>86358</v>
      </c>
      <c r="O664" s="209"/>
    </row>
    <row r="665" spans="1:15" ht="24" customHeight="1">
      <c r="A665" s="2022" t="s">
        <v>1264</v>
      </c>
      <c r="B665" s="2023"/>
      <c r="C665" s="2024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3"/>
      <c r="O665" s="208"/>
    </row>
    <row r="666" spans="1:15" ht="12.75" customHeight="1">
      <c r="A666" s="315"/>
      <c r="B666" s="316"/>
      <c r="C666" s="320" t="s">
        <v>623</v>
      </c>
      <c r="D666" s="176">
        <f aca="true" t="shared" si="101" ref="D666:I666">D41+D73+D77+D89+D105+D109+D125+D145+D149+D161+D173+D193+D209+D225+D245+D257+D277+D281+D285+D289+D329+D341+D393+D397+D401+D465+D477+D517+D537+D541+D545+D561+D601+D613+D621+D645+D649+D653</f>
        <v>268045</v>
      </c>
      <c r="E666" s="176">
        <f t="shared" si="101"/>
        <v>66539</v>
      </c>
      <c r="F666" s="176">
        <f t="shared" si="101"/>
        <v>420659</v>
      </c>
      <c r="G666" s="176">
        <f t="shared" si="101"/>
        <v>0</v>
      </c>
      <c r="H666" s="176">
        <f t="shared" si="101"/>
        <v>200911</v>
      </c>
      <c r="I666" s="176">
        <f t="shared" si="101"/>
        <v>452109</v>
      </c>
      <c r="J666" s="176">
        <f>SUM(D666:I666)</f>
        <v>1408263</v>
      </c>
      <c r="K666" s="176">
        <f aca="true" t="shared" si="102" ref="K666:M668">K41+K73+K77+K89+K105+K109+K125+K145+K149+K161+K173+K193+K209+K225+K245+K257+K277+K281+K285+K289+K329+K341+K393+K397+K401+K465+K477+K517+K537+K541+K545+K561+K601+K613+K621+K645+K649</f>
        <v>1269461</v>
      </c>
      <c r="L666" s="176">
        <f t="shared" si="102"/>
        <v>13037</v>
      </c>
      <c r="M666" s="176">
        <f t="shared" si="102"/>
        <v>322447</v>
      </c>
      <c r="N666" s="177">
        <f>SUM(J666:M666)</f>
        <v>3013208</v>
      </c>
      <c r="O666" s="210">
        <f>O41+O73+O77+O89+O105+O109+O125+O145+O149+O161+O173+O193+O209+O225+O245+O257+O277+O281+O285+O289+O329+O341+O393+O397+O401+O465+O477+O517+O537+O541+O545+O561+O601+O613+O621+O645+O649</f>
        <v>169</v>
      </c>
    </row>
    <row r="667" spans="1:15" ht="12.75" customHeight="1">
      <c r="A667" s="315"/>
      <c r="B667" s="316"/>
      <c r="C667" s="320" t="s">
        <v>624</v>
      </c>
      <c r="D667" s="176">
        <f>D42+D74+D78+D90+D106+D110+D126+D146+D150+D162+D174+D194+D210+D226+D246+D258+D278+D282+D286+D290+D330+D342+D394+D398+D402+D466+D478+D518+D538+D542+D546+D562+D602+D614+D622+D646+D650</f>
        <v>280874</v>
      </c>
      <c r="E667" s="176">
        <f>E42+E74+E78+E90+E106+E110+E126+E146+E150+E162+E174+E194+E210+E226+E246+E258+E278+E282+E286+E290+E330+E342+E394+E398+E402+E466+E478+E518+E538+E542+E546+E562+E602+E614+E622+E646+E650</f>
        <v>70901</v>
      </c>
      <c r="F667" s="176">
        <f>F42+F74+F78+F90+F106+F110+F126+F146+F150+F162+F174+F194+F210+F226+F246+F258+F278+F282+F286+F290+F330+F342+F394+F398+F402+F466+F478+F518+F538+F542+F546+F562+F602+F614+F622+F646+F650+F654</f>
        <v>466806</v>
      </c>
      <c r="G667" s="176">
        <f>G42+G74+G78+G90+G106+G110+G126+G146+G150+G162+G174+G194+G210+G226+G246+G258+G278+G282+G286+G290+G330+G342+G394+G398+G402+G466+G478+G518+G538+G542+G546+G562+G602+G614+G622+G646+G650+G663+G654</f>
        <v>0</v>
      </c>
      <c r="H667" s="176">
        <f>H42+H74+H78+H90+H106+H110+H126+H146+H150+H162+H174+H194+H210+H226+H246+H258+H278+H282+H286+H290+H330+H342+H394+H398+H402+H466+H478+H518+H538+H542+H546+H562+H602+H614+H622+H646+H650+H663+H654</f>
        <v>207451</v>
      </c>
      <c r="I667" s="176">
        <f>I42+I74+I78+I90+I106+I110+I126+I146+I150+I162+I174+I194+I210+I226+I246+I258+I278+I282+I286+I290+I330+I342+I394+I398+I402+I466+I478+I518+I538+I542+I546+I562+I602+I614+I622+I646+I650+I663+I654</f>
        <v>872439</v>
      </c>
      <c r="J667" s="176">
        <f>SUM(D667:I667)</f>
        <v>1898471</v>
      </c>
      <c r="K667" s="176">
        <f t="shared" si="102"/>
        <v>1548853</v>
      </c>
      <c r="L667" s="176">
        <f t="shared" si="102"/>
        <v>38266</v>
      </c>
      <c r="M667" s="176">
        <f t="shared" si="102"/>
        <v>315667</v>
      </c>
      <c r="N667" s="177">
        <f>SUM(J667:M667)</f>
        <v>3801257</v>
      </c>
      <c r="O667" s="210">
        <f>O42+O74+O78+O90+O106+O110+O126+O146+O150+O162+O174+O194+O210+O226+O246+O258+O278+O282+O286+O290+O330+O342+O394+O398+O402+O466+O478+O518+O538+O542+O546+O562+O602+O614+O622+O646+O650</f>
        <v>171.46</v>
      </c>
    </row>
    <row r="668" spans="1:15" ht="12.75" customHeight="1" thickBot="1">
      <c r="A668" s="284"/>
      <c r="B668" s="285"/>
      <c r="C668" s="321" t="s">
        <v>625</v>
      </c>
      <c r="D668" s="169">
        <f>D43+D75+D79+D91+D107+D111+D127+D147+D151+D163+D175+D195+D211+D227+D247+D259+D279+D283+D287+D291+D331+D343+D395+D399+D403+D467+D479+D519+D539+D543+D547+D563+D603+D615+D623+D647+D651+D655</f>
        <v>255441</v>
      </c>
      <c r="E668" s="169">
        <f>E43+E75+E79+E91+E107+E111+E127+E147+E151+E163+E175+E195+E211+E227+E247+E259+E279+E283+E287+E291+E331+E343+E395+E399+E403+E467+E479+E519+E539+E543+E547+E563+E603+E615+E623+E647+E651+E655</f>
        <v>62025</v>
      </c>
      <c r="F668" s="169">
        <f>F43+F75+F79+F91+F107+F111+F127+F147+F151+F163+F175+F195+F211+F227+F247+F259+F279+F283+F287+F291+F331+F343+F395+F399+F403+F467+F479+F519+F539+F543+F547+F563+F603+F615+F623+F647+F651+F655</f>
        <v>385187</v>
      </c>
      <c r="G668" s="169">
        <f>G43+G75+G79+G91+G107+G111+G127+G147+G151+G163+G175+G195+G211+G227+G247+G259+G279+G283+G287+G291+G331+G343+G395+G399+G403+G467+G479+G519+G539+G543+G547+G563+G603+G615+G623+G647+G651+G655</f>
        <v>0</v>
      </c>
      <c r="H668" s="169">
        <f>H43+H75+H79+H91+H107+H111+H127+H147+H151+H163+H175+H195+H211+H227+H247+H259+H279+H283+H287+H291+H331+H343+H395+H399+H403+H467+H479+H519+H539+H543+H547+H563+H603+H615+H623+H647+H651+H655</f>
        <v>155340</v>
      </c>
      <c r="I668" s="169">
        <f>I43+I75+I79+I91+I107+I111+I127+I147+I151+I163+I175+I195+I211+I227+I247+I259+I279+I283+I287+I291+I331+I343+I395+I399+I403+I467+I479+I519+I539+I543+I547+I563+I603+I615+I623+I647+I651+I655</f>
        <v>863941</v>
      </c>
      <c r="J668" s="169">
        <f>SUM(D668:I668)</f>
        <v>1721934</v>
      </c>
      <c r="K668" s="169">
        <f t="shared" si="102"/>
        <v>233469</v>
      </c>
      <c r="L668" s="169">
        <f t="shared" si="102"/>
        <v>8952</v>
      </c>
      <c r="M668" s="169">
        <f t="shared" si="102"/>
        <v>0</v>
      </c>
      <c r="N668" s="170">
        <f>SUM(J668:M668)</f>
        <v>1964355</v>
      </c>
      <c r="O668" s="209">
        <f>O43+O75+O79+O91+O107+O111+O127+O147+O151+O163+O175+O195+O211+O227+O247+O259+O279+O283+O287+O291+O331+O343+O395+O399+O403+O467+O479+O519+O539+O543+O547+O563+O603+O615+O623+O647+O651</f>
        <v>89</v>
      </c>
    </row>
    <row r="669" spans="1:15" ht="12.75" customHeight="1">
      <c r="A669" s="2027" t="s">
        <v>1263</v>
      </c>
      <c r="B669" s="2028"/>
      <c r="C669" s="2028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2"/>
      <c r="O669" s="207"/>
    </row>
    <row r="670" spans="1:15" ht="12.75" customHeight="1">
      <c r="A670" s="1319"/>
      <c r="B670" s="1320"/>
      <c r="C670" s="323" t="s">
        <v>623</v>
      </c>
      <c r="D670" s="177">
        <f>D666+D658+D662</f>
        <v>268045</v>
      </c>
      <c r="E670" s="177">
        <f aca="true" t="shared" si="103" ref="D670:I672">E666+E658+E662</f>
        <v>66539</v>
      </c>
      <c r="F670" s="177">
        <f t="shared" si="103"/>
        <v>420659</v>
      </c>
      <c r="G670" s="177">
        <f t="shared" si="103"/>
        <v>0</v>
      </c>
      <c r="H670" s="177">
        <f t="shared" si="103"/>
        <v>200911</v>
      </c>
      <c r="I670" s="177">
        <f t="shared" si="103"/>
        <v>452109</v>
      </c>
      <c r="J670" s="176">
        <f>SUM(D670:I670)</f>
        <v>1408263</v>
      </c>
      <c r="K670" s="176">
        <f aca="true" t="shared" si="104" ref="K670:O672">K666+K658+K662</f>
        <v>1269461</v>
      </c>
      <c r="L670" s="176">
        <f>L666+L658+L662</f>
        <v>14015</v>
      </c>
      <c r="M670" s="176">
        <f t="shared" si="104"/>
        <v>322447</v>
      </c>
      <c r="N670" s="177">
        <f>SUM(J670:M670)</f>
        <v>3014186</v>
      </c>
      <c r="O670" s="1490">
        <f>O666+O658+O662</f>
        <v>169</v>
      </c>
    </row>
    <row r="671" spans="1:15" ht="12.75" customHeight="1">
      <c r="A671" s="315"/>
      <c r="B671" s="316"/>
      <c r="C671" s="320" t="s">
        <v>624</v>
      </c>
      <c r="D671" s="177">
        <f t="shared" si="103"/>
        <v>280874</v>
      </c>
      <c r="E671" s="177">
        <f t="shared" si="103"/>
        <v>70901</v>
      </c>
      <c r="F671" s="177">
        <f t="shared" si="103"/>
        <v>553164</v>
      </c>
      <c r="G671" s="177">
        <f t="shared" si="103"/>
        <v>0</v>
      </c>
      <c r="H671" s="177">
        <f t="shared" si="103"/>
        <v>207451</v>
      </c>
      <c r="I671" s="177">
        <f t="shared" si="103"/>
        <v>872439</v>
      </c>
      <c r="J671" s="176">
        <f>SUM(D671:I671)</f>
        <v>1984829</v>
      </c>
      <c r="K671" s="177">
        <f t="shared" si="104"/>
        <v>1548853</v>
      </c>
      <c r="L671" s="177">
        <f t="shared" si="104"/>
        <v>39244</v>
      </c>
      <c r="M671" s="177">
        <f t="shared" si="104"/>
        <v>315667</v>
      </c>
      <c r="N671" s="176">
        <f>SUM(J671:M671)</f>
        <v>3888593</v>
      </c>
      <c r="O671" s="1490">
        <f t="shared" si="104"/>
        <v>171.46</v>
      </c>
    </row>
    <row r="672" spans="1:15" ht="12.75" customHeight="1" thickBot="1">
      <c r="A672" s="1319"/>
      <c r="B672" s="1320"/>
      <c r="C672" s="321" t="s">
        <v>625</v>
      </c>
      <c r="D672" s="157">
        <f t="shared" si="103"/>
        <v>255441</v>
      </c>
      <c r="E672" s="157">
        <f t="shared" si="103"/>
        <v>62025</v>
      </c>
      <c r="F672" s="157">
        <f t="shared" si="103"/>
        <v>471545</v>
      </c>
      <c r="G672" s="157">
        <f t="shared" si="103"/>
        <v>0</v>
      </c>
      <c r="H672" s="157">
        <f t="shared" si="103"/>
        <v>155340</v>
      </c>
      <c r="I672" s="157">
        <f t="shared" si="103"/>
        <v>863941</v>
      </c>
      <c r="J672" s="162">
        <f>SUM(D672:I672)</f>
        <v>1808292</v>
      </c>
      <c r="K672" s="157">
        <f t="shared" si="104"/>
        <v>233469</v>
      </c>
      <c r="L672" s="157">
        <f t="shared" si="104"/>
        <v>9930</v>
      </c>
      <c r="M672" s="157">
        <f t="shared" si="104"/>
        <v>0</v>
      </c>
      <c r="N672" s="176">
        <f>SUM(J672:M672)</f>
        <v>2051691</v>
      </c>
      <c r="O672" s="1491">
        <f t="shared" si="104"/>
        <v>89</v>
      </c>
    </row>
    <row r="673" spans="1:15" ht="12.75" customHeight="1">
      <c r="A673" s="2027" t="s">
        <v>594</v>
      </c>
      <c r="B673" s="2028"/>
      <c r="C673" s="2028"/>
      <c r="D673" s="596"/>
      <c r="E673" s="151"/>
      <c r="F673" s="596"/>
      <c r="G673" s="151"/>
      <c r="H673" s="151"/>
      <c r="I673" s="151"/>
      <c r="J673" s="151"/>
      <c r="K673" s="151"/>
      <c r="L673" s="151"/>
      <c r="M673" s="151"/>
      <c r="N673" s="152"/>
      <c r="O673" s="206"/>
    </row>
    <row r="674" spans="1:15" ht="12.75" customHeight="1">
      <c r="A674" s="319"/>
      <c r="B674" s="322"/>
      <c r="C674" s="323" t="s">
        <v>623</v>
      </c>
      <c r="D674" s="157">
        <f aca="true" t="shared" si="105" ref="D674:I676">D670+D37</f>
        <v>582922</v>
      </c>
      <c r="E674" s="157">
        <f t="shared" si="105"/>
        <v>145828</v>
      </c>
      <c r="F674" s="157">
        <f t="shared" si="105"/>
        <v>494302</v>
      </c>
      <c r="G674" s="157">
        <f t="shared" si="105"/>
        <v>0</v>
      </c>
      <c r="H674" s="157">
        <f t="shared" si="105"/>
        <v>200911</v>
      </c>
      <c r="I674" s="157">
        <f t="shared" si="105"/>
        <v>452109</v>
      </c>
      <c r="J674" s="156">
        <f>SUM(D674:I674)</f>
        <v>1876072</v>
      </c>
      <c r="K674" s="157">
        <f aca="true" t="shared" si="106" ref="K674:M676">K670+K37</f>
        <v>1269686</v>
      </c>
      <c r="L674" s="157">
        <f t="shared" si="106"/>
        <v>14015</v>
      </c>
      <c r="M674" s="157">
        <f t="shared" si="106"/>
        <v>322447</v>
      </c>
      <c r="N674" s="157">
        <f>SUM(J674:M674)</f>
        <v>3482220</v>
      </c>
      <c r="O674" s="207">
        <f>O666+O37</f>
        <v>312.4</v>
      </c>
    </row>
    <row r="675" spans="1:15" ht="12.75" customHeight="1">
      <c r="A675" s="317"/>
      <c r="B675" s="324"/>
      <c r="C675" s="320" t="s">
        <v>624</v>
      </c>
      <c r="D675" s="177">
        <f t="shared" si="105"/>
        <v>618776</v>
      </c>
      <c r="E675" s="177">
        <f t="shared" si="105"/>
        <v>159229</v>
      </c>
      <c r="F675" s="177">
        <f t="shared" si="105"/>
        <v>636246</v>
      </c>
      <c r="G675" s="177">
        <f t="shared" si="105"/>
        <v>0</v>
      </c>
      <c r="H675" s="177">
        <f t="shared" si="105"/>
        <v>207451</v>
      </c>
      <c r="I675" s="177">
        <f t="shared" si="105"/>
        <v>872439</v>
      </c>
      <c r="J675" s="176">
        <f>SUM(D675:I675)</f>
        <v>2494141</v>
      </c>
      <c r="K675" s="177">
        <f t="shared" si="106"/>
        <v>1549528</v>
      </c>
      <c r="L675" s="177">
        <f t="shared" si="106"/>
        <v>39244</v>
      </c>
      <c r="M675" s="177">
        <f t="shared" si="106"/>
        <v>315667</v>
      </c>
      <c r="N675" s="177">
        <f>SUM(J675:M675)</f>
        <v>4398580</v>
      </c>
      <c r="O675" s="207">
        <f>O667+O38</f>
        <v>307.36</v>
      </c>
    </row>
    <row r="676" spans="1:15" ht="12.75" customHeight="1" thickBot="1">
      <c r="A676" s="318"/>
      <c r="B676" s="325"/>
      <c r="C676" s="321" t="s">
        <v>625</v>
      </c>
      <c r="D676" s="170">
        <f t="shared" si="105"/>
        <v>584178</v>
      </c>
      <c r="E676" s="170">
        <f t="shared" si="105"/>
        <v>147881</v>
      </c>
      <c r="F676" s="170">
        <f t="shared" si="105"/>
        <v>545927</v>
      </c>
      <c r="G676" s="170">
        <f t="shared" si="105"/>
        <v>0</v>
      </c>
      <c r="H676" s="170">
        <f t="shared" si="105"/>
        <v>155340</v>
      </c>
      <c r="I676" s="170">
        <f t="shared" si="105"/>
        <v>863941</v>
      </c>
      <c r="J676" s="169">
        <f>SUM(D676:I676)</f>
        <v>2297267</v>
      </c>
      <c r="K676" s="170">
        <f t="shared" si="106"/>
        <v>233693</v>
      </c>
      <c r="L676" s="170">
        <f t="shared" si="106"/>
        <v>9930</v>
      </c>
      <c r="M676" s="170">
        <f t="shared" si="106"/>
        <v>0</v>
      </c>
      <c r="N676" s="170">
        <f>SUM(J676:M676)</f>
        <v>2540890</v>
      </c>
      <c r="O676" s="209">
        <f>O668+O39</f>
        <v>211</v>
      </c>
    </row>
  </sheetData>
  <sheetProtection/>
  <mergeCells count="11">
    <mergeCell ref="A665:C665"/>
    <mergeCell ref="H6:H7"/>
    <mergeCell ref="A673:C673"/>
    <mergeCell ref="A36:C36"/>
    <mergeCell ref="A669:C669"/>
    <mergeCell ref="A5:B5"/>
    <mergeCell ref="A6:B6"/>
    <mergeCell ref="A7:B7"/>
    <mergeCell ref="A656:O656"/>
    <mergeCell ref="I6:I7"/>
    <mergeCell ref="H5:I5"/>
  </mergeCells>
  <printOptions horizontalCentered="1" verticalCentered="1"/>
  <pageMargins left="0.3937007874015748" right="0.3937007874015748" top="0.3937007874015748" bottom="0.3937007874015748" header="0" footer="0"/>
  <pageSetup fitToHeight="13" horizontalDpi="600" verticalDpi="600" orientation="landscape" paperSize="9" scale="82" r:id="rId2"/>
  <rowBreaks count="2" manualBreakCount="2">
    <brk id="107" min="1" max="14" man="1"/>
    <brk id="159" min="1" max="1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92"/>
  <sheetViews>
    <sheetView zoomScaleSheetLayoutView="100" zoomScalePageLayoutView="0" workbookViewId="0" topLeftCell="A1">
      <selection activeCell="I72" sqref="I72"/>
    </sheetView>
  </sheetViews>
  <sheetFormatPr defaultColWidth="9.00390625" defaultRowHeight="12" customHeight="1"/>
  <cols>
    <col min="1" max="1" width="3.25390625" style="266" customWidth="1"/>
    <col min="2" max="2" width="3.125" style="266" customWidth="1"/>
    <col min="3" max="3" width="48.25390625" style="1515" customWidth="1"/>
    <col min="4" max="4" width="8.75390625" style="642" customWidth="1"/>
    <col min="5" max="5" width="9.375" style="267" customWidth="1"/>
    <col min="6" max="6" width="7.875" style="1392" customWidth="1"/>
    <col min="7" max="16384" width="9.125" style="59" customWidth="1"/>
  </cols>
  <sheetData>
    <row r="4" ht="7.5" customHeight="1">
      <c r="F4" s="267" t="s">
        <v>297</v>
      </c>
    </row>
    <row r="5" ht="1.5" customHeight="1" thickBot="1">
      <c r="E5" s="267" t="s">
        <v>458</v>
      </c>
    </row>
    <row r="6" spans="1:6" s="60" customFormat="1" ht="13.5" customHeight="1" thickBot="1">
      <c r="A6" s="2036" t="s">
        <v>358</v>
      </c>
      <c r="B6" s="2037"/>
      <c r="C6" s="2038"/>
      <c r="D6" s="286" t="s">
        <v>626</v>
      </c>
      <c r="E6" s="335" t="s">
        <v>627</v>
      </c>
      <c r="F6" s="1393" t="s">
        <v>628</v>
      </c>
    </row>
    <row r="7" spans="1:6" s="61" customFormat="1" ht="9" customHeight="1">
      <c r="A7" s="268" t="s">
        <v>364</v>
      </c>
      <c r="B7" s="269"/>
      <c r="C7" s="1516" t="s">
        <v>376</v>
      </c>
      <c r="D7" s="643"/>
      <c r="E7" s="336"/>
      <c r="F7" s="1394"/>
    </row>
    <row r="8" spans="1:6" s="61" customFormat="1" ht="13.5" customHeight="1">
      <c r="A8" s="268"/>
      <c r="B8" s="269" t="s">
        <v>459</v>
      </c>
      <c r="C8" s="1517" t="s">
        <v>460</v>
      </c>
      <c r="D8" s="326">
        <f>SUM(D10:D31)</f>
        <v>873012</v>
      </c>
      <c r="E8" s="327">
        <f>SUM(E10:E43)</f>
        <v>1345622</v>
      </c>
      <c r="F8" s="991">
        <f>SUM(F10:F44)</f>
        <v>161532</v>
      </c>
    </row>
    <row r="9" spans="1:6" s="60" customFormat="1" ht="8.25" customHeight="1">
      <c r="A9" s="270"/>
      <c r="B9" s="263"/>
      <c r="C9" s="1518"/>
      <c r="D9" s="644"/>
      <c r="E9" s="337"/>
      <c r="F9" s="1395"/>
    </row>
    <row r="10" spans="1:6" s="60" customFormat="1" ht="12.75" customHeight="1">
      <c r="A10" s="270"/>
      <c r="B10" s="263">
        <v>1</v>
      </c>
      <c r="C10" s="1378" t="s">
        <v>862</v>
      </c>
      <c r="D10" s="334">
        <v>2200</v>
      </c>
      <c r="E10" s="645">
        <v>3400</v>
      </c>
      <c r="F10" s="989">
        <f>2581+1</f>
        <v>2582</v>
      </c>
    </row>
    <row r="11" spans="1:6" s="60" customFormat="1" ht="12.75" customHeight="1">
      <c r="A11" s="270"/>
      <c r="B11" s="263" t="s">
        <v>314</v>
      </c>
      <c r="C11" s="1378" t="s">
        <v>850</v>
      </c>
      <c r="D11" s="334">
        <v>2500</v>
      </c>
      <c r="E11" s="646">
        <v>2500</v>
      </c>
      <c r="F11" s="989">
        <v>0</v>
      </c>
    </row>
    <row r="12" spans="1:6" s="61" customFormat="1" ht="12.75" customHeight="1">
      <c r="A12" s="270"/>
      <c r="B12" s="263" t="s">
        <v>316</v>
      </c>
      <c r="C12" s="1519" t="s">
        <v>851</v>
      </c>
      <c r="D12" s="334">
        <v>1800</v>
      </c>
      <c r="E12" s="646">
        <v>1800</v>
      </c>
      <c r="F12" s="989">
        <v>1674</v>
      </c>
    </row>
    <row r="13" spans="1:6" s="62" customFormat="1" ht="12.75" customHeight="1">
      <c r="A13" s="270"/>
      <c r="B13" s="263" t="s">
        <v>318</v>
      </c>
      <c r="C13" s="1520" t="s">
        <v>861</v>
      </c>
      <c r="D13" s="333">
        <v>500</v>
      </c>
      <c r="E13" s="646">
        <v>500</v>
      </c>
      <c r="F13" s="641">
        <v>60</v>
      </c>
    </row>
    <row r="14" spans="1:6" s="62" customFormat="1" ht="12.75" customHeight="1">
      <c r="A14" s="270"/>
      <c r="B14" s="263" t="s">
        <v>320</v>
      </c>
      <c r="C14" s="1521" t="s">
        <v>558</v>
      </c>
      <c r="D14" s="334">
        <v>70633</v>
      </c>
      <c r="E14" s="646">
        <v>70633</v>
      </c>
      <c r="F14" s="641">
        <v>0</v>
      </c>
    </row>
    <row r="15" spans="1:6" s="62" customFormat="1" ht="12.75" customHeight="1">
      <c r="A15" s="270"/>
      <c r="B15" s="263" t="s">
        <v>322</v>
      </c>
      <c r="C15" s="1522" t="s">
        <v>852</v>
      </c>
      <c r="D15" s="330">
        <v>249795</v>
      </c>
      <c r="E15" s="338">
        <v>219795</v>
      </c>
      <c r="F15" s="641">
        <v>0</v>
      </c>
    </row>
    <row r="16" spans="1:6" s="62" customFormat="1" ht="12.75" customHeight="1">
      <c r="A16" s="270"/>
      <c r="B16" s="263" t="s">
        <v>346</v>
      </c>
      <c r="C16" s="1519" t="s">
        <v>863</v>
      </c>
      <c r="D16" s="331">
        <v>132270</v>
      </c>
      <c r="E16" s="339">
        <v>139750</v>
      </c>
      <c r="F16" s="641">
        <f>6215-328</f>
        <v>5887</v>
      </c>
    </row>
    <row r="17" spans="1:6" s="62" customFormat="1" ht="12.75" customHeight="1">
      <c r="A17" s="270"/>
      <c r="B17" s="263" t="s">
        <v>347</v>
      </c>
      <c r="C17" s="1521" t="s">
        <v>743</v>
      </c>
      <c r="D17" s="331">
        <v>68908</v>
      </c>
      <c r="E17" s="339">
        <v>30446</v>
      </c>
      <c r="F17" s="641">
        <f>68018-42785</f>
        <v>25233</v>
      </c>
    </row>
    <row r="18" spans="1:6" s="62" customFormat="1" ht="27" customHeight="1">
      <c r="A18" s="270"/>
      <c r="B18" s="263" t="s">
        <v>349</v>
      </c>
      <c r="C18" s="1522" t="s">
        <v>864</v>
      </c>
      <c r="D18" s="331">
        <v>23086</v>
      </c>
      <c r="E18" s="339">
        <v>468257</v>
      </c>
      <c r="F18" s="641">
        <v>21805</v>
      </c>
    </row>
    <row r="19" spans="1:6" s="62" customFormat="1" ht="12.75" customHeight="1">
      <c r="A19" s="270"/>
      <c r="B19" s="263" t="s">
        <v>350</v>
      </c>
      <c r="C19" s="1523" t="s">
        <v>744</v>
      </c>
      <c r="D19" s="332">
        <v>211647</v>
      </c>
      <c r="E19" s="339">
        <v>211767</v>
      </c>
      <c r="F19" s="641">
        <f>74863-F68</f>
        <v>62438</v>
      </c>
    </row>
    <row r="20" spans="1:6" s="62" customFormat="1" ht="14.25" customHeight="1">
      <c r="A20" s="270"/>
      <c r="B20" s="263" t="s">
        <v>351</v>
      </c>
      <c r="C20" s="1520" t="s">
        <v>546</v>
      </c>
      <c r="D20" s="333">
        <v>15302</v>
      </c>
      <c r="E20" s="339">
        <v>16999</v>
      </c>
      <c r="F20" s="641">
        <v>15715</v>
      </c>
    </row>
    <row r="21" spans="1:6" s="62" customFormat="1" ht="26.25" customHeight="1">
      <c r="A21" s="270"/>
      <c r="B21" s="263" t="s">
        <v>415</v>
      </c>
      <c r="C21" s="1378" t="s">
        <v>336</v>
      </c>
      <c r="D21" s="333">
        <v>29938</v>
      </c>
      <c r="E21" s="339">
        <v>30088</v>
      </c>
      <c r="F21" s="641">
        <f>21+82</f>
        <v>103</v>
      </c>
    </row>
    <row r="22" spans="1:6" s="62" customFormat="1" ht="12.75" customHeight="1">
      <c r="A22" s="270"/>
      <c r="B22" s="263" t="s">
        <v>418</v>
      </c>
      <c r="C22" s="1379" t="s">
        <v>853</v>
      </c>
      <c r="D22" s="330">
        <v>500</v>
      </c>
      <c r="E22" s="339">
        <v>500</v>
      </c>
      <c r="F22" s="641">
        <v>0</v>
      </c>
    </row>
    <row r="23" spans="1:6" s="62" customFormat="1" ht="12.75" customHeight="1">
      <c r="A23" s="270"/>
      <c r="B23" s="263" t="s">
        <v>425</v>
      </c>
      <c r="C23" s="1379" t="s">
        <v>559</v>
      </c>
      <c r="D23" s="334">
        <v>1513</v>
      </c>
      <c r="E23" s="339">
        <v>1513</v>
      </c>
      <c r="F23" s="641">
        <v>0</v>
      </c>
    </row>
    <row r="24" spans="1:6" s="62" customFormat="1" ht="38.25" customHeight="1">
      <c r="A24" s="270"/>
      <c r="B24" s="263" t="s">
        <v>426</v>
      </c>
      <c r="C24" s="1524" t="s">
        <v>582</v>
      </c>
      <c r="D24" s="334">
        <v>5910</v>
      </c>
      <c r="E24" s="339">
        <v>5315</v>
      </c>
      <c r="F24" s="641">
        <f>5317-150</f>
        <v>5167</v>
      </c>
    </row>
    <row r="25" spans="1:6" s="62" customFormat="1" ht="12.75" customHeight="1">
      <c r="A25" s="270"/>
      <c r="B25" s="263" t="s">
        <v>557</v>
      </c>
      <c r="C25" s="1521" t="s">
        <v>573</v>
      </c>
      <c r="D25" s="334">
        <v>20000</v>
      </c>
      <c r="E25" s="339">
        <v>0</v>
      </c>
      <c r="F25" s="641">
        <v>0</v>
      </c>
    </row>
    <row r="26" spans="1:6" s="62" customFormat="1" ht="12.75" customHeight="1">
      <c r="A26" s="270"/>
      <c r="B26" s="263" t="s">
        <v>560</v>
      </c>
      <c r="C26" s="1525" t="s">
        <v>911</v>
      </c>
      <c r="D26" s="334">
        <v>752</v>
      </c>
      <c r="E26" s="339">
        <v>752</v>
      </c>
      <c r="F26" s="641">
        <v>752</v>
      </c>
    </row>
    <row r="27" spans="1:6" s="62" customFormat="1" ht="12.75" customHeight="1">
      <c r="A27" s="270"/>
      <c r="B27" s="263" t="s">
        <v>561</v>
      </c>
      <c r="C27" s="1525" t="s">
        <v>927</v>
      </c>
      <c r="D27" s="330">
        <v>125</v>
      </c>
      <c r="E27" s="339">
        <v>2284</v>
      </c>
      <c r="F27" s="641">
        <v>2279</v>
      </c>
    </row>
    <row r="28" spans="1:6" s="62" customFormat="1" ht="12.75" customHeight="1">
      <c r="A28" s="270"/>
      <c r="B28" s="263" t="s">
        <v>562</v>
      </c>
      <c r="C28" s="1525" t="s">
        <v>854</v>
      </c>
      <c r="D28" s="330">
        <v>144</v>
      </c>
      <c r="E28" s="339">
        <v>394</v>
      </c>
      <c r="F28" s="641">
        <v>54</v>
      </c>
    </row>
    <row r="29" spans="1:6" s="62" customFormat="1" ht="12.75" customHeight="1">
      <c r="A29" s="270"/>
      <c r="B29" s="263" t="s">
        <v>563</v>
      </c>
      <c r="C29" s="1379" t="s">
        <v>865</v>
      </c>
      <c r="D29" s="647">
        <v>32774</v>
      </c>
      <c r="E29" s="339">
        <v>30454</v>
      </c>
      <c r="F29" s="641">
        <v>233</v>
      </c>
    </row>
    <row r="30" spans="1:6" s="62" customFormat="1" ht="12.75" customHeight="1">
      <c r="A30" s="270"/>
      <c r="B30" s="263" t="s">
        <v>564</v>
      </c>
      <c r="C30" s="1379" t="s">
        <v>834</v>
      </c>
      <c r="D30" s="334">
        <v>300</v>
      </c>
      <c r="E30" s="339">
        <v>0</v>
      </c>
      <c r="F30" s="641">
        <v>0</v>
      </c>
    </row>
    <row r="31" spans="1:6" s="62" customFormat="1" ht="26.25" customHeight="1">
      <c r="A31" s="270"/>
      <c r="B31" s="263" t="s">
        <v>565</v>
      </c>
      <c r="C31" s="1379" t="s">
        <v>835</v>
      </c>
      <c r="D31" s="330">
        <v>2415</v>
      </c>
      <c r="E31" s="339">
        <v>0</v>
      </c>
      <c r="F31" s="641">
        <v>0</v>
      </c>
    </row>
    <row r="32" spans="1:6" s="62" customFormat="1" ht="12.75" customHeight="1">
      <c r="A32" s="270"/>
      <c r="B32" s="263" t="s">
        <v>566</v>
      </c>
      <c r="C32" s="1379" t="s">
        <v>855</v>
      </c>
      <c r="D32" s="648"/>
      <c r="E32" s="339">
        <v>1901</v>
      </c>
      <c r="F32" s="641">
        <v>1901</v>
      </c>
    </row>
    <row r="33" spans="1:6" s="62" customFormat="1" ht="24.75" customHeight="1">
      <c r="A33" s="270"/>
      <c r="B33" s="263" t="s">
        <v>572</v>
      </c>
      <c r="C33" s="1379" t="s">
        <v>866</v>
      </c>
      <c r="D33" s="649"/>
      <c r="E33" s="339">
        <v>5042</v>
      </c>
      <c r="F33" s="641">
        <f>1075-112</f>
        <v>963</v>
      </c>
    </row>
    <row r="34" spans="1:6" s="62" customFormat="1" ht="15.75" customHeight="1">
      <c r="A34" s="270"/>
      <c r="B34" s="263" t="s">
        <v>581</v>
      </c>
      <c r="C34" s="1379" t="s">
        <v>856</v>
      </c>
      <c r="D34" s="649"/>
      <c r="E34" s="339">
        <v>5000</v>
      </c>
      <c r="F34" s="641">
        <v>9</v>
      </c>
    </row>
    <row r="35" spans="1:6" s="62" customFormat="1" ht="15" customHeight="1">
      <c r="A35" s="270"/>
      <c r="B35" s="263" t="s">
        <v>584</v>
      </c>
      <c r="C35" s="1521" t="s">
        <v>857</v>
      </c>
      <c r="D35" s="650"/>
      <c r="E35" s="339">
        <v>28550</v>
      </c>
      <c r="F35" s="641">
        <v>1650</v>
      </c>
    </row>
    <row r="36" spans="1:6" s="62" customFormat="1" ht="15" customHeight="1">
      <c r="A36" s="270"/>
      <c r="B36" s="263" t="s">
        <v>908</v>
      </c>
      <c r="C36" s="1525" t="s">
        <v>858</v>
      </c>
      <c r="D36" s="650"/>
      <c r="E36" s="339">
        <v>40</v>
      </c>
      <c r="F36" s="990">
        <v>40</v>
      </c>
    </row>
    <row r="37" spans="1:6" s="62" customFormat="1" ht="15" customHeight="1">
      <c r="A37" s="270"/>
      <c r="B37" s="263" t="s">
        <v>909</v>
      </c>
      <c r="C37" s="1520" t="s">
        <v>867</v>
      </c>
      <c r="D37" s="650"/>
      <c r="E37" s="339">
        <v>0</v>
      </c>
      <c r="F37" s="641"/>
    </row>
    <row r="38" spans="1:6" s="62" customFormat="1" ht="15" customHeight="1">
      <c r="A38" s="270"/>
      <c r="B38" s="263" t="s">
        <v>910</v>
      </c>
      <c r="C38" s="1520" t="s">
        <v>859</v>
      </c>
      <c r="D38" s="650"/>
      <c r="E38" s="339">
        <v>1948</v>
      </c>
      <c r="F38" s="641">
        <v>1947</v>
      </c>
    </row>
    <row r="39" spans="1:6" s="62" customFormat="1" ht="24.75" customHeight="1">
      <c r="A39" s="270"/>
      <c r="B39" s="263" t="s">
        <v>919</v>
      </c>
      <c r="C39" s="1520" t="s">
        <v>802</v>
      </c>
      <c r="D39" s="650"/>
      <c r="E39" s="339">
        <v>1225</v>
      </c>
      <c r="F39" s="990">
        <v>6</v>
      </c>
    </row>
    <row r="40" spans="1:6" s="62" customFormat="1" ht="12" customHeight="1">
      <c r="A40" s="270"/>
      <c r="B40" s="263" t="s">
        <v>920</v>
      </c>
      <c r="C40" s="1520" t="s">
        <v>860</v>
      </c>
      <c r="D40" s="650"/>
      <c r="E40" s="339">
        <v>10483</v>
      </c>
      <c r="F40" s="641">
        <f>2597-190</f>
        <v>2407</v>
      </c>
    </row>
    <row r="41" spans="1:6" s="62" customFormat="1" ht="12" customHeight="1">
      <c r="A41" s="270"/>
      <c r="B41" s="263" t="s">
        <v>925</v>
      </c>
      <c r="C41" s="1525" t="s">
        <v>803</v>
      </c>
      <c r="D41" s="650"/>
      <c r="E41" s="339">
        <v>1200</v>
      </c>
      <c r="F41" s="990">
        <v>0</v>
      </c>
    </row>
    <row r="42" spans="1:6" s="62" customFormat="1" ht="24.75" customHeight="1">
      <c r="A42" s="270"/>
      <c r="B42" s="263" t="s">
        <v>926</v>
      </c>
      <c r="C42" s="1525" t="s">
        <v>868</v>
      </c>
      <c r="D42" s="650"/>
      <c r="E42" s="339">
        <v>23086</v>
      </c>
      <c r="F42" s="641">
        <v>0</v>
      </c>
    </row>
    <row r="43" spans="1:6" s="62" customFormat="1" ht="12" customHeight="1">
      <c r="A43" s="270"/>
      <c r="B43" s="263" t="s">
        <v>1042</v>
      </c>
      <c r="C43" s="1520" t="s">
        <v>869</v>
      </c>
      <c r="D43" s="650"/>
      <c r="E43" s="339">
        <v>30000</v>
      </c>
      <c r="F43" s="641">
        <v>8500</v>
      </c>
    </row>
    <row r="44" spans="1:6" s="62" customFormat="1" ht="12" customHeight="1">
      <c r="A44" s="270"/>
      <c r="B44" s="263">
        <v>35</v>
      </c>
      <c r="C44" s="1520" t="s">
        <v>844</v>
      </c>
      <c r="D44" s="650"/>
      <c r="E44" s="339"/>
      <c r="F44" s="641">
        <v>127</v>
      </c>
    </row>
    <row r="45" spans="1:6" s="62" customFormat="1" ht="6" customHeight="1">
      <c r="A45" s="270"/>
      <c r="B45" s="263"/>
      <c r="C45" s="1520"/>
      <c r="D45" s="651"/>
      <c r="E45" s="339"/>
      <c r="F45" s="990"/>
    </row>
    <row r="46" spans="1:6" s="62" customFormat="1" ht="10.5" customHeight="1">
      <c r="A46" s="271"/>
      <c r="B46" s="265" t="s">
        <v>461</v>
      </c>
      <c r="C46" s="1526" t="s">
        <v>462</v>
      </c>
      <c r="D46" s="326">
        <f>SUM(D48:D49)</f>
        <v>24</v>
      </c>
      <c r="E46" s="327">
        <f>SUM(E48:E49)</f>
        <v>74</v>
      </c>
      <c r="F46" s="991">
        <f>SUM(F48:F49)</f>
        <v>24</v>
      </c>
    </row>
    <row r="47" spans="1:6" s="62" customFormat="1" ht="5.25" customHeight="1">
      <c r="A47" s="271"/>
      <c r="B47" s="265"/>
      <c r="C47" s="1526"/>
      <c r="D47" s="652"/>
      <c r="E47" s="327"/>
      <c r="F47" s="990"/>
    </row>
    <row r="48" spans="1:6" s="62" customFormat="1" ht="12" customHeight="1">
      <c r="A48" s="271"/>
      <c r="B48" s="263" t="s">
        <v>312</v>
      </c>
      <c r="C48" s="1527" t="s">
        <v>848</v>
      </c>
      <c r="D48" s="648">
        <v>24</v>
      </c>
      <c r="E48" s="646">
        <v>24</v>
      </c>
      <c r="F48" s="641">
        <v>24</v>
      </c>
    </row>
    <row r="49" spans="1:6" s="62" customFormat="1" ht="12" customHeight="1">
      <c r="A49" s="271"/>
      <c r="B49" s="263" t="s">
        <v>314</v>
      </c>
      <c r="C49" s="1527" t="s">
        <v>849</v>
      </c>
      <c r="D49" s="648">
        <v>0</v>
      </c>
      <c r="E49" s="646">
        <v>50</v>
      </c>
      <c r="F49" s="641">
        <v>0</v>
      </c>
    </row>
    <row r="50" spans="1:6" s="62" customFormat="1" ht="9" customHeight="1">
      <c r="A50" s="271"/>
      <c r="B50" s="263"/>
      <c r="C50" s="1522"/>
      <c r="D50" s="653"/>
      <c r="E50" s="340"/>
      <c r="F50" s="990"/>
    </row>
    <row r="51" spans="1:6" s="62" customFormat="1" ht="10.5" customHeight="1">
      <c r="A51" s="271" t="s">
        <v>366</v>
      </c>
      <c r="B51" s="263"/>
      <c r="C51" s="1528" t="s">
        <v>544</v>
      </c>
      <c r="D51" s="326">
        <f>D53+D70</f>
        <v>399065</v>
      </c>
      <c r="E51" s="327">
        <f>E53+E70</f>
        <v>203832</v>
      </c>
      <c r="F51" s="991">
        <f>F53+F70</f>
        <v>72137</v>
      </c>
    </row>
    <row r="52" spans="1:6" s="62" customFormat="1" ht="5.25" customHeight="1">
      <c r="A52" s="271"/>
      <c r="B52" s="263"/>
      <c r="C52" s="1528"/>
      <c r="D52" s="652"/>
      <c r="E52" s="327"/>
      <c r="F52" s="1396"/>
    </row>
    <row r="53" spans="1:6" s="62" customFormat="1" ht="10.5" customHeight="1">
      <c r="A53" s="271"/>
      <c r="B53" s="265" t="s">
        <v>459</v>
      </c>
      <c r="C53" s="1528" t="s">
        <v>460</v>
      </c>
      <c r="D53" s="326">
        <f>D55+D56+D57+D58+D59</f>
        <v>398864</v>
      </c>
      <c r="E53" s="327">
        <f>E55+E56+E57+E58+E59+E60+E61+E62+E63+E64+E65</f>
        <v>203231</v>
      </c>
      <c r="F53" s="991">
        <f>F55+F56+F57+F58+F59+F60+F61+F62+F63+F64+F65+F66+F67+F68</f>
        <v>71937</v>
      </c>
    </row>
    <row r="54" spans="1:6" s="62" customFormat="1" ht="6.75" customHeight="1">
      <c r="A54" s="271"/>
      <c r="B54" s="265"/>
      <c r="C54" s="1528"/>
      <c r="D54" s="652"/>
      <c r="E54" s="327"/>
      <c r="F54" s="990"/>
    </row>
    <row r="55" spans="1:6" s="62" customFormat="1" ht="11.25" customHeight="1">
      <c r="A55" s="271"/>
      <c r="B55" s="263" t="s">
        <v>312</v>
      </c>
      <c r="C55" s="1378" t="s">
        <v>567</v>
      </c>
      <c r="D55" s="331">
        <v>6771</v>
      </c>
      <c r="E55" s="338">
        <v>6771</v>
      </c>
      <c r="F55" s="641">
        <v>0</v>
      </c>
    </row>
    <row r="56" spans="1:6" s="62" customFormat="1" ht="11.25" customHeight="1">
      <c r="A56" s="271"/>
      <c r="B56" s="263" t="s">
        <v>314</v>
      </c>
      <c r="C56" s="1519" t="s">
        <v>841</v>
      </c>
      <c r="D56" s="334">
        <v>127873</v>
      </c>
      <c r="E56" s="340">
        <v>127873</v>
      </c>
      <c r="F56" s="641">
        <f>112+3361</f>
        <v>3473</v>
      </c>
    </row>
    <row r="57" spans="1:6" s="62" customFormat="1" ht="11.25" customHeight="1">
      <c r="A57" s="271"/>
      <c r="B57" s="263" t="s">
        <v>316</v>
      </c>
      <c r="C57" s="1519" t="s">
        <v>912</v>
      </c>
      <c r="D57" s="330">
        <v>209867</v>
      </c>
      <c r="E57" s="338">
        <v>0</v>
      </c>
      <c r="F57" s="641">
        <v>192</v>
      </c>
    </row>
    <row r="58" spans="1:6" s="62" customFormat="1" ht="27.75" customHeight="1">
      <c r="A58" s="271"/>
      <c r="B58" s="263" t="s">
        <v>318</v>
      </c>
      <c r="C58" s="1538" t="s">
        <v>842</v>
      </c>
      <c r="D58" s="330">
        <v>9962</v>
      </c>
      <c r="E58" s="338">
        <v>9962</v>
      </c>
      <c r="F58" s="641">
        <v>0</v>
      </c>
    </row>
    <row r="59" spans="1:6" s="62" customFormat="1" ht="11.25" customHeight="1">
      <c r="A59" s="271"/>
      <c r="B59" s="263" t="s">
        <v>320</v>
      </c>
      <c r="C59" s="1520" t="s">
        <v>843</v>
      </c>
      <c r="D59" s="330">
        <v>44391</v>
      </c>
      <c r="E59" s="338">
        <v>11603</v>
      </c>
      <c r="F59" s="641">
        <v>9875</v>
      </c>
    </row>
    <row r="60" spans="1:6" s="62" customFormat="1" ht="11.25" customHeight="1">
      <c r="A60" s="271"/>
      <c r="B60" s="263" t="s">
        <v>322</v>
      </c>
      <c r="C60" s="1520" t="s">
        <v>844</v>
      </c>
      <c r="D60" s="330"/>
      <c r="E60" s="338">
        <v>0</v>
      </c>
      <c r="F60" s="641">
        <v>194</v>
      </c>
    </row>
    <row r="61" spans="1:6" s="62" customFormat="1" ht="11.25" customHeight="1">
      <c r="A61" s="271"/>
      <c r="B61" s="263" t="s">
        <v>346</v>
      </c>
      <c r="C61" s="1520" t="s">
        <v>845</v>
      </c>
      <c r="D61" s="330"/>
      <c r="E61" s="338">
        <v>1340</v>
      </c>
      <c r="F61" s="641">
        <v>0</v>
      </c>
    </row>
    <row r="62" spans="1:6" s="62" customFormat="1" ht="11.25" customHeight="1">
      <c r="A62" s="271"/>
      <c r="B62" s="263" t="s">
        <v>347</v>
      </c>
      <c r="C62" s="1520" t="s">
        <v>846</v>
      </c>
      <c r="D62" s="1380" t="s">
        <v>465</v>
      </c>
      <c r="E62" s="340">
        <v>2500</v>
      </c>
      <c r="F62" s="990">
        <v>0</v>
      </c>
    </row>
    <row r="63" spans="1:6" s="62" customFormat="1" ht="11.25" customHeight="1">
      <c r="A63" s="271"/>
      <c r="B63" s="263" t="s">
        <v>349</v>
      </c>
      <c r="C63" s="1519" t="s">
        <v>847</v>
      </c>
      <c r="D63" s="330"/>
      <c r="E63" s="338">
        <v>250</v>
      </c>
      <c r="F63" s="641">
        <f>78+200+50</f>
        <v>328</v>
      </c>
    </row>
    <row r="64" spans="1:6" s="62" customFormat="1" ht="11.25" customHeight="1">
      <c r="A64" s="271"/>
      <c r="B64" s="263" t="s">
        <v>350</v>
      </c>
      <c r="C64" s="1521" t="s">
        <v>743</v>
      </c>
      <c r="D64" s="330"/>
      <c r="E64" s="338">
        <v>42782</v>
      </c>
      <c r="F64" s="641">
        <f>42764+21</f>
        <v>42785</v>
      </c>
    </row>
    <row r="65" spans="1:6" s="62" customFormat="1" ht="42" customHeight="1">
      <c r="A65" s="271"/>
      <c r="B65" s="263" t="s">
        <v>351</v>
      </c>
      <c r="C65" s="1529" t="s">
        <v>582</v>
      </c>
      <c r="D65" s="649"/>
      <c r="E65" s="338">
        <v>150</v>
      </c>
      <c r="F65" s="641">
        <v>150</v>
      </c>
    </row>
    <row r="66" spans="1:6" s="62" customFormat="1" ht="15" customHeight="1">
      <c r="A66" s="271"/>
      <c r="B66" s="263" t="s">
        <v>415</v>
      </c>
      <c r="C66" s="1520" t="s">
        <v>860</v>
      </c>
      <c r="D66" s="653"/>
      <c r="E66" s="340">
        <v>0</v>
      </c>
      <c r="F66" s="990">
        <f>152+38</f>
        <v>190</v>
      </c>
    </row>
    <row r="67" spans="1:6" s="62" customFormat="1" ht="23.25" customHeight="1">
      <c r="A67" s="271"/>
      <c r="B67" s="263" t="s">
        <v>418</v>
      </c>
      <c r="C67" s="1378" t="s">
        <v>336</v>
      </c>
      <c r="D67" s="649"/>
      <c r="E67" s="338"/>
      <c r="F67" s="641">
        <f>1860+465</f>
        <v>2325</v>
      </c>
    </row>
    <row r="68" spans="1:6" s="62" customFormat="1" ht="15" customHeight="1">
      <c r="A68" s="271"/>
      <c r="B68" s="263" t="s">
        <v>425</v>
      </c>
      <c r="C68" s="1523" t="s">
        <v>744</v>
      </c>
      <c r="D68" s="649"/>
      <c r="E68" s="338"/>
      <c r="F68" s="641">
        <f>9954+2471</f>
        <v>12425</v>
      </c>
    </row>
    <row r="69" spans="1:6" s="62" customFormat="1" ht="11.25" customHeight="1">
      <c r="A69" s="271"/>
      <c r="B69" s="263"/>
      <c r="C69" s="1522"/>
      <c r="D69" s="653"/>
      <c r="E69" s="340"/>
      <c r="F69" s="990"/>
    </row>
    <row r="70" spans="1:6" s="62" customFormat="1" ht="11.25" customHeight="1">
      <c r="A70" s="271"/>
      <c r="B70" s="265" t="s">
        <v>461</v>
      </c>
      <c r="C70" s="1530" t="s">
        <v>462</v>
      </c>
      <c r="D70" s="1381">
        <f>D72+D71</f>
        <v>201</v>
      </c>
      <c r="E70" s="618">
        <f>E72+E71</f>
        <v>601</v>
      </c>
      <c r="F70" s="1397">
        <f>F72+F71</f>
        <v>200</v>
      </c>
    </row>
    <row r="71" spans="1:6" s="62" customFormat="1" ht="11.25" customHeight="1">
      <c r="A71" s="271"/>
      <c r="B71" s="263">
        <v>1</v>
      </c>
      <c r="C71" s="1519" t="s">
        <v>839</v>
      </c>
      <c r="D71" s="649" t="s">
        <v>870</v>
      </c>
      <c r="E71" s="338">
        <v>201</v>
      </c>
      <c r="F71" s="641">
        <v>200</v>
      </c>
    </row>
    <row r="72" spans="1:6" s="62" customFormat="1" ht="11.25" customHeight="1" thickBot="1">
      <c r="A72" s="271"/>
      <c r="B72" s="263">
        <v>2</v>
      </c>
      <c r="C72" s="1531" t="s">
        <v>840</v>
      </c>
      <c r="D72" s="654"/>
      <c r="E72" s="617">
        <v>400</v>
      </c>
      <c r="F72" s="990">
        <v>0</v>
      </c>
    </row>
    <row r="73" spans="1:6" s="62" customFormat="1" ht="14.25" customHeight="1" thickBot="1" thickTop="1">
      <c r="A73" s="2039" t="s">
        <v>463</v>
      </c>
      <c r="B73" s="2040"/>
      <c r="C73" s="2041"/>
      <c r="D73" s="328">
        <f>D46+D8+D51</f>
        <v>1272101</v>
      </c>
      <c r="E73" s="329">
        <f>E46+E8+E51</f>
        <v>1549528</v>
      </c>
      <c r="F73" s="992">
        <f>F46+F8+F51</f>
        <v>233693</v>
      </c>
    </row>
    <row r="74" spans="1:6" s="62" customFormat="1" ht="8.25" customHeight="1" thickTop="1">
      <c r="A74" s="270"/>
      <c r="B74" s="282"/>
      <c r="C74" s="1532"/>
      <c r="D74" s="655"/>
      <c r="E74" s="340"/>
      <c r="F74" s="1396"/>
    </row>
    <row r="75" spans="1:6" s="62" customFormat="1" ht="12" customHeight="1">
      <c r="A75" s="268" t="s">
        <v>378</v>
      </c>
      <c r="B75" s="269"/>
      <c r="C75" s="1517" t="s">
        <v>1300</v>
      </c>
      <c r="D75" s="656"/>
      <c r="E75" s="340"/>
      <c r="F75" s="1396"/>
    </row>
    <row r="76" spans="1:6" s="62" customFormat="1" ht="6.75" customHeight="1">
      <c r="A76" s="268"/>
      <c r="B76" s="269"/>
      <c r="C76" s="1517"/>
      <c r="D76" s="656"/>
      <c r="E76" s="340"/>
      <c r="F76" s="1396"/>
    </row>
    <row r="77" spans="1:6" s="62" customFormat="1" ht="12" customHeight="1">
      <c r="A77" s="268"/>
      <c r="B77" s="272" t="s">
        <v>459</v>
      </c>
      <c r="C77" s="1517" t="s">
        <v>460</v>
      </c>
      <c r="D77" s="326">
        <f>SUM(D78:D82)</f>
        <v>10622</v>
      </c>
      <c r="E77" s="327">
        <f>SUM(E78:E84)</f>
        <v>38266</v>
      </c>
      <c r="F77" s="1398">
        <f>F78+F79+F80+F81+F82+F83+F84</f>
        <v>8952</v>
      </c>
    </row>
    <row r="78" spans="1:6" s="62" customFormat="1" ht="12.75" customHeight="1">
      <c r="A78" s="273"/>
      <c r="B78" s="263" t="s">
        <v>312</v>
      </c>
      <c r="C78" s="1527" t="s">
        <v>527</v>
      </c>
      <c r="D78" s="330">
        <v>4073</v>
      </c>
      <c r="E78" s="338">
        <v>4073</v>
      </c>
      <c r="F78" s="641">
        <v>0</v>
      </c>
    </row>
    <row r="79" spans="1:6" s="62" customFormat="1" ht="12.75" customHeight="1">
      <c r="A79" s="270"/>
      <c r="B79" s="263" t="s">
        <v>314</v>
      </c>
      <c r="C79" s="1527" t="s">
        <v>812</v>
      </c>
      <c r="D79" s="330">
        <v>4000</v>
      </c>
      <c r="E79" s="338">
        <v>4000</v>
      </c>
      <c r="F79" s="641">
        <v>0</v>
      </c>
    </row>
    <row r="80" spans="1:6" s="62" customFormat="1" ht="12.75" customHeight="1">
      <c r="A80" s="270"/>
      <c r="B80" s="263" t="s">
        <v>316</v>
      </c>
      <c r="C80" s="1529" t="s">
        <v>833</v>
      </c>
      <c r="D80" s="330">
        <v>2549</v>
      </c>
      <c r="E80" s="338">
        <v>2549</v>
      </c>
      <c r="F80" s="641">
        <v>2548</v>
      </c>
    </row>
    <row r="81" spans="1:6" s="62" customFormat="1" ht="12.75" customHeight="1">
      <c r="A81" s="270"/>
      <c r="B81" s="263" t="s">
        <v>318</v>
      </c>
      <c r="C81" s="1527" t="s">
        <v>834</v>
      </c>
      <c r="D81" s="330">
        <v>0</v>
      </c>
      <c r="E81" s="338">
        <v>300</v>
      </c>
      <c r="F81" s="641">
        <v>0</v>
      </c>
    </row>
    <row r="82" spans="1:6" s="62" customFormat="1" ht="28.5" customHeight="1">
      <c r="A82" s="270"/>
      <c r="B82" s="263" t="s">
        <v>320</v>
      </c>
      <c r="C82" s="1378" t="s">
        <v>835</v>
      </c>
      <c r="D82" s="330">
        <v>0</v>
      </c>
      <c r="E82" s="338">
        <v>2472</v>
      </c>
      <c r="F82" s="641">
        <v>2471</v>
      </c>
    </row>
    <row r="83" spans="1:6" s="62" customFormat="1" ht="26.25" customHeight="1">
      <c r="A83" s="270"/>
      <c r="B83" s="263" t="s">
        <v>322</v>
      </c>
      <c r="C83" s="1378" t="s">
        <v>836</v>
      </c>
      <c r="D83" s="653" t="s">
        <v>745</v>
      </c>
      <c r="E83" s="340">
        <v>3933</v>
      </c>
      <c r="F83" s="990">
        <v>3933</v>
      </c>
    </row>
    <row r="84" spans="1:6" s="62" customFormat="1" ht="27.75" customHeight="1" thickBot="1">
      <c r="A84" s="270"/>
      <c r="B84" s="263" t="s">
        <v>346</v>
      </c>
      <c r="C84" s="1533" t="s">
        <v>838</v>
      </c>
      <c r="D84" s="684" t="s">
        <v>745</v>
      </c>
      <c r="E84" s="341">
        <v>20939</v>
      </c>
      <c r="F84" s="1399"/>
    </row>
    <row r="85" spans="1:6" ht="12" customHeight="1" thickBot="1" thickTop="1">
      <c r="A85" s="2042" t="s">
        <v>463</v>
      </c>
      <c r="B85" s="2043"/>
      <c r="C85" s="2044"/>
      <c r="D85" s="328">
        <f>D77</f>
        <v>10622</v>
      </c>
      <c r="E85" s="329">
        <f>E77</f>
        <v>38266</v>
      </c>
      <c r="F85" s="992">
        <f>F77</f>
        <v>8952</v>
      </c>
    </row>
    <row r="86" spans="1:6" ht="12" customHeight="1" thickTop="1">
      <c r="A86" s="274"/>
      <c r="B86" s="275"/>
      <c r="C86" s="1534" t="s">
        <v>464</v>
      </c>
      <c r="D86" s="2045">
        <f>D73+D85</f>
        <v>1282723</v>
      </c>
      <c r="E86" s="1861">
        <f>E73+E85</f>
        <v>1587794</v>
      </c>
      <c r="F86" s="1863">
        <f>F73+F85</f>
        <v>242645</v>
      </c>
    </row>
    <row r="87" spans="1:6" ht="12" customHeight="1" thickBot="1">
      <c r="A87" s="276"/>
      <c r="B87" s="277"/>
      <c r="C87" s="1535" t="s">
        <v>1301</v>
      </c>
      <c r="D87" s="2046"/>
      <c r="E87" s="2035"/>
      <c r="F87" s="2034"/>
    </row>
    <row r="88" spans="1:6" ht="12" customHeight="1">
      <c r="A88" s="619" t="s">
        <v>409</v>
      </c>
      <c r="B88" s="620"/>
      <c r="C88" s="1536" t="s">
        <v>913</v>
      </c>
      <c r="D88" s="657"/>
      <c r="E88" s="623"/>
      <c r="F88" s="1400"/>
    </row>
    <row r="89" spans="1:6" ht="12" customHeight="1" thickBot="1">
      <c r="A89" s="621"/>
      <c r="B89" s="622" t="s">
        <v>312</v>
      </c>
      <c r="C89" s="1537" t="s">
        <v>4</v>
      </c>
      <c r="D89" s="658" t="s">
        <v>837</v>
      </c>
      <c r="E89" s="341">
        <v>978</v>
      </c>
      <c r="F89" s="1401">
        <v>978</v>
      </c>
    </row>
    <row r="90" spans="1:6" ht="12" customHeight="1" thickBot="1" thickTop="1">
      <c r="A90" s="2031" t="s">
        <v>311</v>
      </c>
      <c r="B90" s="2032"/>
      <c r="C90" s="2033"/>
      <c r="D90" s="1382">
        <f>D86+D89</f>
        <v>1283701</v>
      </c>
      <c r="E90" s="1382">
        <f>E86+E89</f>
        <v>1588772</v>
      </c>
      <c r="F90" s="1383">
        <f>F89+F86</f>
        <v>243623</v>
      </c>
    </row>
    <row r="91" ht="12" customHeight="1">
      <c r="F91" s="1392" t="e">
        <f>5!#REF!</f>
        <v>#REF!</v>
      </c>
    </row>
    <row r="92" ht="12" customHeight="1">
      <c r="F92" s="1392" t="e">
        <f>F91-F86</f>
        <v>#REF!</v>
      </c>
    </row>
  </sheetData>
  <sheetProtection/>
  <mergeCells count="7">
    <mergeCell ref="A90:C90"/>
    <mergeCell ref="F86:F87"/>
    <mergeCell ref="E86:E87"/>
    <mergeCell ref="A6:C6"/>
    <mergeCell ref="A73:C73"/>
    <mergeCell ref="A85:C85"/>
    <mergeCell ref="D86:D87"/>
  </mergeCells>
  <printOptions horizontalCentered="1"/>
  <pageMargins left="0.7874015748031497" right="0.7874015748031497" top="0.5905511811023623" bottom="0.3937007874015748" header="0.5118110236220472" footer="0"/>
  <pageSetup horizontalDpi="600" verticalDpi="600" orientation="portrait" paperSize="9" scale="91" r:id="rId2"/>
  <rowBreaks count="1" manualBreakCount="1">
    <brk id="57" max="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85" zoomScalePageLayoutView="0" workbookViewId="0" topLeftCell="A1">
      <selection activeCell="H20" sqref="H20"/>
    </sheetView>
  </sheetViews>
  <sheetFormatPr defaultColWidth="9.00390625" defaultRowHeight="12.75"/>
  <cols>
    <col min="1" max="1" width="5.75390625" style="67" bestFit="1" customWidth="1"/>
    <col min="2" max="2" width="51.75390625" style="67" customWidth="1"/>
    <col min="3" max="3" width="17.25390625" style="67" customWidth="1"/>
    <col min="4" max="4" width="16.00390625" style="67" bestFit="1" customWidth="1"/>
    <col min="5" max="5" width="38.25390625" style="88" bestFit="1" customWidth="1"/>
    <col min="6" max="16384" width="9.125" style="67" customWidth="1"/>
  </cols>
  <sheetData>
    <row r="1" spans="1:5" ht="11.25">
      <c r="A1" s="63"/>
      <c r="B1" s="64"/>
      <c r="C1" s="64"/>
      <c r="D1" s="65"/>
      <c r="E1" s="66"/>
    </row>
    <row r="2" spans="1:5" ht="11.25">
      <c r="A2" s="63"/>
      <c r="B2" s="64"/>
      <c r="C2" s="64"/>
      <c r="D2" s="65"/>
      <c r="E2" s="68"/>
    </row>
    <row r="3" spans="1:5" ht="11.25">
      <c r="A3" s="63"/>
      <c r="B3" s="63" t="s">
        <v>465</v>
      </c>
      <c r="C3" s="63"/>
      <c r="D3" s="63"/>
      <c r="E3" s="63"/>
    </row>
    <row r="4" spans="1:5" ht="11.25">
      <c r="A4" s="63"/>
      <c r="B4" s="63"/>
      <c r="C4" s="63"/>
      <c r="D4" s="63"/>
      <c r="E4" s="63"/>
    </row>
    <row r="5" spans="1:5" ht="11.25">
      <c r="A5" s="63"/>
      <c r="B5" s="64"/>
      <c r="C5" s="64"/>
      <c r="D5" s="65"/>
      <c r="E5" s="68"/>
    </row>
    <row r="6" spans="1:5" ht="11.25">
      <c r="A6" s="63"/>
      <c r="B6" s="64"/>
      <c r="C6" s="64"/>
      <c r="D6" s="65"/>
      <c r="E6" s="68"/>
    </row>
    <row r="7" spans="1:5" ht="11.25">
      <c r="A7" s="63"/>
      <c r="B7" s="64"/>
      <c r="C7" s="64"/>
      <c r="D7" s="65"/>
      <c r="E7" s="68"/>
    </row>
    <row r="8" spans="1:5" ht="11.25">
      <c r="A8" s="63"/>
      <c r="B8" s="64"/>
      <c r="C8" s="64"/>
      <c r="D8" s="65"/>
      <c r="E8" s="68"/>
    </row>
    <row r="9" spans="1:5" ht="11.25">
      <c r="A9" s="63"/>
      <c r="B9" s="64"/>
      <c r="C9" s="64"/>
      <c r="D9" s="65"/>
      <c r="E9" s="69"/>
    </row>
    <row r="10" spans="1:5" ht="12" thickBot="1">
      <c r="A10" s="63"/>
      <c r="B10" s="64"/>
      <c r="C10" s="64"/>
      <c r="D10" s="65"/>
      <c r="E10" s="69" t="s">
        <v>466</v>
      </c>
    </row>
    <row r="11" spans="1:5" ht="34.5" thickBot="1">
      <c r="A11" s="70" t="s">
        <v>467</v>
      </c>
      <c r="B11" s="71" t="s">
        <v>468</v>
      </c>
      <c r="C11" s="71" t="s">
        <v>778</v>
      </c>
      <c r="D11" s="72" t="s">
        <v>779</v>
      </c>
      <c r="E11" s="73" t="s">
        <v>469</v>
      </c>
    </row>
    <row r="12" spans="1:5" ht="22.5">
      <c r="A12" s="74" t="s">
        <v>312</v>
      </c>
      <c r="B12" s="75" t="s">
        <v>794</v>
      </c>
      <c r="C12" s="551">
        <v>800</v>
      </c>
      <c r="D12" s="76">
        <v>800</v>
      </c>
      <c r="E12" s="77" t="s">
        <v>470</v>
      </c>
    </row>
    <row r="13" spans="1:5" ht="51" customHeight="1">
      <c r="A13" s="78" t="s">
        <v>314</v>
      </c>
      <c r="B13" s="79" t="s">
        <v>48</v>
      </c>
      <c r="C13" s="551">
        <v>2000</v>
      </c>
      <c r="D13" s="76">
        <v>2000</v>
      </c>
      <c r="E13" s="80" t="s">
        <v>470</v>
      </c>
    </row>
    <row r="14" spans="1:5" ht="28.5" customHeight="1">
      <c r="A14" s="78" t="s">
        <v>316</v>
      </c>
      <c r="B14" s="79" t="s">
        <v>471</v>
      </c>
      <c r="C14" s="551">
        <v>3000</v>
      </c>
      <c r="D14" s="76">
        <v>300</v>
      </c>
      <c r="E14" s="80" t="s">
        <v>470</v>
      </c>
    </row>
    <row r="15" spans="1:5" ht="28.5" customHeight="1">
      <c r="A15" s="78" t="s">
        <v>318</v>
      </c>
      <c r="B15" s="79" t="s">
        <v>472</v>
      </c>
      <c r="C15" s="551">
        <v>250</v>
      </c>
      <c r="D15" s="76">
        <v>180</v>
      </c>
      <c r="E15" s="80" t="s">
        <v>473</v>
      </c>
    </row>
    <row r="16" spans="1:5" ht="36" customHeight="1">
      <c r="A16" s="78" t="s">
        <v>320</v>
      </c>
      <c r="B16" s="79" t="s">
        <v>474</v>
      </c>
      <c r="C16" s="551">
        <v>900</v>
      </c>
      <c r="D16" s="76">
        <v>30</v>
      </c>
      <c r="E16" s="80" t="s">
        <v>475</v>
      </c>
    </row>
    <row r="17" spans="1:5" ht="28.5" customHeight="1">
      <c r="A17" s="81" t="s">
        <v>322</v>
      </c>
      <c r="B17" s="82" t="s">
        <v>476</v>
      </c>
      <c r="C17" s="552">
        <v>250</v>
      </c>
      <c r="D17" s="76">
        <v>110</v>
      </c>
      <c r="E17" s="83" t="s">
        <v>513</v>
      </c>
    </row>
    <row r="18" spans="1:5" ht="43.5" customHeight="1" thickBot="1">
      <c r="A18" s="81" t="s">
        <v>346</v>
      </c>
      <c r="B18" s="82" t="s">
        <v>293</v>
      </c>
      <c r="C18" s="553">
        <v>8247</v>
      </c>
      <c r="D18" s="76">
        <v>8247</v>
      </c>
      <c r="E18" s="83" t="s">
        <v>290</v>
      </c>
    </row>
    <row r="19" spans="1:5" ht="12" thickBot="1">
      <c r="A19" s="84"/>
      <c r="B19" s="85" t="s">
        <v>477</v>
      </c>
      <c r="C19" s="554">
        <f>SUM(C12:C18)</f>
        <v>15447</v>
      </c>
      <c r="D19" s="86">
        <f>SUM(D12:D18)</f>
        <v>11667</v>
      </c>
      <c r="E19" s="8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J40"/>
  <sheetViews>
    <sheetView zoomScaleSheetLayoutView="100" zoomScalePageLayoutView="0" workbookViewId="0" topLeftCell="A1">
      <selection activeCell="H20" sqref="H20"/>
    </sheetView>
  </sheetViews>
  <sheetFormatPr defaultColWidth="9.00390625" defaultRowHeight="12" customHeight="1"/>
  <cols>
    <col min="1" max="1" width="1.37890625" style="685" customWidth="1"/>
    <col min="2" max="2" width="3.375" style="685" customWidth="1"/>
    <col min="3" max="3" width="73.375" style="685" customWidth="1"/>
    <col min="4" max="4" width="10.75390625" style="685" customWidth="1"/>
    <col min="5" max="5" width="8.375" style="685" customWidth="1"/>
    <col min="6" max="6" width="9.00390625" style="685" customWidth="1"/>
    <col min="7" max="7" width="8.25390625" style="685" customWidth="1"/>
    <col min="8" max="8" width="9.125" style="685" customWidth="1"/>
    <col min="9" max="9" width="9.75390625" style="685" customWidth="1"/>
    <col min="10" max="16384" width="9.125" style="685" customWidth="1"/>
  </cols>
  <sheetData>
    <row r="3" ht="12" customHeight="1">
      <c r="I3" s="686" t="s">
        <v>458</v>
      </c>
    </row>
    <row r="4" ht="7.5" customHeight="1" thickBot="1"/>
    <row r="5" spans="2:9" ht="12" customHeight="1">
      <c r="B5" s="2065"/>
      <c r="C5" s="2058" t="s">
        <v>928</v>
      </c>
      <c r="D5" s="2051" t="s">
        <v>1174</v>
      </c>
      <c r="E5" s="2061" t="s">
        <v>1176</v>
      </c>
      <c r="F5" s="2062"/>
      <c r="G5" s="2062"/>
      <c r="H5" s="2062"/>
      <c r="I5" s="2047" t="s">
        <v>311</v>
      </c>
    </row>
    <row r="6" spans="2:9" ht="37.5" customHeight="1">
      <c r="B6" s="2066"/>
      <c r="C6" s="2059"/>
      <c r="D6" s="2052"/>
      <c r="E6" s="687" t="s">
        <v>1177</v>
      </c>
      <c r="F6" s="687" t="s">
        <v>1178</v>
      </c>
      <c r="G6" s="687" t="s">
        <v>1179</v>
      </c>
      <c r="H6" s="1483" t="s">
        <v>1180</v>
      </c>
      <c r="I6" s="2048"/>
    </row>
    <row r="7" spans="2:9" ht="12">
      <c r="B7" s="688">
        <v>1</v>
      </c>
      <c r="C7" s="689" t="s">
        <v>929</v>
      </c>
      <c r="D7" s="690">
        <v>6600</v>
      </c>
      <c r="E7" s="690">
        <v>6600</v>
      </c>
      <c r="F7" s="690">
        <v>6600</v>
      </c>
      <c r="G7" s="690">
        <v>3300</v>
      </c>
      <c r="H7" s="690">
        <v>0</v>
      </c>
      <c r="I7" s="691">
        <f aca="true" t="shared" si="0" ref="I7:I20">SUM(D7:H7)</f>
        <v>23100</v>
      </c>
    </row>
    <row r="8" spans="2:10" ht="12">
      <c r="B8" s="688">
        <v>2</v>
      </c>
      <c r="C8" s="692" t="s">
        <v>341</v>
      </c>
      <c r="D8" s="693">
        <v>978</v>
      </c>
      <c r="E8" s="693">
        <v>978</v>
      </c>
      <c r="F8" s="690">
        <v>978</v>
      </c>
      <c r="G8" s="690">
        <v>978</v>
      </c>
      <c r="H8" s="690">
        <f>978+10267</f>
        <v>11245</v>
      </c>
      <c r="I8" s="691">
        <f t="shared" si="0"/>
        <v>15157</v>
      </c>
      <c r="J8" s="704"/>
    </row>
    <row r="9" spans="2:9" ht="12">
      <c r="B9" s="688">
        <v>3</v>
      </c>
      <c r="C9" s="694" t="s">
        <v>342</v>
      </c>
      <c r="D9" s="693">
        <v>86358</v>
      </c>
      <c r="E9" s="693">
        <v>0</v>
      </c>
      <c r="F9" s="690">
        <v>0</v>
      </c>
      <c r="G9" s="690">
        <v>0</v>
      </c>
      <c r="H9" s="690">
        <v>0</v>
      </c>
      <c r="I9" s="691">
        <f t="shared" si="0"/>
        <v>86358</v>
      </c>
    </row>
    <row r="10" spans="2:10" ht="12">
      <c r="B10" s="688">
        <v>4</v>
      </c>
      <c r="C10" s="694" t="s">
        <v>343</v>
      </c>
      <c r="D10" s="693">
        <f>5!$F$375</f>
        <v>64597</v>
      </c>
      <c r="E10" s="690">
        <v>68057</v>
      </c>
      <c r="F10" s="693">
        <v>70279</v>
      </c>
      <c r="G10" s="690">
        <v>72644</v>
      </c>
      <c r="H10" s="690">
        <f>75097+734685</f>
        <v>809782</v>
      </c>
      <c r="I10" s="691">
        <f t="shared" si="0"/>
        <v>1085359</v>
      </c>
      <c r="J10" s="704"/>
    </row>
    <row r="11" spans="2:10" ht="12">
      <c r="B11" s="688">
        <v>5</v>
      </c>
      <c r="C11" s="694" t="s">
        <v>344</v>
      </c>
      <c r="D11" s="693">
        <f>5!$F$371</f>
        <v>27134</v>
      </c>
      <c r="E11" s="1138">
        <v>28557</v>
      </c>
      <c r="F11" s="693">
        <v>29240</v>
      </c>
      <c r="G11" s="690">
        <v>30124</v>
      </c>
      <c r="H11" s="690">
        <f>31038+286217</f>
        <v>317255</v>
      </c>
      <c r="I11" s="695">
        <f t="shared" si="0"/>
        <v>432310</v>
      </c>
      <c r="J11" s="704"/>
    </row>
    <row r="12" spans="2:9" ht="12">
      <c r="B12" s="688">
        <v>7</v>
      </c>
      <c r="C12" s="696" t="s">
        <v>930</v>
      </c>
      <c r="D12" s="693">
        <v>0</v>
      </c>
      <c r="E12" s="693">
        <v>0</v>
      </c>
      <c r="F12" s="693">
        <v>28500</v>
      </c>
      <c r="G12" s="693">
        <v>57000</v>
      </c>
      <c r="H12" s="693">
        <f>741000+57000</f>
        <v>798000</v>
      </c>
      <c r="I12" s="697">
        <f t="shared" si="0"/>
        <v>883500</v>
      </c>
    </row>
    <row r="13" spans="2:9" ht="12.75" customHeight="1">
      <c r="B13" s="703">
        <v>8</v>
      </c>
      <c r="C13" s="1139" t="s">
        <v>1181</v>
      </c>
      <c r="D13" s="693">
        <f>6!F68+6!F19</f>
        <v>74863</v>
      </c>
      <c r="E13" s="1130">
        <v>468457</v>
      </c>
      <c r="F13" s="1555">
        <v>0</v>
      </c>
      <c r="G13" s="1484"/>
      <c r="H13" s="1484"/>
      <c r="I13" s="697">
        <f t="shared" si="0"/>
        <v>543320</v>
      </c>
    </row>
    <row r="14" spans="2:9" ht="12">
      <c r="B14" s="703">
        <v>9</v>
      </c>
      <c r="C14" s="1120" t="s">
        <v>1184</v>
      </c>
      <c r="D14" s="693">
        <f>6!F56</f>
        <v>3473</v>
      </c>
      <c r="E14" s="1130">
        <v>247973</v>
      </c>
      <c r="F14" s="1555">
        <v>0</v>
      </c>
      <c r="G14" s="1484"/>
      <c r="H14" s="1484"/>
      <c r="I14" s="697">
        <f>SUM(D14:H14)</f>
        <v>251446</v>
      </c>
    </row>
    <row r="15" spans="2:9" ht="13.5" customHeight="1">
      <c r="B15" s="703">
        <v>10</v>
      </c>
      <c r="C15" s="1120" t="s">
        <v>1182</v>
      </c>
      <c r="D15" s="693">
        <f>'9 eu'!I14</f>
        <v>21805</v>
      </c>
      <c r="E15" s="1130">
        <v>33075</v>
      </c>
      <c r="F15" s="1555">
        <v>435182</v>
      </c>
      <c r="G15" s="1484"/>
      <c r="H15" s="1484"/>
      <c r="I15" s="697">
        <f>SUM(D15:H15)</f>
        <v>490062</v>
      </c>
    </row>
    <row r="16" spans="2:9" ht="12">
      <c r="B16" s="703">
        <v>11</v>
      </c>
      <c r="C16" s="1120" t="s">
        <v>1186</v>
      </c>
      <c r="D16" s="693">
        <f>'9 eu'!I47</f>
        <v>1650</v>
      </c>
      <c r="E16" s="1130">
        <f>'9 eu'!I48</f>
        <v>257138</v>
      </c>
      <c r="F16" s="1555">
        <v>0</v>
      </c>
      <c r="G16" s="1484"/>
      <c r="H16" s="1484"/>
      <c r="I16" s="697">
        <f t="shared" si="0"/>
        <v>258788</v>
      </c>
    </row>
    <row r="17" spans="2:9" ht="12">
      <c r="B17" s="703">
        <v>12</v>
      </c>
      <c r="C17" s="1120" t="s">
        <v>1187</v>
      </c>
      <c r="D17" s="693">
        <f>'9 eu'!I22</f>
        <v>6</v>
      </c>
      <c r="E17" s="1130">
        <v>1219</v>
      </c>
      <c r="F17" s="1555">
        <v>0</v>
      </c>
      <c r="G17" s="1484"/>
      <c r="H17" s="1484"/>
      <c r="I17" s="697">
        <f t="shared" si="0"/>
        <v>1225</v>
      </c>
    </row>
    <row r="18" spans="2:9" ht="12">
      <c r="B18" s="703">
        <v>13</v>
      </c>
      <c r="C18" s="1120" t="s">
        <v>1188</v>
      </c>
      <c r="D18" s="693">
        <f>'9 eu'!I25</f>
        <v>963</v>
      </c>
      <c r="E18" s="1130">
        <v>14404</v>
      </c>
      <c r="F18" s="1555">
        <v>0</v>
      </c>
      <c r="G18" s="1484"/>
      <c r="H18" s="1484"/>
      <c r="I18" s="697">
        <f t="shared" si="0"/>
        <v>15367</v>
      </c>
    </row>
    <row r="19" spans="2:9" ht="14.25" customHeight="1">
      <c r="B19" s="703">
        <v>14</v>
      </c>
      <c r="C19" s="1120" t="s">
        <v>1183</v>
      </c>
      <c r="D19" s="693">
        <f>'9 eu'!I34</f>
        <v>6361</v>
      </c>
      <c r="E19" s="1130">
        <v>62446</v>
      </c>
      <c r="F19" s="1555">
        <v>0</v>
      </c>
      <c r="G19" s="1484"/>
      <c r="H19" s="1484"/>
      <c r="I19" s="697">
        <f t="shared" si="0"/>
        <v>68807</v>
      </c>
    </row>
    <row r="20" spans="2:9" ht="14.25" customHeight="1">
      <c r="B20" s="703">
        <v>15</v>
      </c>
      <c r="C20" s="1120" t="s">
        <v>1185</v>
      </c>
      <c r="D20" s="693">
        <f>6!F15</f>
        <v>0</v>
      </c>
      <c r="E20" s="1556">
        <v>68273</v>
      </c>
      <c r="F20" s="1555">
        <v>689401</v>
      </c>
      <c r="G20" s="1484"/>
      <c r="H20" s="1484"/>
      <c r="I20" s="697">
        <f t="shared" si="0"/>
        <v>757674</v>
      </c>
    </row>
    <row r="21" spans="2:9" s="700" customFormat="1" ht="13.5" customHeight="1" thickBot="1">
      <c r="B21" s="2063" t="s">
        <v>931</v>
      </c>
      <c r="C21" s="2064"/>
      <c r="D21" s="698">
        <f aca="true" t="shared" si="1" ref="D21:I21">SUM(D7:D20)</f>
        <v>294788</v>
      </c>
      <c r="E21" s="698">
        <f t="shared" si="1"/>
        <v>1257177</v>
      </c>
      <c r="F21" s="698">
        <f t="shared" si="1"/>
        <v>1260180</v>
      </c>
      <c r="G21" s="698">
        <f t="shared" si="1"/>
        <v>164046</v>
      </c>
      <c r="H21" s="698">
        <f t="shared" si="1"/>
        <v>1936282</v>
      </c>
      <c r="I21" s="699">
        <f t="shared" si="1"/>
        <v>4912473</v>
      </c>
    </row>
    <row r="22" spans="3:9" s="700" customFormat="1" ht="6" customHeight="1" thickBot="1">
      <c r="C22" s="701"/>
      <c r="D22" s="702"/>
      <c r="E22" s="702"/>
      <c r="F22" s="702"/>
      <c r="G22" s="702"/>
      <c r="H22" s="702"/>
      <c r="I22" s="702"/>
    </row>
    <row r="23" spans="2:9" ht="12" customHeight="1">
      <c r="B23" s="2067"/>
      <c r="C23" s="2056" t="s">
        <v>932</v>
      </c>
      <c r="D23" s="2053" t="s">
        <v>1175</v>
      </c>
      <c r="E23" s="2060" t="s">
        <v>881</v>
      </c>
      <c r="F23" s="2060"/>
      <c r="G23" s="2060"/>
      <c r="H23" s="2060"/>
      <c r="I23" s="2049" t="s">
        <v>311</v>
      </c>
    </row>
    <row r="24" spans="2:9" ht="34.5" customHeight="1">
      <c r="B24" s="2068"/>
      <c r="C24" s="2057"/>
      <c r="D24" s="2054"/>
      <c r="E24" s="687" t="s">
        <v>1177</v>
      </c>
      <c r="F24" s="687" t="s">
        <v>1178</v>
      </c>
      <c r="G24" s="687" t="s">
        <v>1179</v>
      </c>
      <c r="H24" s="1483" t="s">
        <v>1180</v>
      </c>
      <c r="I24" s="2050"/>
    </row>
    <row r="25" spans="2:9" ht="12">
      <c r="B25" s="1147">
        <v>1</v>
      </c>
      <c r="C25" s="1140" t="s">
        <v>338</v>
      </c>
      <c r="D25" s="690">
        <f>'10'!I14</f>
        <v>106</v>
      </c>
      <c r="E25" s="1557">
        <v>7</v>
      </c>
      <c r="F25" s="1558">
        <v>0</v>
      </c>
      <c r="G25" s="1558">
        <v>0</v>
      </c>
      <c r="H25" s="1558">
        <v>0</v>
      </c>
      <c r="I25" s="691">
        <f aca="true" t="shared" si="2" ref="I25:I30">SUM(D25:H25)</f>
        <v>113</v>
      </c>
    </row>
    <row r="26" spans="2:9" ht="14.25" customHeight="1">
      <c r="B26" s="1147">
        <v>2</v>
      </c>
      <c r="C26" s="1141" t="s">
        <v>339</v>
      </c>
      <c r="D26" s="690">
        <f>'10'!I11+'10'!I12+'10'!I15</f>
        <v>3230</v>
      </c>
      <c r="E26" s="1559">
        <v>1784</v>
      </c>
      <c r="F26" s="1555">
        <v>1538</v>
      </c>
      <c r="G26" s="1555">
        <v>1287</v>
      </c>
      <c r="H26" s="1558">
        <f>933+8960</f>
        <v>9893</v>
      </c>
      <c r="I26" s="691">
        <f t="shared" si="2"/>
        <v>17732</v>
      </c>
    </row>
    <row r="27" spans="2:9" ht="12">
      <c r="B27" s="1147">
        <v>3</v>
      </c>
      <c r="C27" s="1142" t="s">
        <v>933</v>
      </c>
      <c r="D27" s="693">
        <v>54450</v>
      </c>
      <c r="E27" s="1561">
        <v>27000</v>
      </c>
      <c r="F27" s="1555">
        <v>27000</v>
      </c>
      <c r="G27" s="1555">
        <v>27000</v>
      </c>
      <c r="H27" s="1555">
        <v>27000</v>
      </c>
      <c r="I27" s="691">
        <f>SUM(D27:H27)</f>
        <v>162450</v>
      </c>
    </row>
    <row r="28" spans="2:9" ht="14.25" customHeight="1">
      <c r="B28" s="1148">
        <v>4</v>
      </c>
      <c r="C28" s="1139" t="s">
        <v>1181</v>
      </c>
      <c r="D28" s="693">
        <f>'9 eu'!H19</f>
        <v>56510</v>
      </c>
      <c r="E28" s="1561">
        <v>336471</v>
      </c>
      <c r="F28" s="1555">
        <v>0</v>
      </c>
      <c r="G28" s="1560"/>
      <c r="H28" s="1560"/>
      <c r="I28" s="691">
        <f t="shared" si="2"/>
        <v>392981</v>
      </c>
    </row>
    <row r="29" spans="2:9" ht="14.25" customHeight="1">
      <c r="B29" s="1148">
        <v>5</v>
      </c>
      <c r="C29" s="1120" t="s">
        <v>1182</v>
      </c>
      <c r="D29" s="693">
        <f>'9 eu'!H14+'9 eu'!G14</f>
        <v>16025</v>
      </c>
      <c r="E29" s="1561">
        <v>0</v>
      </c>
      <c r="F29" s="1555">
        <f>366595+68587</f>
        <v>435182</v>
      </c>
      <c r="G29" s="1560"/>
      <c r="H29" s="1560"/>
      <c r="I29" s="691">
        <f t="shared" si="2"/>
        <v>451207</v>
      </c>
    </row>
    <row r="30" spans="2:9" ht="14.25" customHeight="1">
      <c r="B30" s="1148">
        <v>6</v>
      </c>
      <c r="C30" s="1120" t="s">
        <v>1185</v>
      </c>
      <c r="D30" s="693">
        <f>'9 eu'!I43</f>
        <v>6215</v>
      </c>
      <c r="E30" s="1561">
        <v>0</v>
      </c>
      <c r="F30" s="1555">
        <f>96185+545051</f>
        <v>641236</v>
      </c>
      <c r="G30" s="1560"/>
      <c r="H30" s="1560"/>
      <c r="I30" s="691">
        <f t="shared" si="2"/>
        <v>647451</v>
      </c>
    </row>
    <row r="31" spans="2:9" ht="12">
      <c r="B31" s="1148">
        <v>7</v>
      </c>
      <c r="C31" s="1120" t="s">
        <v>1186</v>
      </c>
      <c r="D31" s="693">
        <v>0</v>
      </c>
      <c r="E31" s="1561">
        <v>232909</v>
      </c>
      <c r="F31" s="1555">
        <v>0</v>
      </c>
      <c r="G31" s="1560"/>
      <c r="H31" s="1560"/>
      <c r="I31" s="691"/>
    </row>
    <row r="32" spans="2:9" ht="12">
      <c r="B32" s="1148">
        <v>8</v>
      </c>
      <c r="C32" s="1120" t="s">
        <v>1184</v>
      </c>
      <c r="D32" s="693">
        <v>0</v>
      </c>
      <c r="E32" s="1561">
        <f>211018+12700</f>
        <v>223718</v>
      </c>
      <c r="F32" s="1555">
        <v>0</v>
      </c>
      <c r="G32" s="1560"/>
      <c r="H32" s="1560"/>
      <c r="I32" s="691">
        <f>SUM(D32:H32)</f>
        <v>223718</v>
      </c>
    </row>
    <row r="33" spans="2:9" ht="11.25" customHeight="1">
      <c r="B33" s="1148">
        <v>9</v>
      </c>
      <c r="C33" s="1120" t="s">
        <v>1183</v>
      </c>
      <c r="D33" s="693">
        <v>0</v>
      </c>
      <c r="E33" s="1561">
        <v>49500</v>
      </c>
      <c r="F33" s="1555">
        <v>0</v>
      </c>
      <c r="G33" s="1560"/>
      <c r="H33" s="1562"/>
      <c r="I33" s="691">
        <f>SUM(D33:H33)</f>
        <v>49500</v>
      </c>
    </row>
    <row r="34" spans="2:9" s="700" customFormat="1" ht="18" customHeight="1" thickBot="1">
      <c r="B34" s="2063" t="s">
        <v>931</v>
      </c>
      <c r="C34" s="2064"/>
      <c r="D34" s="698">
        <f aca="true" t="shared" si="3" ref="D34:I34">SUM(D25:D33)</f>
        <v>136536</v>
      </c>
      <c r="E34" s="698">
        <f>SUM(E25:E33)</f>
        <v>871389</v>
      </c>
      <c r="F34" s="698">
        <f t="shared" si="3"/>
        <v>1104956</v>
      </c>
      <c r="G34" s="698">
        <f t="shared" si="3"/>
        <v>28287</v>
      </c>
      <c r="H34" s="698">
        <f t="shared" si="3"/>
        <v>36893</v>
      </c>
      <c r="I34" s="699">
        <f t="shared" si="3"/>
        <v>1945152</v>
      </c>
    </row>
    <row r="35" ht="12" customHeight="1">
      <c r="B35" s="705" t="s">
        <v>934</v>
      </c>
    </row>
    <row r="36" spans="2:8" ht="12" customHeight="1">
      <c r="B36" s="1143">
        <v>1</v>
      </c>
      <c r="C36" s="2055" t="s">
        <v>935</v>
      </c>
      <c r="D36" s="2055"/>
      <c r="E36" s="2055"/>
      <c r="F36" s="2055"/>
      <c r="G36" s="2055"/>
      <c r="H36" s="2055"/>
    </row>
    <row r="37" spans="2:8" ht="12" customHeight="1">
      <c r="B37" s="1144">
        <v>2</v>
      </c>
      <c r="C37" s="2055" t="s">
        <v>340</v>
      </c>
      <c r="D37" s="2055"/>
      <c r="E37" s="2055"/>
      <c r="F37" s="2055"/>
      <c r="G37" s="2055"/>
      <c r="H37" s="2055"/>
    </row>
    <row r="38" spans="2:8" ht="12" customHeight="1">
      <c r="B38" s="1144">
        <v>3</v>
      </c>
      <c r="C38" s="707" t="s">
        <v>323</v>
      </c>
      <c r="D38" s="706"/>
      <c r="E38" s="706"/>
      <c r="F38" s="706"/>
      <c r="G38" s="706"/>
      <c r="H38" s="706"/>
    </row>
    <row r="39" spans="2:8" ht="12" customHeight="1">
      <c r="B39" s="1145"/>
      <c r="C39" s="707"/>
      <c r="D39" s="707"/>
      <c r="E39" s="707"/>
      <c r="F39" s="707"/>
      <c r="G39" s="707"/>
      <c r="H39" s="707"/>
    </row>
    <row r="40" spans="2:8" ht="12" customHeight="1">
      <c r="B40" s="1146"/>
      <c r="C40" s="707"/>
      <c r="D40" s="707"/>
      <c r="E40" s="707"/>
      <c r="F40" s="707"/>
      <c r="G40" s="707"/>
      <c r="H40" s="707"/>
    </row>
  </sheetData>
  <sheetProtection/>
  <mergeCells count="14">
    <mergeCell ref="B21:C21"/>
    <mergeCell ref="B34:C34"/>
    <mergeCell ref="B5:B6"/>
    <mergeCell ref="B23:B24"/>
    <mergeCell ref="I5:I6"/>
    <mergeCell ref="I23:I24"/>
    <mergeCell ref="D5:D6"/>
    <mergeCell ref="D23:D24"/>
    <mergeCell ref="C37:H37"/>
    <mergeCell ref="C36:H36"/>
    <mergeCell ref="C23:C24"/>
    <mergeCell ref="C5:C6"/>
    <mergeCell ref="E23:H23"/>
    <mergeCell ref="E5:H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25390625" style="1121" customWidth="1"/>
    <col min="2" max="2" width="46.625" style="1122" customWidth="1"/>
    <col min="3" max="3" width="13.625" style="1121" customWidth="1"/>
    <col min="4" max="4" width="7.75390625" style="1124" customWidth="1"/>
    <col min="5" max="5" width="18.125" style="1124" customWidth="1"/>
    <col min="6" max="6" width="11.00390625" style="1124" customWidth="1"/>
    <col min="7" max="7" width="8.25390625" style="1124" customWidth="1"/>
    <col min="8" max="8" width="8.875" style="1124" customWidth="1"/>
    <col min="9" max="9" width="11.00390625" style="1124" customWidth="1"/>
    <col min="10" max="16384" width="9.125" style="1123" customWidth="1"/>
  </cols>
  <sheetData>
    <row r="1" spans="7:10" ht="15">
      <c r="G1" s="1750"/>
      <c r="H1" s="1750"/>
      <c r="I1" s="1750"/>
      <c r="J1" s="1119"/>
    </row>
    <row r="2" spans="9:12" ht="15">
      <c r="I2" s="1750"/>
      <c r="J2" s="1119"/>
      <c r="K2" s="1119"/>
      <c r="L2" s="1119"/>
    </row>
    <row r="3" ht="15">
      <c r="I3" s="1749" t="s">
        <v>382</v>
      </c>
    </row>
    <row r="4" ht="3.75" customHeight="1">
      <c r="I4" s="1124" t="s">
        <v>465</v>
      </c>
    </row>
    <row r="5" spans="1:9" ht="15" customHeight="1">
      <c r="A5" s="2069" t="s">
        <v>467</v>
      </c>
      <c r="B5" s="2077" t="s">
        <v>324</v>
      </c>
      <c r="C5" s="2078"/>
      <c r="D5" s="2081" t="s">
        <v>325</v>
      </c>
      <c r="E5" s="2082"/>
      <c r="F5" s="2082"/>
      <c r="G5" s="2082"/>
      <c r="H5" s="2083"/>
      <c r="I5" s="2069" t="s">
        <v>896</v>
      </c>
    </row>
    <row r="6" spans="1:9" ht="39" customHeight="1" thickBot="1">
      <c r="A6" s="1996"/>
      <c r="B6" s="2079"/>
      <c r="C6" s="2080"/>
      <c r="D6" s="1126" t="s">
        <v>326</v>
      </c>
      <c r="E6" s="1125" t="s">
        <v>327</v>
      </c>
      <c r="F6" s="1125" t="s">
        <v>1250</v>
      </c>
      <c r="G6" s="1125" t="s">
        <v>328</v>
      </c>
      <c r="H6" s="1125" t="s">
        <v>329</v>
      </c>
      <c r="I6" s="1996"/>
    </row>
    <row r="7" spans="1:9" ht="15" customHeight="1">
      <c r="A7" s="2070">
        <v>1</v>
      </c>
      <c r="B7" s="2073" t="s">
        <v>330</v>
      </c>
      <c r="C7" s="1127" t="s">
        <v>331</v>
      </c>
      <c r="D7" s="1751">
        <f>I7-H7</f>
        <v>10236</v>
      </c>
      <c r="E7" s="1751">
        <v>0</v>
      </c>
      <c r="F7" s="1751"/>
      <c r="G7" s="1751">
        <v>0</v>
      </c>
      <c r="H7" s="1751">
        <v>61490</v>
      </c>
      <c r="I7" s="1751">
        <v>71726</v>
      </c>
    </row>
    <row r="8" spans="1:9" ht="15.75" customHeight="1">
      <c r="A8" s="2071"/>
      <c r="B8" s="2074"/>
      <c r="C8" s="1128" t="s">
        <v>332</v>
      </c>
      <c r="D8" s="1752">
        <v>0</v>
      </c>
      <c r="E8" s="1752">
        <v>1620</v>
      </c>
      <c r="F8" s="1752"/>
      <c r="G8" s="1752">
        <v>0</v>
      </c>
      <c r="H8" s="1752">
        <v>0</v>
      </c>
      <c r="I8" s="1752">
        <v>1620</v>
      </c>
    </row>
    <row r="9" spans="1:9" ht="15.75" customHeight="1">
      <c r="A9" s="2071"/>
      <c r="B9" s="2075"/>
      <c r="C9" s="1129" t="s">
        <v>333</v>
      </c>
      <c r="D9" s="1753">
        <v>0</v>
      </c>
      <c r="E9" s="1753">
        <v>0</v>
      </c>
      <c r="F9" s="1753"/>
      <c r="G9" s="1753">
        <v>0</v>
      </c>
      <c r="H9" s="1753">
        <v>7522</v>
      </c>
      <c r="I9" s="1753">
        <v>186</v>
      </c>
    </row>
    <row r="10" spans="1:9" ht="16.5" customHeight="1" thickBot="1">
      <c r="A10" s="2072"/>
      <c r="B10" s="2076"/>
      <c r="C10" s="1131" t="s">
        <v>1190</v>
      </c>
      <c r="D10" s="1754"/>
      <c r="E10" s="1754"/>
      <c r="F10" s="1754"/>
      <c r="G10" s="1754">
        <f>3!E468</f>
        <v>3573</v>
      </c>
      <c r="H10" s="1754">
        <f>3!E306</f>
        <v>54258</v>
      </c>
      <c r="I10" s="1754">
        <f>6!F17+6!F64</f>
        <v>68018</v>
      </c>
    </row>
    <row r="11" spans="1:9" ht="12.75" customHeight="1">
      <c r="A11" s="2070">
        <v>2</v>
      </c>
      <c r="B11" s="2095" t="s">
        <v>1189</v>
      </c>
      <c r="C11" s="1132" t="s">
        <v>331</v>
      </c>
      <c r="D11" s="1755">
        <v>33075</v>
      </c>
      <c r="E11" s="1755">
        <v>0</v>
      </c>
      <c r="F11" s="1755">
        <v>68587</v>
      </c>
      <c r="G11" s="1755">
        <v>0</v>
      </c>
      <c r="H11" s="1755">
        <v>366595</v>
      </c>
      <c r="I11" s="1755">
        <v>468257</v>
      </c>
    </row>
    <row r="12" spans="1:9" ht="12.75">
      <c r="A12" s="2071"/>
      <c r="B12" s="2096"/>
      <c r="C12" s="1128" t="s">
        <v>332</v>
      </c>
      <c r="D12" s="1752">
        <v>541</v>
      </c>
      <c r="E12" s="1752">
        <v>0</v>
      </c>
      <c r="F12" s="1752">
        <v>0</v>
      </c>
      <c r="G12" s="1752">
        <v>0</v>
      </c>
      <c r="H12" s="1752">
        <v>0</v>
      </c>
      <c r="I12" s="1752">
        <v>541</v>
      </c>
    </row>
    <row r="13" spans="1:9" ht="12.75">
      <c r="A13" s="2071"/>
      <c r="B13" s="2096"/>
      <c r="C13" s="1129" t="s">
        <v>333</v>
      </c>
      <c r="D13" s="1753">
        <v>0</v>
      </c>
      <c r="E13" s="1753"/>
      <c r="F13" s="1753">
        <v>0</v>
      </c>
      <c r="G13" s="1753"/>
      <c r="H13" s="1753">
        <v>2528</v>
      </c>
      <c r="I13" s="1753">
        <v>2281</v>
      </c>
    </row>
    <row r="14" spans="1:9" ht="12.75">
      <c r="A14" s="2071"/>
      <c r="B14" s="2096"/>
      <c r="C14" s="1129" t="s">
        <v>1190</v>
      </c>
      <c r="D14" s="1753">
        <v>5780</v>
      </c>
      <c r="E14" s="1753"/>
      <c r="F14" s="1753">
        <v>0</v>
      </c>
      <c r="G14" s="1753">
        <f>3!E464</f>
        <v>860</v>
      </c>
      <c r="H14" s="1753">
        <f>3!E314</f>
        <v>15165</v>
      </c>
      <c r="I14" s="1753">
        <f>6!F18</f>
        <v>21805</v>
      </c>
    </row>
    <row r="15" spans="1:9" ht="12.75">
      <c r="A15" s="2071"/>
      <c r="B15" s="2096"/>
      <c r="C15" s="1128" t="s">
        <v>1191</v>
      </c>
      <c r="D15" s="1752">
        <v>33075</v>
      </c>
      <c r="E15" s="1752">
        <v>0</v>
      </c>
      <c r="F15" s="1752">
        <v>0</v>
      </c>
      <c r="G15" s="1752">
        <v>0</v>
      </c>
      <c r="H15" s="1752">
        <v>0</v>
      </c>
      <c r="I15" s="1752">
        <v>33075</v>
      </c>
    </row>
    <row r="16" spans="1:9" ht="13.5" thickBot="1">
      <c r="A16" s="2072"/>
      <c r="B16" s="2097"/>
      <c r="C16" s="1133" t="s">
        <v>1193</v>
      </c>
      <c r="D16" s="1756">
        <v>0</v>
      </c>
      <c r="E16" s="1756">
        <v>0</v>
      </c>
      <c r="F16" s="1756">
        <v>68587</v>
      </c>
      <c r="G16" s="1756">
        <v>0</v>
      </c>
      <c r="H16" s="1756">
        <v>366595</v>
      </c>
      <c r="I16" s="1756">
        <v>435182</v>
      </c>
    </row>
    <row r="17" spans="1:9" ht="15.75" customHeight="1">
      <c r="A17" s="2084">
        <v>3</v>
      </c>
      <c r="B17" s="2073" t="s">
        <v>1181</v>
      </c>
      <c r="C17" s="1127" t="s">
        <v>331</v>
      </c>
      <c r="D17" s="1751">
        <v>65012</v>
      </c>
      <c r="E17" s="1751">
        <v>0</v>
      </c>
      <c r="F17" s="1751"/>
      <c r="G17" s="1751">
        <v>0</v>
      </c>
      <c r="H17" s="1751">
        <v>468442</v>
      </c>
      <c r="I17" s="1751">
        <v>533454</v>
      </c>
    </row>
    <row r="18" spans="1:9" ht="15.75" customHeight="1">
      <c r="A18" s="2085"/>
      <c r="B18" s="2087"/>
      <c r="C18" s="1128" t="s">
        <v>333</v>
      </c>
      <c r="D18" s="1752">
        <v>0</v>
      </c>
      <c r="E18" s="1752"/>
      <c r="F18" s="1752"/>
      <c r="G18" s="1752"/>
      <c r="H18" s="1752">
        <v>75461</v>
      </c>
      <c r="I18" s="1752">
        <v>2836</v>
      </c>
    </row>
    <row r="19" spans="1:9" ht="15" customHeight="1">
      <c r="A19" s="2085"/>
      <c r="B19" s="2087"/>
      <c r="C19" s="1128" t="s">
        <v>1190</v>
      </c>
      <c r="D19" s="1752">
        <f>I19-H19</f>
        <v>18353</v>
      </c>
      <c r="E19" s="1752">
        <v>0</v>
      </c>
      <c r="F19" s="1752"/>
      <c r="G19" s="1752">
        <v>0</v>
      </c>
      <c r="H19" s="1752">
        <f>3!E310</f>
        <v>56510</v>
      </c>
      <c r="I19" s="1752">
        <f>6!F68+6!F19</f>
        <v>74863</v>
      </c>
    </row>
    <row r="20" spans="1:9" ht="15" customHeight="1" thickBot="1">
      <c r="A20" s="2086"/>
      <c r="B20" s="2088"/>
      <c r="C20" s="1131" t="s">
        <v>1191</v>
      </c>
      <c r="D20" s="1754">
        <v>59361</v>
      </c>
      <c r="E20" s="1754">
        <v>0</v>
      </c>
      <c r="F20" s="1754"/>
      <c r="G20" s="1754"/>
      <c r="H20" s="1754">
        <v>336471</v>
      </c>
      <c r="I20" s="1754">
        <v>468457</v>
      </c>
    </row>
    <row r="21" spans="1:9" ht="15" customHeight="1">
      <c r="A21" s="2070">
        <v>4</v>
      </c>
      <c r="B21" s="2092" t="s">
        <v>1192</v>
      </c>
      <c r="C21" s="1132" t="s">
        <v>331</v>
      </c>
      <c r="D21" s="1756">
        <v>1225</v>
      </c>
      <c r="E21" s="1756"/>
      <c r="F21" s="1756"/>
      <c r="G21" s="1756"/>
      <c r="H21" s="1756">
        <v>4900</v>
      </c>
      <c r="I21" s="1756">
        <v>6125</v>
      </c>
    </row>
    <row r="22" spans="1:9" ht="15" customHeight="1">
      <c r="A22" s="2071"/>
      <c r="B22" s="2093"/>
      <c r="C22" s="1133" t="s">
        <v>1190</v>
      </c>
      <c r="D22" s="1752">
        <v>6</v>
      </c>
      <c r="E22" s="1752"/>
      <c r="F22" s="1752"/>
      <c r="G22" s="1752">
        <v>0</v>
      </c>
      <c r="H22" s="1752">
        <v>0</v>
      </c>
      <c r="I22" s="1752">
        <f>6!F39</f>
        <v>6</v>
      </c>
    </row>
    <row r="23" spans="1:9" ht="15" customHeight="1" thickBot="1">
      <c r="A23" s="2072"/>
      <c r="B23" s="2094"/>
      <c r="C23" s="1129" t="s">
        <v>1191</v>
      </c>
      <c r="D23" s="1756">
        <v>1219</v>
      </c>
      <c r="E23" s="1756"/>
      <c r="F23" s="1756"/>
      <c r="G23" s="1756"/>
      <c r="H23" s="1756">
        <v>0</v>
      </c>
      <c r="I23" s="1756">
        <v>1219</v>
      </c>
    </row>
    <row r="24" spans="1:9" ht="15" customHeight="1">
      <c r="A24" s="2070">
        <v>5</v>
      </c>
      <c r="B24" s="2089" t="s">
        <v>1188</v>
      </c>
      <c r="C24" s="1127" t="s">
        <v>331</v>
      </c>
      <c r="D24" s="1751">
        <v>15479</v>
      </c>
      <c r="E24" s="1751">
        <v>0</v>
      </c>
      <c r="F24" s="1751">
        <v>0</v>
      </c>
      <c r="G24" s="1751">
        <v>0</v>
      </c>
      <c r="H24" s="1751">
        <v>139307</v>
      </c>
      <c r="I24" s="1751">
        <v>154786</v>
      </c>
    </row>
    <row r="25" spans="1:9" ht="15" customHeight="1">
      <c r="A25" s="2071"/>
      <c r="B25" s="2090"/>
      <c r="C25" s="1133" t="s">
        <v>1190</v>
      </c>
      <c r="D25" s="1752">
        <v>963</v>
      </c>
      <c r="E25" s="1752">
        <v>0</v>
      </c>
      <c r="F25" s="1752">
        <v>0</v>
      </c>
      <c r="G25" s="1752">
        <v>0</v>
      </c>
      <c r="H25" s="1752">
        <v>0</v>
      </c>
      <c r="I25" s="1752">
        <f>6!F33</f>
        <v>963</v>
      </c>
    </row>
    <row r="26" spans="1:9" ht="15" customHeight="1" thickBot="1">
      <c r="A26" s="2072"/>
      <c r="B26" s="2091"/>
      <c r="C26" s="1131" t="s">
        <v>1191</v>
      </c>
      <c r="D26" s="1754">
        <v>14404</v>
      </c>
      <c r="E26" s="1754">
        <v>0</v>
      </c>
      <c r="F26" s="1754">
        <v>0</v>
      </c>
      <c r="G26" s="1754">
        <v>0</v>
      </c>
      <c r="H26" s="1754">
        <v>0</v>
      </c>
      <c r="I26" s="1754">
        <v>14404</v>
      </c>
    </row>
    <row r="27" spans="1:9" ht="12.75">
      <c r="A27" s="2070">
        <v>6</v>
      </c>
      <c r="B27" s="2073" t="s">
        <v>334</v>
      </c>
      <c r="C27" s="1127" t="s">
        <v>331</v>
      </c>
      <c r="D27" s="1751">
        <v>0</v>
      </c>
      <c r="E27" s="1751">
        <v>0</v>
      </c>
      <c r="F27" s="1751"/>
      <c r="G27" s="1751">
        <v>3200</v>
      </c>
      <c r="H27" s="1751">
        <v>18120</v>
      </c>
      <c r="I27" s="1751">
        <v>21320</v>
      </c>
    </row>
    <row r="28" spans="1:9" ht="12.75">
      <c r="A28" s="2071"/>
      <c r="B28" s="2087"/>
      <c r="C28" s="1134" t="s">
        <v>335</v>
      </c>
      <c r="D28" s="1752">
        <v>0</v>
      </c>
      <c r="E28" s="1752">
        <v>163</v>
      </c>
      <c r="F28" s="1752"/>
      <c r="G28" s="1752">
        <v>0</v>
      </c>
      <c r="H28" s="1752">
        <v>0</v>
      </c>
      <c r="I28" s="1752">
        <v>163</v>
      </c>
    </row>
    <row r="29" spans="1:9" ht="12.75">
      <c r="A29" s="2071"/>
      <c r="B29" s="2087"/>
      <c r="C29" s="1128" t="s">
        <v>332</v>
      </c>
      <c r="D29" s="1752">
        <v>0</v>
      </c>
      <c r="E29" s="1752">
        <v>525</v>
      </c>
      <c r="F29" s="1752"/>
      <c r="G29" s="1752">
        <v>0</v>
      </c>
      <c r="H29" s="1752">
        <v>0</v>
      </c>
      <c r="I29" s="1752">
        <v>525</v>
      </c>
    </row>
    <row r="30" spans="1:9" ht="12.75">
      <c r="A30" s="2071"/>
      <c r="B30" s="2103"/>
      <c r="C30" s="1129" t="s">
        <v>333</v>
      </c>
      <c r="D30" s="1753"/>
      <c r="E30" s="1753">
        <v>0</v>
      </c>
      <c r="F30" s="1753"/>
      <c r="G30" s="1753">
        <v>0</v>
      </c>
      <c r="H30" s="1753">
        <v>5330</v>
      </c>
      <c r="I30" s="1753">
        <f>6!F16</f>
        <v>5887</v>
      </c>
    </row>
    <row r="31" spans="1:9" ht="13.5" thickBot="1">
      <c r="A31" s="2072"/>
      <c r="B31" s="2104"/>
      <c r="C31" s="1131" t="s">
        <v>1190</v>
      </c>
      <c r="D31" s="1754">
        <v>0</v>
      </c>
      <c r="E31" s="1754">
        <v>0</v>
      </c>
      <c r="F31" s="1754"/>
      <c r="G31" s="1754">
        <v>0</v>
      </c>
      <c r="H31" s="1754">
        <f>3!E302</f>
        <v>14333</v>
      </c>
      <c r="I31" s="1754">
        <f>6!F20</f>
        <v>15715</v>
      </c>
    </row>
    <row r="32" spans="1:9" ht="12.75">
      <c r="A32" s="2070">
        <v>7</v>
      </c>
      <c r="B32" s="2073" t="s">
        <v>1183</v>
      </c>
      <c r="C32" s="1127" t="s">
        <v>331</v>
      </c>
      <c r="D32" s="1751">
        <v>12985</v>
      </c>
      <c r="E32" s="1751">
        <v>0</v>
      </c>
      <c r="F32" s="1751"/>
      <c r="G32" s="1751">
        <v>0</v>
      </c>
      <c r="H32" s="1751">
        <v>49500</v>
      </c>
      <c r="I32" s="1751">
        <v>62485</v>
      </c>
    </row>
    <row r="33" spans="1:9" ht="12.75">
      <c r="A33" s="2071"/>
      <c r="B33" s="2100"/>
      <c r="C33" s="1133" t="s">
        <v>333</v>
      </c>
      <c r="D33" s="1756">
        <v>39</v>
      </c>
      <c r="E33" s="1756"/>
      <c r="F33" s="1756"/>
      <c r="G33" s="1756"/>
      <c r="H33" s="1756"/>
      <c r="I33" s="1756">
        <v>39</v>
      </c>
    </row>
    <row r="34" spans="1:9" ht="12.75">
      <c r="A34" s="2071"/>
      <c r="B34" s="2100"/>
      <c r="C34" s="1128" t="s">
        <v>1190</v>
      </c>
      <c r="D34" s="1752">
        <v>2428</v>
      </c>
      <c r="E34" s="1752">
        <v>0</v>
      </c>
      <c r="F34" s="1752">
        <v>0</v>
      </c>
      <c r="G34" s="1752">
        <v>0</v>
      </c>
      <c r="H34" s="1752">
        <v>0</v>
      </c>
      <c r="I34" s="1752">
        <f>6!F21+6!F67+6!F83</f>
        <v>6361</v>
      </c>
    </row>
    <row r="35" spans="1:9" ht="13.5" thickBot="1">
      <c r="A35" s="2072"/>
      <c r="B35" s="2076"/>
      <c r="C35" s="1131" t="s">
        <v>1191</v>
      </c>
      <c r="D35" s="1754">
        <v>12946</v>
      </c>
      <c r="E35" s="1754">
        <v>0</v>
      </c>
      <c r="F35" s="1754"/>
      <c r="G35" s="1754">
        <v>0</v>
      </c>
      <c r="H35" s="1754">
        <v>49500</v>
      </c>
      <c r="I35" s="1754">
        <v>62446</v>
      </c>
    </row>
    <row r="36" spans="1:10" ht="15.75" customHeight="1">
      <c r="A36" s="2070">
        <v>8</v>
      </c>
      <c r="B36" s="2099" t="s">
        <v>1184</v>
      </c>
      <c r="C36" s="1127" t="s">
        <v>331</v>
      </c>
      <c r="D36" s="1751">
        <v>24885</v>
      </c>
      <c r="E36" s="1751">
        <v>0</v>
      </c>
      <c r="F36" s="1751"/>
      <c r="G36" s="1751">
        <v>12700</v>
      </c>
      <c r="H36" s="1751">
        <v>211018</v>
      </c>
      <c r="I36" s="1751">
        <v>248603</v>
      </c>
      <c r="J36" s="1135"/>
    </row>
    <row r="37" spans="1:10" ht="15.75" customHeight="1">
      <c r="A37" s="2071"/>
      <c r="B37" s="2100"/>
      <c r="C37" s="1133" t="s">
        <v>333</v>
      </c>
      <c r="D37" s="1756">
        <v>630</v>
      </c>
      <c r="E37" s="1756"/>
      <c r="F37" s="1756"/>
      <c r="G37" s="1756"/>
      <c r="H37" s="1756"/>
      <c r="I37" s="1756">
        <v>630</v>
      </c>
      <c r="J37" s="1135"/>
    </row>
    <row r="38" spans="1:9" ht="14.25" customHeight="1">
      <c r="A38" s="2071"/>
      <c r="B38" s="2100"/>
      <c r="C38" s="1128" t="s">
        <v>1190</v>
      </c>
      <c r="D38" s="1752">
        <v>3473</v>
      </c>
      <c r="E38" s="1752"/>
      <c r="F38" s="1752"/>
      <c r="G38" s="1752"/>
      <c r="H38" s="1752"/>
      <c r="I38" s="1752">
        <f>6!F56</f>
        <v>3473</v>
      </c>
    </row>
    <row r="39" spans="1:9" ht="14.25" customHeight="1" thickBot="1">
      <c r="A39" s="2026"/>
      <c r="B39" s="2102"/>
      <c r="C39" s="1136" t="s">
        <v>1191</v>
      </c>
      <c r="D39" s="1757">
        <f>D36-D37-D38</f>
        <v>20782</v>
      </c>
      <c r="E39" s="1757">
        <f>E36-E37-E38</f>
        <v>0</v>
      </c>
      <c r="F39" s="1757"/>
      <c r="G39" s="1757">
        <f>G36-G37-G38</f>
        <v>12700</v>
      </c>
      <c r="H39" s="1757">
        <v>211018</v>
      </c>
      <c r="I39" s="1757">
        <f>I36-I37-I38</f>
        <v>244500</v>
      </c>
    </row>
    <row r="40" spans="1:9" ht="15" customHeight="1">
      <c r="A40" s="2084">
        <v>9</v>
      </c>
      <c r="B40" s="2099" t="s">
        <v>1185</v>
      </c>
      <c r="C40" s="1137" t="s">
        <v>331</v>
      </c>
      <c r="D40" s="1751">
        <v>137613</v>
      </c>
      <c r="E40" s="1751">
        <v>0</v>
      </c>
      <c r="F40" s="1751"/>
      <c r="G40" s="1751">
        <v>96185</v>
      </c>
      <c r="H40" s="1751">
        <v>545051</v>
      </c>
      <c r="I40" s="1751">
        <v>778849</v>
      </c>
    </row>
    <row r="41" spans="1:9" ht="12.75">
      <c r="A41" s="2085"/>
      <c r="B41" s="2100"/>
      <c r="C41" s="1128" t="s">
        <v>332</v>
      </c>
      <c r="D41" s="1758">
        <v>713</v>
      </c>
      <c r="E41" s="1758">
        <v>0</v>
      </c>
      <c r="F41" s="1758"/>
      <c r="G41" s="1758">
        <v>0</v>
      </c>
      <c r="H41" s="1758">
        <v>0</v>
      </c>
      <c r="I41" s="1758">
        <v>713</v>
      </c>
    </row>
    <row r="42" spans="1:9" ht="12.75">
      <c r="A42" s="2085"/>
      <c r="B42" s="2100"/>
      <c r="C42" s="1128" t="s">
        <v>333</v>
      </c>
      <c r="D42" s="1758">
        <v>14250</v>
      </c>
      <c r="E42" s="1758">
        <v>0</v>
      </c>
      <c r="F42" s="1758"/>
      <c r="G42" s="1758">
        <v>0</v>
      </c>
      <c r="H42" s="1758">
        <v>0</v>
      </c>
      <c r="I42" s="1758">
        <v>14250</v>
      </c>
    </row>
    <row r="43" spans="1:9" ht="12.75">
      <c r="A43" s="2085"/>
      <c r="B43" s="2100"/>
      <c r="C43" s="1128" t="s">
        <v>1190</v>
      </c>
      <c r="D43" s="1758">
        <v>6215</v>
      </c>
      <c r="E43" s="1758">
        <v>0</v>
      </c>
      <c r="F43" s="1758"/>
      <c r="G43" s="1758">
        <v>0</v>
      </c>
      <c r="H43" s="1758">
        <v>0</v>
      </c>
      <c r="I43" s="1758">
        <f>6!F16+6!F63</f>
        <v>6215</v>
      </c>
    </row>
    <row r="44" spans="1:9" ht="12.75">
      <c r="A44" s="2085"/>
      <c r="B44" s="2100"/>
      <c r="C44" s="1128" t="s">
        <v>1191</v>
      </c>
      <c r="D44" s="1758">
        <v>68273</v>
      </c>
      <c r="E44" s="1758">
        <v>0</v>
      </c>
      <c r="F44" s="1758"/>
      <c r="G44" s="1758">
        <v>0</v>
      </c>
      <c r="H44" s="1758">
        <v>0</v>
      </c>
      <c r="I44" s="1758">
        <v>68273</v>
      </c>
    </row>
    <row r="45" spans="1:9" ht="13.5" thickBot="1">
      <c r="A45" s="2098"/>
      <c r="B45" s="2101"/>
      <c r="C45" s="1485" t="s">
        <v>1193</v>
      </c>
      <c r="D45" s="1759">
        <v>48165</v>
      </c>
      <c r="E45" s="1759"/>
      <c r="F45" s="1759"/>
      <c r="G45" s="1759">
        <v>96185</v>
      </c>
      <c r="H45" s="1759">
        <v>545051</v>
      </c>
      <c r="I45" s="1759">
        <v>689401</v>
      </c>
    </row>
    <row r="46" spans="1:9" ht="12.75">
      <c r="A46" s="2105">
        <v>10</v>
      </c>
      <c r="B46" s="2108" t="s">
        <v>1186</v>
      </c>
      <c r="C46" s="1597" t="s">
        <v>331</v>
      </c>
      <c r="D46" s="1760">
        <f>I46-H46</f>
        <v>25879</v>
      </c>
      <c r="E46" s="1760"/>
      <c r="F46" s="1760"/>
      <c r="G46" s="1760"/>
      <c r="H46" s="1760">
        <v>232909</v>
      </c>
      <c r="I46" s="1760">
        <v>258788</v>
      </c>
    </row>
    <row r="47" spans="1:9" ht="12.75">
      <c r="A47" s="2106"/>
      <c r="B47" s="2106"/>
      <c r="C47" s="1598" t="s">
        <v>1190</v>
      </c>
      <c r="D47" s="1761">
        <v>1650</v>
      </c>
      <c r="E47" s="1761"/>
      <c r="F47" s="1761"/>
      <c r="G47" s="1761"/>
      <c r="H47" s="1761">
        <v>0</v>
      </c>
      <c r="I47" s="1761">
        <v>1650</v>
      </c>
    </row>
    <row r="48" spans="1:9" ht="13.5" thickBot="1">
      <c r="A48" s="2107"/>
      <c r="B48" s="2107"/>
      <c r="C48" s="1485" t="s">
        <v>1191</v>
      </c>
      <c r="D48" s="1759">
        <f>25879-D47</f>
        <v>24229</v>
      </c>
      <c r="E48" s="1759"/>
      <c r="F48" s="1759"/>
      <c r="G48" s="1759"/>
      <c r="H48" s="1759">
        <v>232909</v>
      </c>
      <c r="I48" s="1759">
        <f>258788-I47</f>
        <v>257138</v>
      </c>
    </row>
    <row r="49" spans="1:9" s="1599" customFormat="1" ht="11.25">
      <c r="A49" s="2105">
        <v>11</v>
      </c>
      <c r="B49" s="2109" t="s">
        <v>1251</v>
      </c>
      <c r="C49" s="1127" t="s">
        <v>331</v>
      </c>
      <c r="D49" s="1760">
        <v>10484</v>
      </c>
      <c r="E49" s="1760"/>
      <c r="F49" s="1760"/>
      <c r="G49" s="1760"/>
      <c r="H49" s="1760">
        <v>94359</v>
      </c>
      <c r="I49" s="1760">
        <v>104843</v>
      </c>
    </row>
    <row r="50" spans="1:9" s="1599" customFormat="1" ht="12" thickBot="1">
      <c r="A50" s="2111"/>
      <c r="B50" s="2110"/>
      <c r="C50" s="1131" t="s">
        <v>1190</v>
      </c>
      <c r="D50" s="1759">
        <v>2407</v>
      </c>
      <c r="E50" s="1759"/>
      <c r="F50" s="1759"/>
      <c r="G50" s="1759"/>
      <c r="H50" s="1759"/>
      <c r="I50" s="1759">
        <f>6!F40</f>
        <v>2407</v>
      </c>
    </row>
    <row r="51" ht="6.75" customHeight="1"/>
    <row r="52" spans="1:9" ht="12.75">
      <c r="A52" s="2112" t="s">
        <v>1252</v>
      </c>
      <c r="B52" s="2113"/>
      <c r="C52" s="2113"/>
      <c r="D52" s="2113"/>
      <c r="E52" s="2113"/>
      <c r="F52" s="2113"/>
      <c r="G52" s="2113"/>
      <c r="H52" s="2113"/>
      <c r="I52" s="2113"/>
    </row>
    <row r="53" spans="1:9" ht="12.75">
      <c r="A53" s="2114" t="s">
        <v>467</v>
      </c>
      <c r="B53" s="2115" t="s">
        <v>324</v>
      </c>
      <c r="C53" s="2116"/>
      <c r="D53" s="2119" t="s">
        <v>1253</v>
      </c>
      <c r="E53" s="2120"/>
      <c r="F53" s="1762"/>
      <c r="G53" s="1762"/>
      <c r="H53" s="1762"/>
      <c r="I53" s="1762"/>
    </row>
    <row r="54" spans="1:9" ht="45.75" thickBot="1">
      <c r="A54" s="2019"/>
      <c r="B54" s="2117"/>
      <c r="C54" s="2118"/>
      <c r="D54" s="1763" t="s">
        <v>1254</v>
      </c>
      <c r="E54" s="1763" t="s">
        <v>1255</v>
      </c>
      <c r="F54" s="1762"/>
      <c r="G54" s="1762"/>
      <c r="H54" s="1762"/>
      <c r="I54" s="1762"/>
    </row>
    <row r="55" spans="1:9" ht="12.75">
      <c r="A55" s="2121">
        <v>1</v>
      </c>
      <c r="B55" s="2123" t="s">
        <v>1256</v>
      </c>
      <c r="C55" s="1127" t="s">
        <v>331</v>
      </c>
      <c r="D55" s="1760">
        <v>54267</v>
      </c>
      <c r="E55" s="1764">
        <v>0</v>
      </c>
      <c r="F55" s="1749"/>
      <c r="G55" s="1749"/>
      <c r="H55" s="1749"/>
      <c r="I55" s="1749"/>
    </row>
    <row r="56" spans="1:9" ht="12.75">
      <c r="A56" s="2122"/>
      <c r="B56" s="2124"/>
      <c r="C56" s="1134" t="s">
        <v>335</v>
      </c>
      <c r="D56" s="1758">
        <v>4560</v>
      </c>
      <c r="E56" s="1765">
        <v>0</v>
      </c>
      <c r="F56" s="1749"/>
      <c r="G56" s="1749"/>
      <c r="H56" s="1749"/>
      <c r="I56" s="1749"/>
    </row>
    <row r="57" spans="1:9" ht="12.75">
      <c r="A57" s="2122"/>
      <c r="B57" s="2124"/>
      <c r="C57" s="1128" t="s">
        <v>332</v>
      </c>
      <c r="D57" s="1758">
        <v>11379</v>
      </c>
      <c r="E57" s="1758">
        <v>17930</v>
      </c>
      <c r="F57" s="1766"/>
      <c r="G57" s="1749"/>
      <c r="H57" s="1749"/>
      <c r="I57" s="1749"/>
    </row>
    <row r="58" spans="1:9" ht="12.75">
      <c r="A58" s="2122"/>
      <c r="B58" s="2124"/>
      <c r="C58" s="1128" t="s">
        <v>333</v>
      </c>
      <c r="D58" s="1758">
        <v>117</v>
      </c>
      <c r="E58" s="1758">
        <v>17900</v>
      </c>
      <c r="F58" s="1766"/>
      <c r="G58" s="1749"/>
      <c r="H58" s="1749"/>
      <c r="I58" s="1749"/>
    </row>
    <row r="59" spans="1:9" ht="13.5" thickBot="1">
      <c r="A59" s="2086"/>
      <c r="B59" s="2125"/>
      <c r="C59" s="1131" t="s">
        <v>1190</v>
      </c>
      <c r="D59" s="1759">
        <v>14011</v>
      </c>
      <c r="E59" s="1759">
        <v>21016</v>
      </c>
      <c r="F59" s="1766"/>
      <c r="G59" s="1749"/>
      <c r="H59" s="1749"/>
      <c r="I59" s="1749"/>
    </row>
    <row r="60" spans="1:5" ht="23.25" thickBot="1">
      <c r="A60" s="1600">
        <v>2</v>
      </c>
      <c r="B60" s="1601" t="s">
        <v>1257</v>
      </c>
      <c r="C60" s="1602" t="s">
        <v>1190</v>
      </c>
      <c r="D60" s="1767">
        <v>0</v>
      </c>
      <c r="E60" s="1767">
        <v>5091</v>
      </c>
    </row>
    <row r="61" spans="1:5" ht="17.25" customHeight="1">
      <c r="A61" s="2128">
        <v>3</v>
      </c>
      <c r="B61" s="2126" t="s">
        <v>1258</v>
      </c>
      <c r="C61" s="1597" t="s">
        <v>1190</v>
      </c>
      <c r="D61" s="1760">
        <v>0</v>
      </c>
      <c r="E61" s="1760">
        <v>0</v>
      </c>
    </row>
    <row r="62" spans="1:5" ht="15.75" thickBot="1">
      <c r="A62" s="2129"/>
      <c r="B62" s="2127"/>
      <c r="C62" s="1485" t="s">
        <v>1191</v>
      </c>
      <c r="D62" s="1768">
        <v>0</v>
      </c>
      <c r="E62" s="1759">
        <v>20939</v>
      </c>
    </row>
  </sheetData>
  <sheetProtection/>
  <mergeCells count="34">
    <mergeCell ref="A55:A59"/>
    <mergeCell ref="B55:B59"/>
    <mergeCell ref="B61:B62"/>
    <mergeCell ref="A61:A62"/>
    <mergeCell ref="A46:A48"/>
    <mergeCell ref="B46:B48"/>
    <mergeCell ref="B49:B50"/>
    <mergeCell ref="A49:A50"/>
    <mergeCell ref="A52:I52"/>
    <mergeCell ref="A53:A54"/>
    <mergeCell ref="B53:C54"/>
    <mergeCell ref="D53:E53"/>
    <mergeCell ref="A11:A16"/>
    <mergeCell ref="B11:B16"/>
    <mergeCell ref="A40:A45"/>
    <mergeCell ref="B40:B45"/>
    <mergeCell ref="A36:A39"/>
    <mergeCell ref="B36:B39"/>
    <mergeCell ref="A27:A31"/>
    <mergeCell ref="B27:B31"/>
    <mergeCell ref="A32:A35"/>
    <mergeCell ref="B32:B35"/>
    <mergeCell ref="A17:A20"/>
    <mergeCell ref="B17:B20"/>
    <mergeCell ref="B24:B26"/>
    <mergeCell ref="A24:A26"/>
    <mergeCell ref="A21:A23"/>
    <mergeCell ref="B21:B23"/>
    <mergeCell ref="I5:I6"/>
    <mergeCell ref="A7:A10"/>
    <mergeCell ref="B7:B10"/>
    <mergeCell ref="B5:C6"/>
    <mergeCell ref="A5:A6"/>
    <mergeCell ref="D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B1">
      <selection activeCell="H20" sqref="H20"/>
    </sheetView>
  </sheetViews>
  <sheetFormatPr defaultColWidth="9.00390625" defaultRowHeight="12.75"/>
  <cols>
    <col min="1" max="1" width="3.125" style="1614" bestFit="1" customWidth="1"/>
    <col min="2" max="2" width="3.875" style="1612" customWidth="1"/>
    <col min="3" max="3" width="57.00390625" style="708" customWidth="1"/>
    <col min="4" max="4" width="18.875" style="708" customWidth="1"/>
    <col min="5" max="6" width="8.375" style="708" customWidth="1"/>
    <col min="7" max="8" width="7.75390625" style="708" customWidth="1"/>
    <col min="9" max="9" width="9.125" style="708" customWidth="1"/>
    <col min="10" max="10" width="8.00390625" style="708" customWidth="1"/>
    <col min="11" max="11" width="10.75390625" style="1603" customWidth="1"/>
    <col min="12" max="16384" width="9.125" style="708" customWidth="1"/>
  </cols>
  <sheetData>
    <row r="1" spans="2:11" ht="12.75">
      <c r="B1" s="1606"/>
      <c r="C1" s="709"/>
      <c r="D1" s="709"/>
      <c r="E1" s="709"/>
      <c r="G1" s="709"/>
      <c r="H1" s="709"/>
      <c r="J1" s="709"/>
      <c r="K1" s="1638"/>
    </row>
    <row r="2" spans="2:11" ht="12.75">
      <c r="B2" s="1606"/>
      <c r="C2" s="709"/>
      <c r="D2" s="709"/>
      <c r="E2" s="709"/>
      <c r="G2" s="709"/>
      <c r="H2" s="709"/>
      <c r="J2" s="709"/>
      <c r="K2" s="1638"/>
    </row>
    <row r="3" spans="2:11" ht="4.5" customHeight="1">
      <c r="B3" s="1606"/>
      <c r="C3" s="709"/>
      <c r="D3" s="709"/>
      <c r="E3" s="709"/>
      <c r="F3" s="709"/>
      <c r="G3" s="709"/>
      <c r="H3" s="709"/>
      <c r="I3" s="709"/>
      <c r="J3" s="709"/>
      <c r="K3" s="1638"/>
    </row>
    <row r="4" spans="2:11" ht="13.5" thickBot="1">
      <c r="B4" s="1606"/>
      <c r="C4" s="709"/>
      <c r="D4" s="709"/>
      <c r="E4" s="709"/>
      <c r="F4" s="709"/>
      <c r="G4" s="2130" t="s">
        <v>466</v>
      </c>
      <c r="H4" s="2130"/>
      <c r="I4" s="2130"/>
      <c r="J4" s="2130"/>
      <c r="K4" s="2130"/>
    </row>
    <row r="5" spans="1:11" ht="48.75" customHeight="1">
      <c r="A5" s="2131" t="s">
        <v>936</v>
      </c>
      <c r="B5" s="1607"/>
      <c r="C5" s="1643" t="s">
        <v>278</v>
      </c>
      <c r="D5" s="710" t="s">
        <v>937</v>
      </c>
      <c r="E5" s="711" t="s">
        <v>938</v>
      </c>
      <c r="F5" s="711" t="s">
        <v>939</v>
      </c>
      <c r="G5" s="711" t="s">
        <v>940</v>
      </c>
      <c r="H5" s="711" t="s">
        <v>941</v>
      </c>
      <c r="I5" s="711" t="s">
        <v>942</v>
      </c>
      <c r="J5" s="711" t="s">
        <v>943</v>
      </c>
      <c r="K5" s="712" t="s">
        <v>944</v>
      </c>
    </row>
    <row r="6" spans="1:11" ht="36.75" customHeight="1">
      <c r="A6" s="2132"/>
      <c r="B6" s="1608" t="s">
        <v>312</v>
      </c>
      <c r="C6" s="713" t="s">
        <v>268</v>
      </c>
      <c r="D6" s="714" t="s">
        <v>265</v>
      </c>
      <c r="E6" s="715">
        <v>2006</v>
      </c>
      <c r="F6" s="715">
        <v>2026</v>
      </c>
      <c r="G6" s="715">
        <v>17601</v>
      </c>
      <c r="H6" s="715">
        <v>15154</v>
      </c>
      <c r="I6" s="716">
        <v>978</v>
      </c>
      <c r="J6" s="715">
        <f>H6-I6</f>
        <v>14176</v>
      </c>
      <c r="K6" s="1639">
        <v>978</v>
      </c>
    </row>
    <row r="7" spans="1:11" ht="12.75">
      <c r="A7" s="2132"/>
      <c r="B7" s="1608" t="s">
        <v>314</v>
      </c>
      <c r="C7" s="713" t="s">
        <v>946</v>
      </c>
      <c r="D7" s="717" t="s">
        <v>945</v>
      </c>
      <c r="E7" s="715">
        <v>2010</v>
      </c>
      <c r="F7" s="715">
        <v>2011</v>
      </c>
      <c r="G7" s="715">
        <v>250000</v>
      </c>
      <c r="H7" s="715">
        <v>86358</v>
      </c>
      <c r="I7" s="716">
        <f>3!D667</f>
        <v>86358</v>
      </c>
      <c r="J7" s="715">
        <v>31403</v>
      </c>
      <c r="K7" s="1639">
        <v>31403</v>
      </c>
    </row>
    <row r="8" spans="1:11" ht="27.75" customHeight="1" thickBot="1">
      <c r="A8" s="2132"/>
      <c r="B8" s="1608" t="s">
        <v>316</v>
      </c>
      <c r="C8" s="713" t="s">
        <v>269</v>
      </c>
      <c r="D8" s="714" t="s">
        <v>266</v>
      </c>
      <c r="E8" s="715">
        <v>2008</v>
      </c>
      <c r="F8" s="715">
        <v>2028</v>
      </c>
      <c r="G8" s="715" t="s">
        <v>576</v>
      </c>
      <c r="H8" s="715">
        <v>841268</v>
      </c>
      <c r="I8" s="716">
        <v>0</v>
      </c>
      <c r="J8" s="715">
        <v>853211</v>
      </c>
      <c r="K8" s="1639">
        <v>0</v>
      </c>
    </row>
    <row r="9" spans="1:11" ht="13.5" thickBot="1">
      <c r="A9" s="2133"/>
      <c r="B9" s="1609"/>
      <c r="C9" s="2134" t="s">
        <v>931</v>
      </c>
      <c r="D9" s="2135"/>
      <c r="E9" s="718"/>
      <c r="F9" s="718"/>
      <c r="G9" s="718">
        <v>1326425</v>
      </c>
      <c r="H9" s="718">
        <f>SUM(H6:H8)</f>
        <v>942780</v>
      </c>
      <c r="I9" s="718">
        <f>SUM(I6:I8)</f>
        <v>87336</v>
      </c>
      <c r="J9" s="718">
        <f>SUM(J6:J8)</f>
        <v>898790</v>
      </c>
      <c r="K9" s="719">
        <f>SUM(K6:K8)</f>
        <v>32381</v>
      </c>
    </row>
    <row r="10" spans="2:11" ht="4.5" customHeight="1" thickBot="1">
      <c r="B10" s="1606"/>
      <c r="C10" s="709"/>
      <c r="D10" s="720"/>
      <c r="E10" s="709"/>
      <c r="F10" s="721"/>
      <c r="G10" s="722"/>
      <c r="H10" s="721"/>
      <c r="I10" s="709"/>
      <c r="J10" s="709"/>
      <c r="K10" s="1638"/>
    </row>
    <row r="11" spans="1:11" ht="15.75" customHeight="1">
      <c r="A11" s="2131" t="s">
        <v>947</v>
      </c>
      <c r="B11" s="1610" t="s">
        <v>312</v>
      </c>
      <c r="C11" s="723" t="s">
        <v>948</v>
      </c>
      <c r="D11" s="717" t="s">
        <v>949</v>
      </c>
      <c r="E11" s="724" t="s">
        <v>950</v>
      </c>
      <c r="F11" s="725">
        <v>2021</v>
      </c>
      <c r="G11" s="726">
        <v>3949</v>
      </c>
      <c r="H11" s="726">
        <v>3801</v>
      </c>
      <c r="I11" s="1563">
        <f>3!E157</f>
        <v>523</v>
      </c>
      <c r="J11" s="726">
        <f>H11-I11</f>
        <v>3278</v>
      </c>
      <c r="K11" s="1640">
        <v>523</v>
      </c>
    </row>
    <row r="12" spans="1:11" ht="18.75" customHeight="1">
      <c r="A12" s="2132"/>
      <c r="B12" s="1608" t="s">
        <v>314</v>
      </c>
      <c r="C12" s="717" t="s">
        <v>951</v>
      </c>
      <c r="D12" s="717" t="s">
        <v>952</v>
      </c>
      <c r="E12" s="715" t="s">
        <v>950</v>
      </c>
      <c r="F12" s="727">
        <v>2020</v>
      </c>
      <c r="G12" s="728">
        <f>1137+167</f>
        <v>1304</v>
      </c>
      <c r="H12" s="728">
        <v>826</v>
      </c>
      <c r="I12" s="728">
        <f>3!E330</f>
        <v>166</v>
      </c>
      <c r="J12" s="728">
        <f>H12-I12</f>
        <v>660</v>
      </c>
      <c r="K12" s="1641">
        <v>160</v>
      </c>
    </row>
    <row r="13" spans="1:11" ht="18.75" customHeight="1">
      <c r="A13" s="2132"/>
      <c r="B13" s="1608"/>
      <c r="C13" s="729" t="s">
        <v>953</v>
      </c>
      <c r="D13" s="717" t="s">
        <v>952</v>
      </c>
      <c r="E13" s="730" t="s">
        <v>950</v>
      </c>
      <c r="F13" s="731">
        <v>2011</v>
      </c>
      <c r="G13" s="732">
        <v>167</v>
      </c>
      <c r="H13" s="732">
        <v>15</v>
      </c>
      <c r="I13" s="728">
        <v>15</v>
      </c>
      <c r="J13" s="732">
        <v>0</v>
      </c>
      <c r="K13" s="1642">
        <v>0</v>
      </c>
    </row>
    <row r="14" spans="1:11" ht="16.5" customHeight="1">
      <c r="A14" s="2132"/>
      <c r="B14" s="1608" t="s">
        <v>316</v>
      </c>
      <c r="C14" s="717" t="s">
        <v>954</v>
      </c>
      <c r="D14" s="717" t="s">
        <v>949</v>
      </c>
      <c r="E14" s="715" t="s">
        <v>950</v>
      </c>
      <c r="F14" s="727" t="s">
        <v>950</v>
      </c>
      <c r="G14" s="728">
        <v>2467</v>
      </c>
      <c r="H14" s="728">
        <v>2170</v>
      </c>
      <c r="I14" s="728">
        <v>106</v>
      </c>
      <c r="J14" s="728">
        <f>H14-I14</f>
        <v>2064</v>
      </c>
      <c r="K14" s="1641">
        <v>110</v>
      </c>
    </row>
    <row r="15" spans="1:11" ht="27" customHeight="1" thickBot="1">
      <c r="A15" s="2132"/>
      <c r="B15" s="1608" t="s">
        <v>318</v>
      </c>
      <c r="C15" s="717" t="s">
        <v>955</v>
      </c>
      <c r="D15" s="714" t="s">
        <v>956</v>
      </c>
      <c r="E15" s="715" t="s">
        <v>950</v>
      </c>
      <c r="F15" s="727" t="s">
        <v>950</v>
      </c>
      <c r="G15" s="728">
        <v>20243</v>
      </c>
      <c r="H15" s="728">
        <v>13767</v>
      </c>
      <c r="I15" s="728">
        <v>2541</v>
      </c>
      <c r="J15" s="728">
        <f>H15-I15</f>
        <v>11226</v>
      </c>
      <c r="K15" s="1641">
        <v>1521</v>
      </c>
    </row>
    <row r="16" spans="1:11" ht="15" customHeight="1" thickBot="1">
      <c r="A16" s="2133"/>
      <c r="B16" s="1609"/>
      <c r="C16" s="2134" t="s">
        <v>931</v>
      </c>
      <c r="D16" s="2135"/>
      <c r="E16" s="718"/>
      <c r="F16" s="718"/>
      <c r="G16" s="718">
        <f>G11+G12+G14+G15</f>
        <v>27963</v>
      </c>
      <c r="H16" s="718">
        <f>H11+H12+H14+H15</f>
        <v>20564</v>
      </c>
      <c r="I16" s="718">
        <f>I11+I12+I14+I15</f>
        <v>3336</v>
      </c>
      <c r="J16" s="718">
        <f>J11+J12+J14+J15</f>
        <v>17228</v>
      </c>
      <c r="K16" s="719">
        <f>K11+K12+K14+K15</f>
        <v>2314</v>
      </c>
    </row>
    <row r="17" spans="2:11" ht="13.5" thickBot="1">
      <c r="B17" s="1606"/>
      <c r="C17" s="733" t="s">
        <v>959</v>
      </c>
      <c r="D17" s="709"/>
      <c r="E17" s="709"/>
      <c r="F17" s="709"/>
      <c r="G17" s="709"/>
      <c r="H17" s="709"/>
      <c r="I17" s="734"/>
      <c r="J17" s="709"/>
      <c r="K17" s="1638"/>
    </row>
    <row r="18" spans="1:11" s="1604" customFormat="1" ht="12.75">
      <c r="A18" s="1614"/>
      <c r="B18" s="2136"/>
      <c r="C18" s="2138" t="s">
        <v>254</v>
      </c>
      <c r="D18" s="2140" t="s">
        <v>255</v>
      </c>
      <c r="E18" s="2140" t="s">
        <v>256</v>
      </c>
      <c r="F18" s="2157" t="s">
        <v>257</v>
      </c>
      <c r="G18" s="2157"/>
      <c r="H18" s="2157"/>
      <c r="I18" s="2157"/>
      <c r="J18" s="2158"/>
      <c r="K18" s="2155" t="s">
        <v>311</v>
      </c>
    </row>
    <row r="19" spans="1:11" s="1604" customFormat="1" ht="48" customHeight="1">
      <c r="A19" s="1614"/>
      <c r="B19" s="2137"/>
      <c r="C19" s="2139"/>
      <c r="D19" s="2141"/>
      <c r="E19" s="2141"/>
      <c r="F19" s="1605" t="s">
        <v>1177</v>
      </c>
      <c r="G19" s="1605" t="s">
        <v>1178</v>
      </c>
      <c r="H19" s="1605" t="s">
        <v>1179</v>
      </c>
      <c r="I19" s="2159" t="s">
        <v>267</v>
      </c>
      <c r="J19" s="2160"/>
      <c r="K19" s="2156"/>
    </row>
    <row r="20" spans="2:11" ht="23.25" customHeight="1">
      <c r="B20" s="2144" t="s">
        <v>259</v>
      </c>
      <c r="C20" s="1613" t="s">
        <v>261</v>
      </c>
      <c r="D20" s="1481">
        <v>978</v>
      </c>
      <c r="E20" s="1648">
        <v>978</v>
      </c>
      <c r="F20" s="1481">
        <v>978</v>
      </c>
      <c r="G20" s="1481">
        <v>978</v>
      </c>
      <c r="H20" s="1481">
        <v>978</v>
      </c>
      <c r="I20" s="2149">
        <f>978+10267</f>
        <v>11245</v>
      </c>
      <c r="J20" s="2150"/>
      <c r="K20" s="1644">
        <f>SUM(E20:J20)</f>
        <v>15157</v>
      </c>
    </row>
    <row r="21" spans="2:11" ht="24.75" customHeight="1">
      <c r="B21" s="2145"/>
      <c r="C21" s="1613" t="s">
        <v>262</v>
      </c>
      <c r="D21" s="1481">
        <v>518</v>
      </c>
      <c r="E21" s="1648">
        <v>551</v>
      </c>
      <c r="F21" s="1481">
        <v>604</v>
      </c>
      <c r="G21" s="1481">
        <v>642</v>
      </c>
      <c r="H21" s="1481">
        <v>652</v>
      </c>
      <c r="I21" s="2153">
        <f>598+2238</f>
        <v>2836</v>
      </c>
      <c r="J21" s="2154"/>
      <c r="K21" s="1644">
        <f>SUM(E21:J21)</f>
        <v>5285</v>
      </c>
    </row>
    <row r="22" spans="2:11" ht="23.25" customHeight="1">
      <c r="B22" s="2146" t="s">
        <v>260</v>
      </c>
      <c r="C22" s="1613" t="s">
        <v>263</v>
      </c>
      <c r="D22" s="1481">
        <v>0</v>
      </c>
      <c r="E22" s="1648">
        <v>0</v>
      </c>
      <c r="F22" s="1481">
        <v>0</v>
      </c>
      <c r="G22" s="1481">
        <v>28500</v>
      </c>
      <c r="H22" s="1481">
        <v>57000</v>
      </c>
      <c r="I22" s="2153">
        <f>57000+741000</f>
        <v>798000</v>
      </c>
      <c r="J22" s="2154"/>
      <c r="K22" s="1644">
        <f>SUM(E22:J22)</f>
        <v>883500</v>
      </c>
    </row>
    <row r="23" spans="2:11" ht="23.25" customHeight="1">
      <c r="B23" s="2145"/>
      <c r="C23" s="1613" t="s">
        <v>264</v>
      </c>
      <c r="D23" s="1481">
        <v>28595</v>
      </c>
      <c r="E23" s="1648">
        <v>21060</v>
      </c>
      <c r="F23" s="1481">
        <v>27803</v>
      </c>
      <c r="G23" s="1481">
        <v>32594</v>
      </c>
      <c r="H23" s="1481">
        <v>35369</v>
      </c>
      <c r="I23" s="2149">
        <f>37060+481780</f>
        <v>518840</v>
      </c>
      <c r="J23" s="2150"/>
      <c r="K23" s="1644">
        <f>SUM(E23:J23)</f>
        <v>635666</v>
      </c>
    </row>
    <row r="24" spans="1:11" s="1603" customFormat="1" ht="13.5" thickBot="1">
      <c r="A24" s="1634"/>
      <c r="B24" s="2147" t="s">
        <v>311</v>
      </c>
      <c r="C24" s="2148"/>
      <c r="D24" s="1645">
        <f>SUM(D20:D23)</f>
        <v>30091</v>
      </c>
      <c r="E24" s="1645">
        <f>SUM(E20:E23)</f>
        <v>22589</v>
      </c>
      <c r="F24" s="1646">
        <f>SUM(F20:F23)</f>
        <v>29385</v>
      </c>
      <c r="G24" s="1646">
        <f>SUM(G20:G23)</f>
        <v>62714</v>
      </c>
      <c r="H24" s="1646">
        <f>SUM(H20:H23)</f>
        <v>93999</v>
      </c>
      <c r="I24" s="2151">
        <f>SUM(I20:J23)</f>
        <v>1330921</v>
      </c>
      <c r="J24" s="2152"/>
      <c r="K24" s="1647">
        <f>SUM(K20:K23)</f>
        <v>1539608</v>
      </c>
    </row>
    <row r="25" spans="1:11" s="1604" customFormat="1" ht="13.5" thickBot="1">
      <c r="A25" s="1614"/>
      <c r="B25" s="1611" t="s">
        <v>314</v>
      </c>
      <c r="C25" s="1635" t="s">
        <v>277</v>
      </c>
      <c r="D25" s="1636">
        <f>3!D113+3!E117+3!D125+3!D41+3!D94</f>
        <v>496589</v>
      </c>
      <c r="E25" s="1650">
        <f>3!D114+3!E118+3!D126+3!D95+3!E95+3!D42</f>
        <v>585837</v>
      </c>
      <c r="F25" s="1637">
        <v>583304</v>
      </c>
      <c r="G25" s="1637">
        <v>582985</v>
      </c>
      <c r="H25" s="1637">
        <v>584185</v>
      </c>
      <c r="I25" s="2142">
        <f>585421+7610473</f>
        <v>8195894</v>
      </c>
      <c r="J25" s="2143"/>
      <c r="K25" s="1649">
        <f>I25+H25+G25+F25+E25</f>
        <v>10532205</v>
      </c>
    </row>
  </sheetData>
  <sheetProtection/>
  <mergeCells count="21">
    <mergeCell ref="I20:J20"/>
    <mergeCell ref="I25:J25"/>
    <mergeCell ref="B20:B21"/>
    <mergeCell ref="B22:B23"/>
    <mergeCell ref="B24:C24"/>
    <mergeCell ref="E18:E19"/>
    <mergeCell ref="I23:J23"/>
    <mergeCell ref="I24:J24"/>
    <mergeCell ref="I21:J21"/>
    <mergeCell ref="I22:J22"/>
    <mergeCell ref="F18:J18"/>
    <mergeCell ref="G4:K4"/>
    <mergeCell ref="A5:A9"/>
    <mergeCell ref="A11:A16"/>
    <mergeCell ref="C9:D9"/>
    <mergeCell ref="C16:D16"/>
    <mergeCell ref="B18:B19"/>
    <mergeCell ref="C18:C19"/>
    <mergeCell ref="D18:D19"/>
    <mergeCell ref="K18:K19"/>
    <mergeCell ref="I19:J19"/>
  </mergeCells>
  <printOptions horizontalCentered="1" verticalCentered="1"/>
  <pageMargins left="0.3937007874015748" right="0.1968503937007874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S2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3.625" style="0" customWidth="1"/>
    <col min="2" max="2" width="22.125" style="0" customWidth="1"/>
    <col min="3" max="3" width="7.375" style="0" customWidth="1"/>
    <col min="4" max="4" width="6.875" style="0" customWidth="1"/>
    <col min="5" max="5" width="7.00390625" style="0" customWidth="1"/>
    <col min="6" max="7" width="7.75390625" style="0" customWidth="1"/>
    <col min="8" max="9" width="6.625" style="0" customWidth="1"/>
    <col min="10" max="10" width="6.375" style="0" customWidth="1"/>
    <col min="11" max="11" width="6.125" style="0" customWidth="1"/>
    <col min="12" max="12" width="6.625" style="0" customWidth="1"/>
    <col min="13" max="13" width="6.75390625" style="0" customWidth="1"/>
    <col min="14" max="14" width="5.75390625" style="0" customWidth="1"/>
    <col min="15" max="15" width="6.25390625" style="0" customWidth="1"/>
    <col min="16" max="16" width="6.625" style="0" customWidth="1"/>
    <col min="17" max="17" width="6.75390625" style="0" customWidth="1"/>
    <col min="18" max="18" width="5.75390625" style="0" customWidth="1"/>
    <col min="19" max="19" width="5.125" style="0" customWidth="1"/>
  </cols>
  <sheetData>
    <row r="3" ht="12.75">
      <c r="Q3" s="735" t="s">
        <v>458</v>
      </c>
    </row>
    <row r="4" ht="2.25" customHeight="1" thickBot="1"/>
    <row r="5" spans="1:19" s="741" customFormat="1" ht="20.25" customHeight="1">
      <c r="A5" s="1723" t="s">
        <v>433</v>
      </c>
      <c r="B5" s="736" t="s">
        <v>437</v>
      </c>
      <c r="C5" s="2161" t="s">
        <v>960</v>
      </c>
      <c r="D5" s="2162"/>
      <c r="E5" s="2163"/>
      <c r="F5" s="2161" t="s">
        <v>961</v>
      </c>
      <c r="G5" s="2162"/>
      <c r="H5" s="2167"/>
      <c r="I5" s="2172" t="s">
        <v>962</v>
      </c>
      <c r="J5" s="737" t="s">
        <v>438</v>
      </c>
      <c r="K5" s="739" t="s">
        <v>575</v>
      </c>
      <c r="L5" s="738" t="s">
        <v>439</v>
      </c>
      <c r="M5" s="738" t="s">
        <v>440</v>
      </c>
      <c r="N5" s="2175" t="s">
        <v>484</v>
      </c>
      <c r="O5" s="2164" t="s">
        <v>964</v>
      </c>
      <c r="P5" s="738" t="s">
        <v>441</v>
      </c>
      <c r="Q5" s="739" t="s">
        <v>965</v>
      </c>
      <c r="R5" s="740"/>
      <c r="S5" s="1724"/>
    </row>
    <row r="6" spans="1:19" s="741" customFormat="1" ht="19.5" customHeight="1">
      <c r="A6" s="1725" t="s">
        <v>443</v>
      </c>
      <c r="B6" s="742" t="s">
        <v>444</v>
      </c>
      <c r="C6" s="2168" t="s">
        <v>695</v>
      </c>
      <c r="D6" s="2168" t="s">
        <v>628</v>
      </c>
      <c r="E6" s="2168" t="s">
        <v>966</v>
      </c>
      <c r="F6" s="2168" t="s">
        <v>695</v>
      </c>
      <c r="G6" s="2168" t="s">
        <v>628</v>
      </c>
      <c r="H6" s="2170" t="s">
        <v>967</v>
      </c>
      <c r="I6" s="2173"/>
      <c r="J6" s="744" t="s">
        <v>886</v>
      </c>
      <c r="K6" s="745" t="s">
        <v>446</v>
      </c>
      <c r="L6" s="745" t="s">
        <v>447</v>
      </c>
      <c r="M6" s="745" t="s">
        <v>448</v>
      </c>
      <c r="N6" s="2176"/>
      <c r="O6" s="2165"/>
      <c r="P6" s="745" t="s">
        <v>450</v>
      </c>
      <c r="Q6" s="743" t="s">
        <v>449</v>
      </c>
      <c r="R6" s="746" t="s">
        <v>968</v>
      </c>
      <c r="S6" s="1724"/>
    </row>
    <row r="7" spans="1:19" s="741" customFormat="1" ht="13.5" customHeight="1" thickBot="1">
      <c r="A7" s="1726" t="s">
        <v>452</v>
      </c>
      <c r="B7" s="747"/>
      <c r="C7" s="2169"/>
      <c r="D7" s="2169"/>
      <c r="E7" s="2169"/>
      <c r="F7" s="2169"/>
      <c r="G7" s="2169"/>
      <c r="H7" s="2171"/>
      <c r="I7" s="2174"/>
      <c r="J7" s="748" t="s">
        <v>465</v>
      </c>
      <c r="K7" s="749" t="s">
        <v>453</v>
      </c>
      <c r="L7" s="749"/>
      <c r="M7" s="749" t="s">
        <v>454</v>
      </c>
      <c r="N7" s="2177"/>
      <c r="O7" s="2166"/>
      <c r="P7" s="749" t="s">
        <v>455</v>
      </c>
      <c r="Q7" s="749" t="s">
        <v>969</v>
      </c>
      <c r="R7" s="750"/>
      <c r="S7" s="1724"/>
    </row>
    <row r="8" spans="1:19" s="752" customFormat="1" ht="12.75" customHeight="1">
      <c r="A8" s="1727" t="s">
        <v>312</v>
      </c>
      <c r="B8" s="751" t="s">
        <v>489</v>
      </c>
      <c r="C8" s="1547">
        <f>'4 '!C9+'4 '!D9+'4 '!E9+'4 '!J9+'4 '!K9+'4 '!I9</f>
        <v>46507</v>
      </c>
      <c r="D8" s="1547">
        <f>'4 '!C10+'4 '!E10+'4 '!I10</f>
        <v>46507</v>
      </c>
      <c r="E8" s="1547">
        <f aca="true" t="shared" si="0" ref="E8:E14">D8-C8</f>
        <v>0</v>
      </c>
      <c r="F8" s="1547">
        <f>5!N10</f>
        <v>46507</v>
      </c>
      <c r="G8" s="1547">
        <f>5!N11</f>
        <v>46507</v>
      </c>
      <c r="H8" s="1718">
        <f aca="true" t="shared" si="1" ref="H8:H14">F8-G8</f>
        <v>0</v>
      </c>
      <c r="I8" s="1719">
        <f aca="true" t="shared" si="2" ref="I8:I15">H8+E8</f>
        <v>0</v>
      </c>
      <c r="J8" s="1546">
        <f>5!D10-5!D11</f>
        <v>5</v>
      </c>
      <c r="K8" s="1546">
        <f>5!E10-5!E11</f>
        <v>1</v>
      </c>
      <c r="L8" s="1546">
        <f>5!F10-5!F11</f>
        <v>-6</v>
      </c>
      <c r="M8" s="1547">
        <f>'[3](5)'!G19-'[3](5)'!G20</f>
        <v>0</v>
      </c>
      <c r="N8" s="1547">
        <f>'[3](5)'!H19-'[3](5)'!H20</f>
        <v>0</v>
      </c>
      <c r="O8" s="1547">
        <v>0</v>
      </c>
      <c r="P8" s="1547">
        <f>'[2]5'!K9-'[2]5'!K10</f>
        <v>0</v>
      </c>
      <c r="Q8" s="1547">
        <f>'[2]5'!L9-'[2]5'!L10</f>
        <v>0</v>
      </c>
      <c r="R8" s="1548">
        <v>0</v>
      </c>
      <c r="S8" s="1728"/>
    </row>
    <row r="9" spans="1:19" s="755" customFormat="1" ht="24" customHeight="1">
      <c r="A9" s="1729" t="s">
        <v>314</v>
      </c>
      <c r="B9" s="756" t="s">
        <v>44</v>
      </c>
      <c r="C9" s="1549">
        <f>'4 '!C13+'4 '!E13+'4 '!J13+'4 '!I13</f>
        <v>63905</v>
      </c>
      <c r="D9" s="1549">
        <f>'4 '!C14+'4 '!E14+'4 '!J14+'4 '!I14</f>
        <v>65660</v>
      </c>
      <c r="E9" s="1549">
        <f t="shared" si="0"/>
        <v>1755</v>
      </c>
      <c r="F9" s="1549">
        <f>5!N14</f>
        <v>63905</v>
      </c>
      <c r="G9" s="1549">
        <f>5!N15</f>
        <v>59351</v>
      </c>
      <c r="H9" s="1550">
        <f t="shared" si="1"/>
        <v>4554</v>
      </c>
      <c r="I9" s="1720">
        <f t="shared" si="2"/>
        <v>6309</v>
      </c>
      <c r="J9" s="1551">
        <f>5!D14-5!D15</f>
        <v>1260</v>
      </c>
      <c r="K9" s="1551">
        <f>5!E14-5!E15</f>
        <v>458</v>
      </c>
      <c r="L9" s="1551">
        <f>5!F14-5!F15</f>
        <v>2836</v>
      </c>
      <c r="M9" s="1549">
        <v>0</v>
      </c>
      <c r="N9" s="1549">
        <v>0</v>
      </c>
      <c r="O9" s="1549">
        <v>0</v>
      </c>
      <c r="P9" s="1549">
        <f>5!K14-5!K15</f>
        <v>0</v>
      </c>
      <c r="Q9" s="1549">
        <f>'[2]5'!L13-'[2]5'!L14</f>
        <v>0</v>
      </c>
      <c r="R9" s="1550">
        <v>0</v>
      </c>
      <c r="S9" s="1730"/>
    </row>
    <row r="10" spans="1:19" s="755" customFormat="1" ht="24" customHeight="1">
      <c r="A10" s="1729" t="s">
        <v>316</v>
      </c>
      <c r="B10" s="756" t="s">
        <v>522</v>
      </c>
      <c r="C10" s="1549">
        <f>'4 '!C17+'4 '!J17+'4 '!I17</f>
        <v>103226</v>
      </c>
      <c r="D10" s="1549">
        <f>'4 '!C18+'4 '!J18+'4 '!I18</f>
        <v>103415</v>
      </c>
      <c r="E10" s="1549">
        <f t="shared" si="0"/>
        <v>189</v>
      </c>
      <c r="F10" s="1549">
        <f>5!N18</f>
        <v>103226</v>
      </c>
      <c r="G10" s="1549">
        <f>5!N19</f>
        <v>94872</v>
      </c>
      <c r="H10" s="1550">
        <f t="shared" si="1"/>
        <v>8354</v>
      </c>
      <c r="I10" s="1720">
        <f t="shared" si="2"/>
        <v>8543</v>
      </c>
      <c r="J10" s="1551">
        <f>5!D18-5!D19</f>
        <v>5035</v>
      </c>
      <c r="K10" s="1551">
        <f>5!E18-5!E19</f>
        <v>990</v>
      </c>
      <c r="L10" s="1551">
        <f>5!F18-5!F19</f>
        <v>2329</v>
      </c>
      <c r="M10" s="1549">
        <v>0</v>
      </c>
      <c r="N10" s="1549">
        <v>0</v>
      </c>
      <c r="O10" s="1549">
        <v>0</v>
      </c>
      <c r="P10" s="1549">
        <f>'[2]5'!K17-'[2]5'!K18</f>
        <v>0</v>
      </c>
      <c r="Q10" s="1549">
        <f>'[2]5'!L17-'[2]5'!L18</f>
        <v>0</v>
      </c>
      <c r="R10" s="1550">
        <v>0</v>
      </c>
      <c r="S10" s="1730"/>
    </row>
    <row r="11" spans="1:19" s="755" customFormat="1" ht="12.75" customHeight="1">
      <c r="A11" s="1729" t="s">
        <v>318</v>
      </c>
      <c r="B11" s="754" t="s">
        <v>518</v>
      </c>
      <c r="C11" s="1549">
        <f>'4 '!C21+'4 '!E21+'4 '!J21+'4 '!K21+'4 '!I21</f>
        <v>23311</v>
      </c>
      <c r="D11" s="1549">
        <f>'4 '!C22+'4 '!E22+'4 '!J22+'4 '!I22</f>
        <v>23063</v>
      </c>
      <c r="E11" s="1549">
        <f t="shared" si="0"/>
        <v>-248</v>
      </c>
      <c r="F11" s="1549">
        <f>5!N22</f>
        <v>23311</v>
      </c>
      <c r="G11" s="1549">
        <f>5!N23</f>
        <v>21235</v>
      </c>
      <c r="H11" s="1550">
        <f t="shared" si="1"/>
        <v>2076</v>
      </c>
      <c r="I11" s="1720">
        <f t="shared" si="2"/>
        <v>1828</v>
      </c>
      <c r="J11" s="1551">
        <f>5!D22-5!D23</f>
        <v>679</v>
      </c>
      <c r="K11" s="1551">
        <f>5!E22-5!E23</f>
        <v>185</v>
      </c>
      <c r="L11" s="1551">
        <f>5!F22-5!F23</f>
        <v>1212</v>
      </c>
      <c r="M11" s="1549">
        <v>0</v>
      </c>
      <c r="N11" s="1549">
        <v>0</v>
      </c>
      <c r="O11" s="1549">
        <v>0</v>
      </c>
      <c r="P11" s="1549">
        <f>'[2]5'!K21-'[2]5'!K22</f>
        <v>0</v>
      </c>
      <c r="Q11" s="1549">
        <f>'[2]5'!L21-'[2]5'!L22</f>
        <v>0</v>
      </c>
      <c r="R11" s="1550">
        <v>0</v>
      </c>
      <c r="S11" s="1730"/>
    </row>
    <row r="12" spans="1:19" s="755" customFormat="1" ht="12.75" customHeight="1">
      <c r="A12" s="1729" t="s">
        <v>320</v>
      </c>
      <c r="B12" s="754" t="s">
        <v>970</v>
      </c>
      <c r="C12" s="1549">
        <f>'4 '!C25+'4 '!E25+'4 '!J25+'4 '!K25+'4 '!I25</f>
        <v>29740</v>
      </c>
      <c r="D12" s="1549">
        <f>'4 '!C26+'4 '!E26+'4 '!J26+'4 '!K26+'4 '!I26</f>
        <v>29689</v>
      </c>
      <c r="E12" s="1549">
        <f t="shared" si="0"/>
        <v>-51</v>
      </c>
      <c r="F12" s="1549">
        <f>5!N26</f>
        <v>29740</v>
      </c>
      <c r="G12" s="1549">
        <f>5!N27</f>
        <v>28538</v>
      </c>
      <c r="H12" s="1550">
        <f t="shared" si="1"/>
        <v>1202</v>
      </c>
      <c r="I12" s="1720">
        <f t="shared" si="2"/>
        <v>1151</v>
      </c>
      <c r="J12" s="1551">
        <f>5!D26-5!D27</f>
        <v>534</v>
      </c>
      <c r="K12" s="1551">
        <f>5!E26-5!E27</f>
        <v>180</v>
      </c>
      <c r="L12" s="1551">
        <f>5!F26-5!F27</f>
        <v>488</v>
      </c>
      <c r="M12" s="1549">
        <v>0</v>
      </c>
      <c r="N12" s="1549">
        <v>0</v>
      </c>
      <c r="O12" s="1549">
        <v>0</v>
      </c>
      <c r="P12" s="1549">
        <f>'[2]5'!K25-'[2]5'!K26</f>
        <v>0</v>
      </c>
      <c r="Q12" s="1549">
        <f>'[2]5'!L25-'[2]5'!L26</f>
        <v>0</v>
      </c>
      <c r="R12" s="1550">
        <v>0</v>
      </c>
      <c r="S12" s="1730"/>
    </row>
    <row r="13" spans="1:19" s="755" customFormat="1" ht="18" customHeight="1">
      <c r="A13" s="1729" t="s">
        <v>322</v>
      </c>
      <c r="B13" s="756" t="s">
        <v>556</v>
      </c>
      <c r="C13" s="1549">
        <f>'4 '!C29+'4 '!D29+'4 '!E29+'4 '!J29+'4 '!K29+'4 '!I29</f>
        <v>24689</v>
      </c>
      <c r="D13" s="1549">
        <f>'4 '!C30+'4 '!D30+'4 '!E30+'4 '!J30+'4 '!K30+'4 '!I30</f>
        <v>25774</v>
      </c>
      <c r="E13" s="1549">
        <f t="shared" si="0"/>
        <v>1085</v>
      </c>
      <c r="F13" s="1549">
        <f>5!N30</f>
        <v>24689</v>
      </c>
      <c r="G13" s="1549">
        <f>5!N31</f>
        <v>22870</v>
      </c>
      <c r="H13" s="1550">
        <f t="shared" si="1"/>
        <v>1819</v>
      </c>
      <c r="I13" s="1720">
        <f>H13+E13</f>
        <v>2904</v>
      </c>
      <c r="J13" s="1551">
        <f>5!D30-5!D31</f>
        <v>257</v>
      </c>
      <c r="K13" s="1551">
        <f>5!E30-5!E31</f>
        <v>119</v>
      </c>
      <c r="L13" s="1551">
        <f>5!F30-5!F31</f>
        <v>1043</v>
      </c>
      <c r="M13" s="1549">
        <v>0</v>
      </c>
      <c r="N13" s="1549">
        <v>0</v>
      </c>
      <c r="O13" s="1549">
        <v>0</v>
      </c>
      <c r="P13" s="1549">
        <f>5!K30-5!K31</f>
        <v>400</v>
      </c>
      <c r="Q13" s="1549">
        <f>'[2]5'!L29-'[2]5'!L30</f>
        <v>0</v>
      </c>
      <c r="R13" s="1550">
        <v>0</v>
      </c>
      <c r="S13" s="1730"/>
    </row>
    <row r="14" spans="1:19" s="755" customFormat="1" ht="19.5" customHeight="1" thickBot="1">
      <c r="A14" s="1729" t="s">
        <v>346</v>
      </c>
      <c r="B14" s="756" t="s">
        <v>971</v>
      </c>
      <c r="C14" s="1721">
        <f>'4 '!C33+'4 '!E33+'4 '!J33+'4 '!K33+'4 '!I33</f>
        <v>218609</v>
      </c>
      <c r="D14" s="1549">
        <f>'4 '!C34+'4 '!E34+'4 '!J34+'4 '!K34+'4 '!I34</f>
        <v>218747</v>
      </c>
      <c r="E14" s="1549">
        <f t="shared" si="0"/>
        <v>138</v>
      </c>
      <c r="F14" s="1549">
        <f>5!N34</f>
        <v>218609</v>
      </c>
      <c r="G14" s="1549">
        <f>5!N35</f>
        <v>215826</v>
      </c>
      <c r="H14" s="1550">
        <f t="shared" si="1"/>
        <v>2783</v>
      </c>
      <c r="I14" s="1720">
        <f t="shared" si="2"/>
        <v>2921</v>
      </c>
      <c r="J14" s="1551">
        <f>5!D34-5!D35</f>
        <v>1395</v>
      </c>
      <c r="K14" s="1551">
        <f>5!E34-5!E35</f>
        <v>539</v>
      </c>
      <c r="L14" s="1551">
        <f>5!F34-5!F35</f>
        <v>798</v>
      </c>
      <c r="M14" s="1549">
        <v>0</v>
      </c>
      <c r="N14" s="1549">
        <v>0</v>
      </c>
      <c r="O14" s="1549">
        <v>0</v>
      </c>
      <c r="P14" s="1549">
        <f>5!K34-5!K35</f>
        <v>51</v>
      </c>
      <c r="Q14" s="1549">
        <f>'[2]5'!L33-'[2]5'!L34</f>
        <v>0</v>
      </c>
      <c r="R14" s="1550">
        <v>0</v>
      </c>
      <c r="S14" s="1730"/>
    </row>
    <row r="15" spans="1:19" s="757" customFormat="1" ht="16.5" customHeight="1" thickBot="1">
      <c r="A15" s="2184" t="s">
        <v>585</v>
      </c>
      <c r="B15" s="2185"/>
      <c r="C15" s="1552">
        <f aca="true" t="shared" si="3" ref="C15:H15">SUM(C8:C14)</f>
        <v>509987</v>
      </c>
      <c r="D15" s="1552">
        <f t="shared" si="3"/>
        <v>512855</v>
      </c>
      <c r="E15" s="1552">
        <f t="shared" si="3"/>
        <v>2868</v>
      </c>
      <c r="F15" s="1552">
        <f t="shared" si="3"/>
        <v>509987</v>
      </c>
      <c r="G15" s="1552">
        <f t="shared" si="3"/>
        <v>489199</v>
      </c>
      <c r="H15" s="1552">
        <f t="shared" si="3"/>
        <v>20788</v>
      </c>
      <c r="I15" s="1722">
        <f t="shared" si="2"/>
        <v>23656</v>
      </c>
      <c r="J15" s="1552">
        <f aca="true" t="shared" si="4" ref="J15:R15">SUM(J8:J14)</f>
        <v>9165</v>
      </c>
      <c r="K15" s="1552">
        <f t="shared" si="4"/>
        <v>2472</v>
      </c>
      <c r="L15" s="1552">
        <f t="shared" si="4"/>
        <v>8700</v>
      </c>
      <c r="M15" s="1552">
        <f t="shared" si="4"/>
        <v>0</v>
      </c>
      <c r="N15" s="1552">
        <f t="shared" si="4"/>
        <v>0</v>
      </c>
      <c r="O15" s="1552">
        <f t="shared" si="4"/>
        <v>0</v>
      </c>
      <c r="P15" s="1552">
        <f t="shared" si="4"/>
        <v>451</v>
      </c>
      <c r="Q15" s="1552">
        <f t="shared" si="4"/>
        <v>0</v>
      </c>
      <c r="R15" s="1553">
        <f t="shared" si="4"/>
        <v>0</v>
      </c>
      <c r="S15" s="1730" t="s">
        <v>465</v>
      </c>
    </row>
    <row r="16" spans="1:19" ht="6" customHeight="1">
      <c r="A16" s="2180"/>
      <c r="B16" s="2181"/>
      <c r="C16" s="1731"/>
      <c r="D16" s="1731"/>
      <c r="E16" s="1731"/>
      <c r="F16" s="1731"/>
      <c r="G16" s="1731"/>
      <c r="H16" s="1732"/>
      <c r="I16" s="1733"/>
      <c r="J16" s="1734"/>
      <c r="K16" s="1731"/>
      <c r="L16" s="1731"/>
      <c r="M16" s="1731"/>
      <c r="N16" s="1731"/>
      <c r="O16" s="1731"/>
      <c r="P16" s="1731"/>
      <c r="Q16" s="1731"/>
      <c r="R16" s="1735"/>
      <c r="S16" s="1743"/>
    </row>
    <row r="17" spans="1:19" ht="16.5" customHeight="1" thickBot="1">
      <c r="A17" s="2182" t="s">
        <v>872</v>
      </c>
      <c r="B17" s="2183"/>
      <c r="C17" s="1736">
        <f>3!F572</f>
        <v>3888593</v>
      </c>
      <c r="D17" s="1736">
        <f>3!F573</f>
        <v>2094667</v>
      </c>
      <c r="E17" s="1736">
        <f>D17-C17</f>
        <v>-1793926</v>
      </c>
      <c r="F17" s="1736">
        <f>5!N667+5!N659+5!N663</f>
        <v>3888593</v>
      </c>
      <c r="G17" s="1736">
        <f>5!N668+5!N660+5!N664</f>
        <v>2051691</v>
      </c>
      <c r="H17" s="1737">
        <f>F17-G17</f>
        <v>1836902</v>
      </c>
      <c r="I17" s="1738">
        <f>E17+H17</f>
        <v>42976</v>
      </c>
      <c r="J17" s="1739">
        <f>5!D667-5!D668</f>
        <v>25433</v>
      </c>
      <c r="K17" s="1736">
        <f>5!E667-5!E668</f>
        <v>8876</v>
      </c>
      <c r="L17" s="1736">
        <f>5!F667-5!F668</f>
        <v>81619</v>
      </c>
      <c r="M17" s="1736">
        <f>'[3](5)'!G687-'[3](5)'!G688</f>
        <v>0</v>
      </c>
      <c r="N17" s="1736">
        <f>5!H667-5!H668</f>
        <v>52111</v>
      </c>
      <c r="O17" s="1736">
        <f>5!I667-5!I668</f>
        <v>8498</v>
      </c>
      <c r="P17" s="1736">
        <f>5!K667-5!K668</f>
        <v>1315384</v>
      </c>
      <c r="Q17" s="1736">
        <f>5!L667-5!L668</f>
        <v>29314</v>
      </c>
      <c r="R17" s="1740">
        <f>5!M667-5!M668</f>
        <v>315667</v>
      </c>
      <c r="S17" s="1744" t="s">
        <v>465</v>
      </c>
    </row>
    <row r="18" spans="1:19" ht="13.5" thickBot="1">
      <c r="A18" s="1745"/>
      <c r="B18" s="1745"/>
      <c r="C18" s="1746"/>
      <c r="D18" s="1746"/>
      <c r="E18" s="1746"/>
      <c r="F18" s="1746"/>
      <c r="G18" s="1746"/>
      <c r="H18" s="1746"/>
      <c r="I18" s="1746"/>
      <c r="J18" s="1746"/>
      <c r="K18" s="1746"/>
      <c r="L18" s="1746"/>
      <c r="M18" s="1746"/>
      <c r="N18" s="1746"/>
      <c r="O18" s="1746"/>
      <c r="P18" s="1746"/>
      <c r="Q18" s="1746"/>
      <c r="R18" s="1746"/>
      <c r="S18" s="1743"/>
    </row>
    <row r="19" spans="1:19" s="1689" customFormat="1" ht="16.5" customHeight="1" thickBot="1">
      <c r="A19" s="2178" t="s">
        <v>586</v>
      </c>
      <c r="B19" s="2179"/>
      <c r="C19" s="1741">
        <f>C15+C17</f>
        <v>4398580</v>
      </c>
      <c r="D19" s="1741">
        <f aca="true" t="shared" si="5" ref="D19:R19">D15+D17</f>
        <v>2607522</v>
      </c>
      <c r="E19" s="1741">
        <f t="shared" si="5"/>
        <v>-1791058</v>
      </c>
      <c r="F19" s="1741">
        <f t="shared" si="5"/>
        <v>4398580</v>
      </c>
      <c r="G19" s="1741">
        <f t="shared" si="5"/>
        <v>2540890</v>
      </c>
      <c r="H19" s="1741">
        <f t="shared" si="5"/>
        <v>1857690</v>
      </c>
      <c r="I19" s="1741">
        <f t="shared" si="5"/>
        <v>66632</v>
      </c>
      <c r="J19" s="1741">
        <f t="shared" si="5"/>
        <v>34598</v>
      </c>
      <c r="K19" s="1741">
        <f t="shared" si="5"/>
        <v>11348</v>
      </c>
      <c r="L19" s="1741">
        <f t="shared" si="5"/>
        <v>90319</v>
      </c>
      <c r="M19" s="1741">
        <f t="shared" si="5"/>
        <v>0</v>
      </c>
      <c r="N19" s="1741">
        <f t="shared" si="5"/>
        <v>52111</v>
      </c>
      <c r="O19" s="1741">
        <f t="shared" si="5"/>
        <v>8498</v>
      </c>
      <c r="P19" s="1741">
        <f t="shared" si="5"/>
        <v>1315835</v>
      </c>
      <c r="Q19" s="1741">
        <f t="shared" si="5"/>
        <v>29314</v>
      </c>
      <c r="R19" s="1742">
        <f t="shared" si="5"/>
        <v>315667</v>
      </c>
      <c r="S19" s="1743"/>
    </row>
    <row r="20" spans="1:19" ht="12.75">
      <c r="A20" s="1743"/>
      <c r="B20" s="1743"/>
      <c r="C20" s="1743"/>
      <c r="D20" s="1743"/>
      <c r="E20" s="1743"/>
      <c r="F20" s="1743"/>
      <c r="G20" s="1743"/>
      <c r="H20" s="1743"/>
      <c r="I20" s="1743" t="s">
        <v>465</v>
      </c>
      <c r="J20" s="1743"/>
      <c r="K20" s="1743"/>
      <c r="L20" s="1744" t="s">
        <v>465</v>
      </c>
      <c r="M20" s="1743"/>
      <c r="N20" s="1743"/>
      <c r="O20" s="1743"/>
      <c r="P20" s="1743"/>
      <c r="Q20" s="1743"/>
      <c r="R20" s="1743"/>
      <c r="S20" s="1743"/>
    </row>
    <row r="21" spans="1:19" ht="20.25" customHeight="1">
      <c r="A21" s="2186" t="s">
        <v>588</v>
      </c>
      <c r="B21" s="2187"/>
      <c r="C21" s="2187"/>
      <c r="D21" s="2187"/>
      <c r="E21" s="2187"/>
      <c r="F21" s="2187"/>
      <c r="G21" s="2187"/>
      <c r="H21" s="1769" t="s">
        <v>660</v>
      </c>
      <c r="I21" s="1747">
        <v>86358</v>
      </c>
      <c r="J21" s="1743"/>
      <c r="K21" s="1743"/>
      <c r="L21" s="1743"/>
      <c r="M21" s="1743"/>
      <c r="N21" s="1743"/>
      <c r="O21" s="1743"/>
      <c r="P21" s="1743"/>
      <c r="Q21" s="1743"/>
      <c r="R21" s="1743"/>
      <c r="S21" s="1743"/>
    </row>
    <row r="22" spans="1:19" ht="12.75">
      <c r="A22" s="2186" t="s">
        <v>589</v>
      </c>
      <c r="B22" s="2187"/>
      <c r="C22" s="2187"/>
      <c r="D22" s="2187"/>
      <c r="E22" s="2187"/>
      <c r="F22" s="2187"/>
      <c r="G22" s="2187"/>
      <c r="H22" s="1769" t="s">
        <v>669</v>
      </c>
      <c r="I22" s="1747">
        <v>-491</v>
      </c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</row>
    <row r="23" spans="1:19" ht="12.75">
      <c r="A23" s="2188" t="s">
        <v>590</v>
      </c>
      <c r="B23" s="2189"/>
      <c r="C23" s="2189"/>
      <c r="D23" s="2189"/>
      <c r="E23" s="2189"/>
      <c r="F23" s="2189"/>
      <c r="G23" s="2189"/>
      <c r="H23" s="1769" t="s">
        <v>596</v>
      </c>
      <c r="I23" s="1747">
        <f>11945-54</f>
        <v>11891</v>
      </c>
      <c r="J23" s="1743"/>
      <c r="K23" s="1743"/>
      <c r="L23" s="1743"/>
      <c r="M23" s="1743"/>
      <c r="N23" s="1743"/>
      <c r="O23" s="1743"/>
      <c r="P23" s="1743"/>
      <c r="Q23" s="1743"/>
      <c r="R23" s="1743"/>
      <c r="S23" s="1743"/>
    </row>
    <row r="24" spans="1:19" ht="12.75">
      <c r="A24" s="2188" t="s">
        <v>591</v>
      </c>
      <c r="B24" s="2189"/>
      <c r="C24" s="2189"/>
      <c r="D24" s="2189"/>
      <c r="E24" s="2189"/>
      <c r="F24" s="2189"/>
      <c r="G24" s="2189"/>
      <c r="H24" s="1769" t="s">
        <v>587</v>
      </c>
      <c r="I24" s="1748">
        <f>I19+I21+I22+I23</f>
        <v>164390</v>
      </c>
      <c r="J24" s="1743"/>
      <c r="K24" s="1743"/>
      <c r="L24" s="1743"/>
      <c r="M24" s="1743"/>
      <c r="N24" s="1743"/>
      <c r="O24" s="1743"/>
      <c r="P24" s="1743"/>
      <c r="Q24" s="1743"/>
      <c r="R24" s="1743"/>
      <c r="S24" s="1743"/>
    </row>
    <row r="25" spans="1:19" ht="12.75">
      <c r="A25" s="1743"/>
      <c r="B25" s="1743"/>
      <c r="C25" s="1743"/>
      <c r="D25" s="1743"/>
      <c r="E25" s="1743"/>
      <c r="F25" s="1743"/>
      <c r="G25" s="1743"/>
      <c r="H25" s="1743"/>
      <c r="I25" s="1743"/>
      <c r="J25" s="1743"/>
      <c r="K25" s="1743"/>
      <c r="L25" s="1743"/>
      <c r="M25" s="1743"/>
      <c r="N25" s="1743"/>
      <c r="O25" s="1743"/>
      <c r="P25" s="1743"/>
      <c r="Q25" s="1743"/>
      <c r="R25" s="1743"/>
      <c r="S25" s="1743"/>
    </row>
    <row r="26" spans="1:19" ht="12.75">
      <c r="A26" s="1743"/>
      <c r="B26" s="1743"/>
      <c r="C26" s="1743"/>
      <c r="D26" s="1743"/>
      <c r="E26" s="1743"/>
      <c r="F26" s="1743"/>
      <c r="G26" s="1743"/>
      <c r="H26" s="1743"/>
      <c r="I26" s="1743"/>
      <c r="J26" s="1743"/>
      <c r="K26" s="1743"/>
      <c r="L26" s="1743"/>
      <c r="M26" s="1743"/>
      <c r="N26" s="1743"/>
      <c r="O26" s="1743"/>
      <c r="P26" s="1743"/>
      <c r="Q26" s="1743"/>
      <c r="R26" s="1743"/>
      <c r="S26" s="1743"/>
    </row>
    <row r="27" spans="1:19" ht="12.75">
      <c r="A27" s="1743"/>
      <c r="B27" s="1743"/>
      <c r="C27" s="1743"/>
      <c r="D27" s="1743"/>
      <c r="E27" s="1743"/>
      <c r="F27" s="1743"/>
      <c r="G27" s="1743"/>
      <c r="H27" s="1743"/>
      <c r="I27" s="1743"/>
      <c r="J27" s="1743"/>
      <c r="K27" s="1743"/>
      <c r="L27" s="1743"/>
      <c r="M27" s="1743"/>
      <c r="N27" s="1743"/>
      <c r="O27" s="1743"/>
      <c r="P27" s="1743"/>
      <c r="Q27" s="1743"/>
      <c r="R27" s="1743"/>
      <c r="S27" s="1743"/>
    </row>
    <row r="28" spans="1:19" ht="12.75">
      <c r="A28" s="1743"/>
      <c r="B28" s="1743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</row>
    <row r="29" spans="1:19" ht="12.75">
      <c r="A29" s="1743"/>
      <c r="B29" s="1743"/>
      <c r="C29" s="1743"/>
      <c r="D29" s="1743"/>
      <c r="E29" s="1743"/>
      <c r="F29" s="1743"/>
      <c r="G29" s="1743"/>
      <c r="H29" s="1743"/>
      <c r="I29" s="1743"/>
      <c r="J29" s="1743"/>
      <c r="K29" s="1743"/>
      <c r="L29" s="1743"/>
      <c r="M29" s="1743"/>
      <c r="N29" s="1743"/>
      <c r="O29" s="1743"/>
      <c r="P29" s="1743"/>
      <c r="Q29" s="1743"/>
      <c r="R29" s="1743"/>
      <c r="S29" s="1743"/>
    </row>
  </sheetData>
  <sheetProtection/>
  <mergeCells count="19">
    <mergeCell ref="A21:G21"/>
    <mergeCell ref="A22:G22"/>
    <mergeCell ref="A23:G23"/>
    <mergeCell ref="A24:G24"/>
    <mergeCell ref="A19:B19"/>
    <mergeCell ref="C6:C7"/>
    <mergeCell ref="D6:D7"/>
    <mergeCell ref="E6:E7"/>
    <mergeCell ref="A16:B16"/>
    <mergeCell ref="A17:B17"/>
    <mergeCell ref="A15:B15"/>
    <mergeCell ref="C5:E5"/>
    <mergeCell ref="O5:O7"/>
    <mergeCell ref="F5:H5"/>
    <mergeCell ref="F6:F7"/>
    <mergeCell ref="G6:G7"/>
    <mergeCell ref="H6:H7"/>
    <mergeCell ref="I5:I7"/>
    <mergeCell ref="N5:N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zoomScalePageLayoutView="0" workbookViewId="0" topLeftCell="A1">
      <selection activeCell="H20" sqref="H20"/>
    </sheetView>
  </sheetViews>
  <sheetFormatPr defaultColWidth="9.00390625" defaultRowHeight="12.75" customHeight="1"/>
  <cols>
    <col min="1" max="1" width="4.00390625" style="141" customWidth="1"/>
    <col min="2" max="2" width="3.75390625" style="142" customWidth="1"/>
    <col min="3" max="3" width="35.00390625" style="143" customWidth="1"/>
    <col min="4" max="4" width="8.125" style="143" customWidth="1"/>
    <col min="5" max="5" width="8.375" style="143" customWidth="1"/>
    <col min="6" max="6" width="8.00390625" style="143" customWidth="1"/>
    <col min="7" max="7" width="6.625" style="143" customWidth="1"/>
    <col min="8" max="8" width="7.875" style="143" bestFit="1" customWidth="1"/>
    <col min="9" max="9" width="7.875" style="143" customWidth="1"/>
    <col min="10" max="10" width="9.375" style="144" bestFit="1" customWidth="1"/>
    <col min="11" max="11" width="8.625" style="143" bestFit="1" customWidth="1"/>
    <col min="12" max="12" width="9.25390625" style="143" customWidth="1"/>
    <col min="13" max="13" width="7.625" style="143" customWidth="1"/>
    <col min="14" max="14" width="9.75390625" style="144" customWidth="1"/>
    <col min="15" max="16384" width="9.125" style="142" customWidth="1"/>
  </cols>
  <sheetData>
    <row r="1" ht="12.75" customHeight="1">
      <c r="K1" s="1256"/>
    </row>
    <row r="4" ht="12.75" customHeight="1" thickBot="1">
      <c r="N4" s="144" t="s">
        <v>297</v>
      </c>
    </row>
    <row r="5" spans="1:14" s="146" customFormat="1" ht="19.5" customHeight="1">
      <c r="A5" s="2009" t="s">
        <v>433</v>
      </c>
      <c r="B5" s="2010"/>
      <c r="C5" s="145" t="s">
        <v>437</v>
      </c>
      <c r="D5" s="145" t="s">
        <v>438</v>
      </c>
      <c r="E5" s="145" t="s">
        <v>1291</v>
      </c>
      <c r="F5" s="145" t="s">
        <v>439</v>
      </c>
      <c r="G5" s="145" t="s">
        <v>440</v>
      </c>
      <c r="H5" s="2020" t="s">
        <v>885</v>
      </c>
      <c r="I5" s="2021"/>
      <c r="J5" s="145" t="s">
        <v>359</v>
      </c>
      <c r="K5" s="145" t="s">
        <v>441</v>
      </c>
      <c r="L5" s="218" t="s">
        <v>1292</v>
      </c>
      <c r="M5" s="145"/>
      <c r="N5" s="1309" t="s">
        <v>371</v>
      </c>
    </row>
    <row r="6" spans="1:14" s="146" customFormat="1" ht="12.75" customHeight="1">
      <c r="A6" s="2011" t="s">
        <v>443</v>
      </c>
      <c r="B6" s="2012"/>
      <c r="C6" s="147" t="s">
        <v>444</v>
      </c>
      <c r="D6" s="147" t="s">
        <v>886</v>
      </c>
      <c r="E6" s="147" t="s">
        <v>446</v>
      </c>
      <c r="F6" s="147" t="s">
        <v>447</v>
      </c>
      <c r="G6" s="147" t="s">
        <v>448</v>
      </c>
      <c r="H6" s="2025" t="s">
        <v>484</v>
      </c>
      <c r="I6" s="2018" t="s">
        <v>482</v>
      </c>
      <c r="J6" s="147" t="s">
        <v>449</v>
      </c>
      <c r="K6" s="147" t="s">
        <v>450</v>
      </c>
      <c r="L6" s="147" t="s">
        <v>449</v>
      </c>
      <c r="M6" s="147" t="s">
        <v>357</v>
      </c>
      <c r="N6" s="1310" t="s">
        <v>311</v>
      </c>
    </row>
    <row r="7" spans="1:14" s="146" customFormat="1" ht="20.25" customHeight="1" thickBot="1">
      <c r="A7" s="2013" t="s">
        <v>452</v>
      </c>
      <c r="B7" s="2014"/>
      <c r="C7" s="148"/>
      <c r="D7" s="148"/>
      <c r="E7" s="148" t="s">
        <v>453</v>
      </c>
      <c r="F7" s="148" t="s">
        <v>465</v>
      </c>
      <c r="G7" s="148" t="s">
        <v>887</v>
      </c>
      <c r="H7" s="2216"/>
      <c r="I7" s="2212"/>
      <c r="J7" s="148" t="s">
        <v>311</v>
      </c>
      <c r="K7" s="148" t="s">
        <v>455</v>
      </c>
      <c r="L7" s="148" t="s">
        <v>465</v>
      </c>
      <c r="M7" s="148"/>
      <c r="N7" s="1311"/>
    </row>
    <row r="8" spans="1:14" ht="11.25" customHeight="1">
      <c r="A8" s="154" t="s">
        <v>314</v>
      </c>
      <c r="B8" s="155"/>
      <c r="C8" s="1259" t="s">
        <v>540</v>
      </c>
      <c r="D8" s="1260"/>
      <c r="E8" s="1261"/>
      <c r="F8" s="1260">
        <v>305</v>
      </c>
      <c r="G8" s="1261"/>
      <c r="H8" s="1261"/>
      <c r="I8" s="1261"/>
      <c r="J8" s="176">
        <f aca="true" t="shared" si="0" ref="J8:J20">SUM(D8:I8)</f>
        <v>305</v>
      </c>
      <c r="K8" s="1261"/>
      <c r="L8" s="1261"/>
      <c r="M8" s="1261"/>
      <c r="N8" s="1313">
        <f aca="true" t="shared" si="1" ref="N8:N13">SUM(J8:M8)</f>
        <v>305</v>
      </c>
    </row>
    <row r="9" spans="1:14" ht="11.25" customHeight="1">
      <c r="A9" s="154" t="s">
        <v>316</v>
      </c>
      <c r="B9" s="155"/>
      <c r="C9" s="1259" t="s">
        <v>522</v>
      </c>
      <c r="D9" s="1261">
        <v>557</v>
      </c>
      <c r="E9" s="1261">
        <v>150</v>
      </c>
      <c r="F9" s="1260">
        <v>49</v>
      </c>
      <c r="G9" s="1261"/>
      <c r="H9" s="1261"/>
      <c r="I9" s="1261"/>
      <c r="J9" s="176">
        <f t="shared" si="0"/>
        <v>756</v>
      </c>
      <c r="K9" s="1261"/>
      <c r="L9" s="1261"/>
      <c r="M9" s="1261"/>
      <c r="N9" s="1313">
        <f t="shared" si="1"/>
        <v>756</v>
      </c>
    </row>
    <row r="10" spans="1:14" ht="11.25" customHeight="1">
      <c r="A10" s="154" t="s">
        <v>318</v>
      </c>
      <c r="B10" s="155"/>
      <c r="C10" s="1259" t="s">
        <v>523</v>
      </c>
      <c r="D10" s="1261"/>
      <c r="E10" s="1261"/>
      <c r="F10" s="1260">
        <v>705</v>
      </c>
      <c r="G10" s="1261"/>
      <c r="H10" s="1261"/>
      <c r="I10" s="1261"/>
      <c r="J10" s="176">
        <f t="shared" si="0"/>
        <v>705</v>
      </c>
      <c r="K10" s="1261"/>
      <c r="L10" s="1261"/>
      <c r="M10" s="1261"/>
      <c r="N10" s="1313">
        <f t="shared" si="1"/>
        <v>705</v>
      </c>
    </row>
    <row r="11" spans="1:14" ht="11.25" customHeight="1">
      <c r="A11" s="154" t="s">
        <v>320</v>
      </c>
      <c r="B11" s="155"/>
      <c r="C11" s="1259" t="s">
        <v>516</v>
      </c>
      <c r="D11" s="1261">
        <v>301</v>
      </c>
      <c r="E11" s="1261">
        <v>81</v>
      </c>
      <c r="F11" s="1260">
        <v>264</v>
      </c>
      <c r="G11" s="1261"/>
      <c r="H11" s="1261"/>
      <c r="I11" s="1261"/>
      <c r="J11" s="176">
        <f t="shared" si="0"/>
        <v>646</v>
      </c>
      <c r="K11" s="1261"/>
      <c r="L11" s="1261"/>
      <c r="M11" s="1261"/>
      <c r="N11" s="1313">
        <f t="shared" si="1"/>
        <v>646</v>
      </c>
    </row>
    <row r="12" spans="1:14" ht="11.25" customHeight="1">
      <c r="A12" s="154" t="s">
        <v>322</v>
      </c>
      <c r="B12" s="155"/>
      <c r="C12" s="1259" t="s">
        <v>519</v>
      </c>
      <c r="D12" s="1261"/>
      <c r="E12" s="1261"/>
      <c r="F12" s="1260">
        <v>1036</v>
      </c>
      <c r="G12" s="1261"/>
      <c r="H12" s="1261"/>
      <c r="I12" s="1261"/>
      <c r="J12" s="176">
        <f t="shared" si="0"/>
        <v>1036</v>
      </c>
      <c r="K12" s="1261">
        <v>397</v>
      </c>
      <c r="L12" s="1261"/>
      <c r="M12" s="1261"/>
      <c r="N12" s="1313">
        <f t="shared" si="1"/>
        <v>1433</v>
      </c>
    </row>
    <row r="13" spans="1:14" ht="11.25" customHeight="1">
      <c r="A13" s="158" t="s">
        <v>346</v>
      </c>
      <c r="B13" s="159"/>
      <c r="C13" s="1262" t="s">
        <v>520</v>
      </c>
      <c r="D13" s="160">
        <v>452</v>
      </c>
      <c r="E13" s="160"/>
      <c r="F13" s="161">
        <v>758</v>
      </c>
      <c r="G13" s="160"/>
      <c r="H13" s="160"/>
      <c r="I13" s="160"/>
      <c r="J13" s="162">
        <f t="shared" si="0"/>
        <v>1210</v>
      </c>
      <c r="K13" s="160"/>
      <c r="L13" s="160"/>
      <c r="M13" s="160"/>
      <c r="N13" s="1314">
        <f t="shared" si="1"/>
        <v>1210</v>
      </c>
    </row>
    <row r="14" spans="1:14" ht="18.75" customHeight="1">
      <c r="A14" s="753" t="s">
        <v>364</v>
      </c>
      <c r="B14" s="1275"/>
      <c r="C14" s="1276" t="s">
        <v>889</v>
      </c>
      <c r="D14" s="174">
        <f aca="true" t="shared" si="2" ref="D14:I14">SUM(D8:D13)</f>
        <v>1310</v>
      </c>
      <c r="E14" s="174">
        <f t="shared" si="2"/>
        <v>231</v>
      </c>
      <c r="F14" s="174">
        <f t="shared" si="2"/>
        <v>3117</v>
      </c>
      <c r="G14" s="174">
        <f t="shared" si="2"/>
        <v>0</v>
      </c>
      <c r="H14" s="174">
        <f t="shared" si="2"/>
        <v>0</v>
      </c>
      <c r="I14" s="174">
        <f t="shared" si="2"/>
        <v>0</v>
      </c>
      <c r="J14" s="176">
        <f t="shared" si="0"/>
        <v>4658</v>
      </c>
      <c r="K14" s="174">
        <f>SUM(K12:K13)</f>
        <v>397</v>
      </c>
      <c r="L14" s="174">
        <f>SUM(L8:L13)</f>
        <v>0</v>
      </c>
      <c r="M14" s="174">
        <f>SUM(M8:M13)</f>
        <v>0</v>
      </c>
      <c r="N14" s="1300">
        <f>SUM(K14:M14)</f>
        <v>397</v>
      </c>
    </row>
    <row r="15" spans="1:14" ht="18.75" customHeight="1">
      <c r="A15" s="753" t="s">
        <v>366</v>
      </c>
      <c r="B15" s="1275"/>
      <c r="C15" s="1276" t="s">
        <v>396</v>
      </c>
      <c r="D15" s="174"/>
      <c r="E15" s="174"/>
      <c r="F15" s="174"/>
      <c r="G15" s="174"/>
      <c r="H15" s="174"/>
      <c r="I15" s="174"/>
      <c r="J15" s="176">
        <v>0</v>
      </c>
      <c r="K15" s="174"/>
      <c r="L15" s="174"/>
      <c r="M15" s="174"/>
      <c r="N15" s="1300">
        <f>K15</f>
        <v>0</v>
      </c>
    </row>
    <row r="16" spans="1:14" ht="11.25" customHeight="1">
      <c r="A16" s="1277" t="s">
        <v>378</v>
      </c>
      <c r="B16" s="1278"/>
      <c r="C16" s="1279" t="s">
        <v>890</v>
      </c>
      <c r="D16" s="174">
        <v>7855</v>
      </c>
      <c r="E16" s="174">
        <v>2241</v>
      </c>
      <c r="F16" s="175">
        <v>5583</v>
      </c>
      <c r="G16" s="174"/>
      <c r="H16" s="174"/>
      <c r="I16" s="174"/>
      <c r="J16" s="176">
        <f t="shared" si="0"/>
        <v>15679</v>
      </c>
      <c r="K16" s="174">
        <f>51+3</f>
        <v>54</v>
      </c>
      <c r="L16" s="174"/>
      <c r="M16" s="174"/>
      <c r="N16" s="1300">
        <f>SUM(K16:M16)</f>
        <v>54</v>
      </c>
    </row>
    <row r="17" spans="1:14" ht="11.25" customHeight="1" thickBot="1">
      <c r="A17" s="1280" t="s">
        <v>511</v>
      </c>
      <c r="B17" s="1281"/>
      <c r="C17" s="1282" t="s">
        <v>398</v>
      </c>
      <c r="D17" s="160"/>
      <c r="E17" s="160"/>
      <c r="F17" s="161"/>
      <c r="G17" s="160"/>
      <c r="H17" s="160"/>
      <c r="I17" s="160"/>
      <c r="J17" s="162">
        <f>'11'!E15</f>
        <v>2868</v>
      </c>
      <c r="K17" s="160"/>
      <c r="L17" s="160"/>
      <c r="M17" s="160"/>
      <c r="N17" s="1314">
        <v>0</v>
      </c>
    </row>
    <row r="18" spans="1:14" ht="12.75" customHeight="1" thickBot="1">
      <c r="A18" s="2217" t="s">
        <v>397</v>
      </c>
      <c r="B18" s="2218"/>
      <c r="C18" s="2218"/>
      <c r="D18" s="164">
        <f aca="true" t="shared" si="3" ref="D18:I18">SUM(D14:D17)</f>
        <v>9165</v>
      </c>
      <c r="E18" s="164">
        <f t="shared" si="3"/>
        <v>2472</v>
      </c>
      <c r="F18" s="164">
        <f t="shared" si="3"/>
        <v>8700</v>
      </c>
      <c r="G18" s="164">
        <f t="shared" si="3"/>
        <v>0</v>
      </c>
      <c r="H18" s="164">
        <f t="shared" si="3"/>
        <v>0</v>
      </c>
      <c r="I18" s="164">
        <f t="shared" si="3"/>
        <v>0</v>
      </c>
      <c r="J18" s="151">
        <f>J14+J16+J17</f>
        <v>23205</v>
      </c>
      <c r="K18" s="164">
        <f>SUM(K14:K17)</f>
        <v>451</v>
      </c>
      <c r="L18" s="164">
        <f>SUM(L14:L17)</f>
        <v>0</v>
      </c>
      <c r="M18" s="164">
        <f>SUM(M14:M17)</f>
        <v>0</v>
      </c>
      <c r="N18" s="1315">
        <f>N14+N16+N17+N15</f>
        <v>451</v>
      </c>
    </row>
    <row r="19" spans="1:14" ht="12.75" customHeight="1">
      <c r="A19" s="186" t="s">
        <v>347</v>
      </c>
      <c r="B19" s="202"/>
      <c r="C19" s="202" t="s">
        <v>5</v>
      </c>
      <c r="D19" s="194">
        <f aca="true" t="shared" si="4" ref="D19:I19">D20+D21</f>
        <v>1835</v>
      </c>
      <c r="E19" s="194">
        <f t="shared" si="4"/>
        <v>496</v>
      </c>
      <c r="F19" s="194">
        <f t="shared" si="4"/>
        <v>211</v>
      </c>
      <c r="G19" s="194">
        <f t="shared" si="4"/>
        <v>0</v>
      </c>
      <c r="H19" s="194">
        <f t="shared" si="4"/>
        <v>0</v>
      </c>
      <c r="I19" s="194">
        <f t="shared" si="4"/>
        <v>0</v>
      </c>
      <c r="J19" s="194">
        <f t="shared" si="0"/>
        <v>2542</v>
      </c>
      <c r="K19" s="194">
        <f>SUM(K20:K20)</f>
        <v>1007</v>
      </c>
      <c r="L19" s="194">
        <f>SUM(L20:L20)</f>
        <v>0</v>
      </c>
      <c r="M19" s="194">
        <f>SUM(M20:M20)</f>
        <v>0</v>
      </c>
      <c r="N19" s="1316">
        <f aca="true" t="shared" si="5" ref="N19:N31">SUM(J19:M19)</f>
        <v>3549</v>
      </c>
    </row>
    <row r="20" spans="1:14" ht="11.25" customHeight="1">
      <c r="A20" s="203"/>
      <c r="B20" s="172" t="s">
        <v>312</v>
      </c>
      <c r="C20" s="204" t="s">
        <v>6</v>
      </c>
      <c r="D20" s="174">
        <v>0</v>
      </c>
      <c r="E20" s="174"/>
      <c r="F20" s="174">
        <v>211</v>
      </c>
      <c r="G20" s="174"/>
      <c r="H20" s="174"/>
      <c r="I20" s="174"/>
      <c r="J20" s="176">
        <f t="shared" si="0"/>
        <v>211</v>
      </c>
      <c r="K20" s="174">
        <v>1007</v>
      </c>
      <c r="L20" s="174">
        <v>0</v>
      </c>
      <c r="M20" s="174"/>
      <c r="N20" s="1317">
        <f t="shared" si="5"/>
        <v>1218</v>
      </c>
    </row>
    <row r="21" spans="1:14" ht="11.25" customHeight="1" thickBot="1">
      <c r="A21" s="1263"/>
      <c r="B21" s="172" t="s">
        <v>346</v>
      </c>
      <c r="C21" s="601" t="s">
        <v>796</v>
      </c>
      <c r="D21" s="167">
        <v>1835</v>
      </c>
      <c r="E21" s="167">
        <v>496</v>
      </c>
      <c r="F21" s="167">
        <v>0</v>
      </c>
      <c r="G21" s="167"/>
      <c r="H21" s="167"/>
      <c r="I21" s="167"/>
      <c r="J21" s="169">
        <f>F21+E21+D21</f>
        <v>2331</v>
      </c>
      <c r="K21" s="167"/>
      <c r="L21" s="1270"/>
      <c r="M21" s="1270"/>
      <c r="N21" s="1318">
        <f t="shared" si="5"/>
        <v>2331</v>
      </c>
    </row>
    <row r="22" spans="1:14" ht="12.75" customHeight="1" thickBot="1">
      <c r="A22" s="186">
        <v>9</v>
      </c>
      <c r="B22" s="253"/>
      <c r="C22" s="188" t="s">
        <v>53</v>
      </c>
      <c r="D22" s="194">
        <f aca="true" t="shared" si="6" ref="D22:I22">+D23</f>
        <v>0</v>
      </c>
      <c r="E22" s="194">
        <f t="shared" si="6"/>
        <v>0</v>
      </c>
      <c r="F22" s="194">
        <f t="shared" si="6"/>
        <v>0</v>
      </c>
      <c r="G22" s="194">
        <f t="shared" si="6"/>
        <v>0</v>
      </c>
      <c r="H22" s="194">
        <f t="shared" si="6"/>
        <v>0</v>
      </c>
      <c r="I22" s="194">
        <f t="shared" si="6"/>
        <v>0</v>
      </c>
      <c r="J22" s="194">
        <f aca="true" t="shared" si="7" ref="J22:J31">SUM(D22:I22)</f>
        <v>0</v>
      </c>
      <c r="K22" s="194">
        <f>+K23</f>
        <v>2500</v>
      </c>
      <c r="L22" s="194">
        <f>+L23</f>
        <v>0</v>
      </c>
      <c r="M22" s="194">
        <f>+M23</f>
        <v>0</v>
      </c>
      <c r="N22" s="1306">
        <f t="shared" si="5"/>
        <v>2500</v>
      </c>
    </row>
    <row r="23" spans="1:14" ht="12.75" customHeight="1" thickBot="1">
      <c r="A23" s="165"/>
      <c r="B23" s="665">
        <v>1</v>
      </c>
      <c r="C23" s="293" t="s">
        <v>53</v>
      </c>
      <c r="D23" s="167"/>
      <c r="E23" s="167"/>
      <c r="F23" s="167"/>
      <c r="G23" s="167"/>
      <c r="H23" s="167"/>
      <c r="I23" s="167"/>
      <c r="J23" s="600">
        <f t="shared" si="7"/>
        <v>0</v>
      </c>
      <c r="K23" s="167">
        <v>2500</v>
      </c>
      <c r="L23" s="167">
        <v>0</v>
      </c>
      <c r="M23" s="167"/>
      <c r="N23" s="1304">
        <f t="shared" si="5"/>
        <v>2500</v>
      </c>
    </row>
    <row r="24" spans="1:14" ht="12.75" customHeight="1">
      <c r="A24" s="149">
        <v>11</v>
      </c>
      <c r="B24" s="150"/>
      <c r="C24" s="152" t="s">
        <v>54</v>
      </c>
      <c r="D24" s="151">
        <f aca="true" t="shared" si="8" ref="D24:I24">D25</f>
        <v>0</v>
      </c>
      <c r="E24" s="151">
        <f t="shared" si="8"/>
        <v>0</v>
      </c>
      <c r="F24" s="151">
        <f t="shared" si="8"/>
        <v>0</v>
      </c>
      <c r="G24" s="151">
        <f t="shared" si="8"/>
        <v>0</v>
      </c>
      <c r="H24" s="151">
        <f t="shared" si="8"/>
        <v>0</v>
      </c>
      <c r="I24" s="151">
        <f t="shared" si="8"/>
        <v>0</v>
      </c>
      <c r="J24" s="151">
        <f t="shared" si="7"/>
        <v>0</v>
      </c>
      <c r="K24" s="151">
        <f>K25</f>
        <v>367182</v>
      </c>
      <c r="L24" s="151">
        <f>L25</f>
        <v>0</v>
      </c>
      <c r="M24" s="151">
        <f>M25</f>
        <v>0</v>
      </c>
      <c r="N24" s="1312">
        <f t="shared" si="5"/>
        <v>367182</v>
      </c>
    </row>
    <row r="25" spans="1:14" ht="11.25" customHeight="1" thickBot="1">
      <c r="A25" s="607"/>
      <c r="B25" s="609" t="s">
        <v>312</v>
      </c>
      <c r="C25" s="1266" t="s">
        <v>55</v>
      </c>
      <c r="D25" s="604"/>
      <c r="E25" s="604"/>
      <c r="F25" s="610">
        <v>0</v>
      </c>
      <c r="G25" s="604"/>
      <c r="H25" s="604"/>
      <c r="I25" s="604"/>
      <c r="J25" s="600">
        <f t="shared" si="7"/>
        <v>0</v>
      </c>
      <c r="K25" s="604">
        <v>367182</v>
      </c>
      <c r="L25" s="604"/>
      <c r="M25" s="604"/>
      <c r="N25" s="1304">
        <f t="shared" si="5"/>
        <v>367182</v>
      </c>
    </row>
    <row r="26" spans="1:14" s="179" customFormat="1" ht="11.25" customHeight="1">
      <c r="A26" s="186">
        <v>13</v>
      </c>
      <c r="B26" s="250"/>
      <c r="C26" s="254" t="s">
        <v>569</v>
      </c>
      <c r="D26" s="194">
        <f aca="true" t="shared" si="9" ref="D26:I26">+D28</f>
        <v>0</v>
      </c>
      <c r="E26" s="194">
        <f t="shared" si="9"/>
        <v>0</v>
      </c>
      <c r="F26" s="194">
        <f>+F28+F27</f>
        <v>72</v>
      </c>
      <c r="G26" s="194">
        <f t="shared" si="9"/>
        <v>0</v>
      </c>
      <c r="H26" s="194">
        <f t="shared" si="9"/>
        <v>0</v>
      </c>
      <c r="I26" s="194">
        <f t="shared" si="9"/>
        <v>0</v>
      </c>
      <c r="J26" s="194">
        <f t="shared" si="7"/>
        <v>72</v>
      </c>
      <c r="K26" s="194">
        <f>+K28</f>
        <v>66538</v>
      </c>
      <c r="L26" s="194">
        <f>L28</f>
        <v>20939</v>
      </c>
      <c r="M26" s="194"/>
      <c r="N26" s="1306">
        <f t="shared" si="5"/>
        <v>87549</v>
      </c>
    </row>
    <row r="27" spans="1:14" s="179" customFormat="1" ht="11.25" customHeight="1">
      <c r="A27" s="171"/>
      <c r="B27" s="172" t="s">
        <v>312</v>
      </c>
      <c r="C27" s="173" t="s">
        <v>187</v>
      </c>
      <c r="D27" s="176"/>
      <c r="E27" s="176"/>
      <c r="F27" s="176">
        <v>72</v>
      </c>
      <c r="G27" s="176"/>
      <c r="H27" s="176"/>
      <c r="I27" s="176"/>
      <c r="J27" s="176">
        <f>F27</f>
        <v>72</v>
      </c>
      <c r="K27" s="176"/>
      <c r="L27" s="176"/>
      <c r="M27" s="176"/>
      <c r="N27" s="1300">
        <f>J27</f>
        <v>72</v>
      </c>
    </row>
    <row r="28" spans="1:14" s="179" customFormat="1" ht="11.25" customHeight="1" thickBot="1">
      <c r="A28" s="165"/>
      <c r="B28" s="166" t="s">
        <v>314</v>
      </c>
      <c r="C28" s="1265" t="s">
        <v>568</v>
      </c>
      <c r="D28" s="167"/>
      <c r="E28" s="167"/>
      <c r="F28" s="167"/>
      <c r="G28" s="167"/>
      <c r="H28" s="167"/>
      <c r="I28" s="167"/>
      <c r="J28" s="169">
        <f t="shared" si="7"/>
        <v>0</v>
      </c>
      <c r="K28" s="167">
        <v>66538</v>
      </c>
      <c r="L28" s="167">
        <v>20939</v>
      </c>
      <c r="M28" s="167"/>
      <c r="N28" s="1307">
        <f t="shared" si="5"/>
        <v>87477</v>
      </c>
    </row>
    <row r="29" spans="1:14" s="179" customFormat="1" ht="20.25" customHeight="1">
      <c r="A29" s="158">
        <v>14</v>
      </c>
      <c r="B29" s="249"/>
      <c r="C29" s="1267" t="s">
        <v>888</v>
      </c>
      <c r="D29" s="162">
        <f aca="true" t="shared" si="10" ref="D29:I29">SUM(D30:D31)</f>
        <v>0</v>
      </c>
      <c r="E29" s="162">
        <f t="shared" si="10"/>
        <v>0</v>
      </c>
      <c r="F29" s="162">
        <f t="shared" si="10"/>
        <v>204</v>
      </c>
      <c r="G29" s="162">
        <f t="shared" si="10"/>
        <v>0</v>
      </c>
      <c r="H29" s="162">
        <f t="shared" si="10"/>
        <v>0</v>
      </c>
      <c r="I29" s="162">
        <f t="shared" si="10"/>
        <v>0</v>
      </c>
      <c r="J29" s="162">
        <f t="shared" si="7"/>
        <v>204</v>
      </c>
      <c r="K29" s="162">
        <f>SUM(K30:K31)</f>
        <v>0</v>
      </c>
      <c r="L29" s="162">
        <f>SUM(L30:L31)</f>
        <v>0</v>
      </c>
      <c r="M29" s="162">
        <f>SUM(M30:M31)</f>
        <v>0</v>
      </c>
      <c r="N29" s="1314">
        <f t="shared" si="5"/>
        <v>204</v>
      </c>
    </row>
    <row r="30" spans="1:14" ht="11.25" customHeight="1">
      <c r="A30" s="171"/>
      <c r="B30" s="183" t="s">
        <v>312</v>
      </c>
      <c r="C30" s="175" t="s">
        <v>58</v>
      </c>
      <c r="D30" s="174"/>
      <c r="E30" s="174"/>
      <c r="F30" s="175">
        <v>140</v>
      </c>
      <c r="G30" s="174"/>
      <c r="H30" s="174">
        <f>204+59-263</f>
        <v>0</v>
      </c>
      <c r="I30" s="174"/>
      <c r="J30" s="176">
        <f t="shared" si="7"/>
        <v>140</v>
      </c>
      <c r="K30" s="174">
        <v>0</v>
      </c>
      <c r="L30" s="174"/>
      <c r="M30" s="174"/>
      <c r="N30" s="1300">
        <f t="shared" si="5"/>
        <v>140</v>
      </c>
    </row>
    <row r="31" spans="1:14" ht="20.25" customHeight="1" thickBot="1">
      <c r="A31" s="607"/>
      <c r="B31" s="603" t="s">
        <v>316</v>
      </c>
      <c r="C31" s="1268" t="s">
        <v>495</v>
      </c>
      <c r="D31" s="1587"/>
      <c r="E31" s="1587"/>
      <c r="F31" s="610">
        <v>64</v>
      </c>
      <c r="G31" s="604"/>
      <c r="H31" s="604"/>
      <c r="I31" s="604"/>
      <c r="J31" s="600">
        <f t="shared" si="7"/>
        <v>64</v>
      </c>
      <c r="K31" s="1587"/>
      <c r="L31" s="1587"/>
      <c r="M31" s="1587"/>
      <c r="N31" s="1304">
        <f t="shared" si="5"/>
        <v>64</v>
      </c>
    </row>
    <row r="32" spans="1:14" ht="14.25" customHeight="1" thickBot="1">
      <c r="A32" s="1271">
        <v>15</v>
      </c>
      <c r="B32" s="1590" t="s">
        <v>312</v>
      </c>
      <c r="C32" s="1273" t="s">
        <v>59</v>
      </c>
      <c r="D32" s="1591"/>
      <c r="E32" s="1591"/>
      <c r="F32" s="1592">
        <v>55</v>
      </c>
      <c r="G32" s="1593"/>
      <c r="H32" s="1593"/>
      <c r="I32" s="1593"/>
      <c r="J32" s="164">
        <f>F32</f>
        <v>55</v>
      </c>
      <c r="K32" s="1591"/>
      <c r="L32" s="1591"/>
      <c r="M32" s="1591"/>
      <c r="N32" s="1305">
        <f>J32</f>
        <v>55</v>
      </c>
    </row>
    <row r="33" spans="1:14" s="179" customFormat="1" ht="11.25" customHeight="1">
      <c r="A33" s="158">
        <v>16</v>
      </c>
      <c r="B33" s="249"/>
      <c r="C33" s="163" t="s">
        <v>60</v>
      </c>
      <c r="D33" s="162">
        <f aca="true" t="shared" si="11" ref="D33:I33">D34</f>
        <v>0</v>
      </c>
      <c r="E33" s="162">
        <f t="shared" si="11"/>
        <v>0</v>
      </c>
      <c r="F33" s="162">
        <f t="shared" si="11"/>
        <v>25</v>
      </c>
      <c r="G33" s="162">
        <f t="shared" si="11"/>
        <v>0</v>
      </c>
      <c r="H33" s="162">
        <f t="shared" si="11"/>
        <v>0</v>
      </c>
      <c r="I33" s="162">
        <f t="shared" si="11"/>
        <v>0</v>
      </c>
      <c r="J33" s="156">
        <f aca="true" t="shared" si="12" ref="J33:J50">SUM(D33:I33)</f>
        <v>25</v>
      </c>
      <c r="K33" s="162">
        <f>K34</f>
        <v>0</v>
      </c>
      <c r="L33" s="162">
        <f>L34</f>
        <v>0</v>
      </c>
      <c r="M33" s="162">
        <f>M34</f>
        <v>0</v>
      </c>
      <c r="N33" s="1313">
        <f aca="true" t="shared" si="13" ref="N33:N50">SUM(J33:M33)</f>
        <v>25</v>
      </c>
    </row>
    <row r="34" spans="1:14" ht="11.25" customHeight="1" thickBot="1">
      <c r="A34" s="607"/>
      <c r="B34" s="609" t="s">
        <v>312</v>
      </c>
      <c r="C34" s="1264" t="s">
        <v>61</v>
      </c>
      <c r="D34" s="604"/>
      <c r="E34" s="604"/>
      <c r="F34" s="604">
        <v>25</v>
      </c>
      <c r="G34" s="604"/>
      <c r="H34" s="604"/>
      <c r="I34" s="604"/>
      <c r="J34" s="600">
        <f t="shared" si="12"/>
        <v>25</v>
      </c>
      <c r="K34" s="604"/>
      <c r="L34" s="604"/>
      <c r="M34" s="604"/>
      <c r="N34" s="1304">
        <f t="shared" si="13"/>
        <v>25</v>
      </c>
    </row>
    <row r="35" spans="1:14" s="179" customFormat="1" ht="11.25" customHeight="1">
      <c r="A35" s="186">
        <v>18</v>
      </c>
      <c r="B35" s="250"/>
      <c r="C35" s="1303" t="s">
        <v>3</v>
      </c>
      <c r="D35" s="194">
        <f aca="true" t="shared" si="14" ref="D35:I35">SUM(D36:D36)</f>
        <v>0</v>
      </c>
      <c r="E35" s="194">
        <f t="shared" si="14"/>
        <v>0</v>
      </c>
      <c r="F35" s="194">
        <f>SUM(F36:F36)+F37</f>
        <v>3270</v>
      </c>
      <c r="G35" s="194">
        <f t="shared" si="14"/>
        <v>0</v>
      </c>
      <c r="H35" s="194">
        <f t="shared" si="14"/>
        <v>0</v>
      </c>
      <c r="I35" s="194">
        <f t="shared" si="14"/>
        <v>0</v>
      </c>
      <c r="J35" s="151">
        <f t="shared" si="12"/>
        <v>3270</v>
      </c>
      <c r="K35" s="194">
        <f>SUM(K36:K36)</f>
        <v>355150</v>
      </c>
      <c r="L35" s="194">
        <f>SUM(L36:L36)</f>
        <v>0</v>
      </c>
      <c r="M35" s="194">
        <f>SUM(M36:M36)</f>
        <v>300000</v>
      </c>
      <c r="N35" s="1312">
        <f t="shared" si="13"/>
        <v>658420</v>
      </c>
    </row>
    <row r="36" spans="1:14" ht="11.25" customHeight="1">
      <c r="A36" s="171"/>
      <c r="B36" s="183" t="s">
        <v>316</v>
      </c>
      <c r="C36" s="307" t="s">
        <v>63</v>
      </c>
      <c r="D36" s="308"/>
      <c r="E36" s="308"/>
      <c r="F36" s="175">
        <v>157</v>
      </c>
      <c r="G36" s="174"/>
      <c r="H36" s="174"/>
      <c r="I36" s="174"/>
      <c r="J36" s="176">
        <f t="shared" si="12"/>
        <v>157</v>
      </c>
      <c r="K36" s="174">
        <v>355150</v>
      </c>
      <c r="L36" s="174"/>
      <c r="M36" s="174">
        <v>300000</v>
      </c>
      <c r="N36" s="1300">
        <f t="shared" si="13"/>
        <v>655307</v>
      </c>
    </row>
    <row r="37" spans="1:14" ht="11.25" customHeight="1" thickBot="1">
      <c r="A37" s="154"/>
      <c r="B37" s="1697" t="s">
        <v>318</v>
      </c>
      <c r="C37" s="1699" t="s">
        <v>1111</v>
      </c>
      <c r="D37" s="1698"/>
      <c r="E37" s="1698"/>
      <c r="F37" s="1260">
        <v>3113</v>
      </c>
      <c r="G37" s="1261"/>
      <c r="H37" s="1261"/>
      <c r="I37" s="1261"/>
      <c r="J37" s="156">
        <f>SUM(F37:I37)</f>
        <v>3113</v>
      </c>
      <c r="K37" s="1261"/>
      <c r="L37" s="1261"/>
      <c r="M37" s="1261"/>
      <c r="N37" s="1313">
        <f>SUM(J37:M37)</f>
        <v>3113</v>
      </c>
    </row>
    <row r="38" spans="1:14" s="179" customFormat="1" ht="11.25" customHeight="1">
      <c r="A38" s="149">
        <v>19</v>
      </c>
      <c r="B38" s="615"/>
      <c r="C38" s="152" t="s">
        <v>64</v>
      </c>
      <c r="D38" s="151">
        <f aca="true" t="shared" si="15" ref="D38:I38">D39+D40+D41</f>
        <v>10</v>
      </c>
      <c r="E38" s="151">
        <f t="shared" si="15"/>
        <v>11</v>
      </c>
      <c r="F38" s="151">
        <f t="shared" si="15"/>
        <v>1562</v>
      </c>
      <c r="G38" s="151">
        <f t="shared" si="15"/>
        <v>0</v>
      </c>
      <c r="H38" s="151">
        <f t="shared" si="15"/>
        <v>0</v>
      </c>
      <c r="I38" s="151">
        <f t="shared" si="15"/>
        <v>0</v>
      </c>
      <c r="J38" s="151">
        <f t="shared" si="12"/>
        <v>1583</v>
      </c>
      <c r="K38" s="151">
        <f>K39+K40+K41</f>
        <v>0</v>
      </c>
      <c r="L38" s="151">
        <f>L39+L40+L41</f>
        <v>0</v>
      </c>
      <c r="M38" s="151">
        <f>M39+M40+M41</f>
        <v>0</v>
      </c>
      <c r="N38" s="1312">
        <f t="shared" si="13"/>
        <v>1583</v>
      </c>
    </row>
    <row r="39" spans="1:14" ht="11.25" customHeight="1">
      <c r="A39" s="171"/>
      <c r="B39" s="183" t="s">
        <v>312</v>
      </c>
      <c r="C39" s="175" t="s">
        <v>65</v>
      </c>
      <c r="D39" s="174"/>
      <c r="E39" s="174">
        <v>0</v>
      </c>
      <c r="F39" s="175">
        <v>620</v>
      </c>
      <c r="G39" s="174"/>
      <c r="H39" s="174"/>
      <c r="I39" s="174"/>
      <c r="J39" s="176">
        <f t="shared" si="12"/>
        <v>620</v>
      </c>
      <c r="K39" s="174"/>
      <c r="L39" s="174"/>
      <c r="M39" s="174"/>
      <c r="N39" s="1300">
        <f t="shared" si="13"/>
        <v>620</v>
      </c>
    </row>
    <row r="40" spans="1:14" ht="11.25" customHeight="1">
      <c r="A40" s="171"/>
      <c r="B40" s="183" t="s">
        <v>314</v>
      </c>
      <c r="C40" s="175" t="s">
        <v>66</v>
      </c>
      <c r="D40" s="174"/>
      <c r="E40" s="174"/>
      <c r="F40" s="175">
        <v>637</v>
      </c>
      <c r="G40" s="174"/>
      <c r="H40" s="174"/>
      <c r="I40" s="174"/>
      <c r="J40" s="176">
        <f t="shared" si="12"/>
        <v>637</v>
      </c>
      <c r="K40" s="174"/>
      <c r="L40" s="174"/>
      <c r="M40" s="174"/>
      <c r="N40" s="1300">
        <f t="shared" si="13"/>
        <v>637</v>
      </c>
    </row>
    <row r="41" spans="1:14" ht="11.25" customHeight="1" thickBot="1">
      <c r="A41" s="165"/>
      <c r="B41" s="185" t="s">
        <v>316</v>
      </c>
      <c r="C41" s="168" t="s">
        <v>67</v>
      </c>
      <c r="D41" s="167">
        <v>10</v>
      </c>
      <c r="E41" s="167">
        <v>11</v>
      </c>
      <c r="F41" s="168">
        <v>305</v>
      </c>
      <c r="G41" s="167"/>
      <c r="H41" s="167"/>
      <c r="I41" s="167"/>
      <c r="J41" s="169">
        <f t="shared" si="12"/>
        <v>326</v>
      </c>
      <c r="K41" s="167"/>
      <c r="L41" s="167"/>
      <c r="M41" s="167"/>
      <c r="N41" s="1307">
        <f t="shared" si="13"/>
        <v>326</v>
      </c>
    </row>
    <row r="42" spans="1:14" ht="11.25" customHeight="1">
      <c r="A42" s="158" t="s">
        <v>563</v>
      </c>
      <c r="B42" s="184"/>
      <c r="C42" s="200" t="s">
        <v>68</v>
      </c>
      <c r="D42" s="160"/>
      <c r="E42" s="160"/>
      <c r="F42" s="161">
        <f>F43</f>
        <v>147</v>
      </c>
      <c r="G42" s="160"/>
      <c r="H42" s="160"/>
      <c r="I42" s="160"/>
      <c r="J42" s="162">
        <f>SUM(D42:I42)</f>
        <v>147</v>
      </c>
      <c r="K42" s="160">
        <f>K44</f>
        <v>1219</v>
      </c>
      <c r="L42" s="160"/>
      <c r="M42" s="160"/>
      <c r="N42" s="1314">
        <f t="shared" si="13"/>
        <v>1366</v>
      </c>
    </row>
    <row r="43" spans="1:14" ht="11.25" customHeight="1">
      <c r="A43" s="607"/>
      <c r="B43" s="603" t="s">
        <v>314</v>
      </c>
      <c r="C43" s="1264" t="s">
        <v>1248</v>
      </c>
      <c r="D43" s="604"/>
      <c r="E43" s="604"/>
      <c r="F43" s="610">
        <v>147</v>
      </c>
      <c r="G43" s="604"/>
      <c r="H43" s="604"/>
      <c r="I43" s="604"/>
      <c r="J43" s="600">
        <f>SUM(D43:I43)</f>
        <v>147</v>
      </c>
      <c r="K43" s="604"/>
      <c r="L43" s="604"/>
      <c r="M43" s="604"/>
      <c r="N43" s="1304">
        <f t="shared" si="13"/>
        <v>147</v>
      </c>
    </row>
    <row r="44" spans="1:14" ht="24.75" customHeight="1" thickBot="1">
      <c r="A44" s="165"/>
      <c r="B44" s="185" t="s">
        <v>316</v>
      </c>
      <c r="C44" s="1594" t="s">
        <v>802</v>
      </c>
      <c r="D44" s="167"/>
      <c r="E44" s="167"/>
      <c r="F44" s="168"/>
      <c r="G44" s="167"/>
      <c r="H44" s="167"/>
      <c r="I44" s="167"/>
      <c r="J44" s="169">
        <v>0</v>
      </c>
      <c r="K44" s="167">
        <v>1219</v>
      </c>
      <c r="L44" s="167"/>
      <c r="M44" s="167"/>
      <c r="N44" s="1307">
        <f>K44</f>
        <v>1219</v>
      </c>
    </row>
    <row r="45" spans="1:14" s="179" customFormat="1" ht="11.25" customHeight="1">
      <c r="A45" s="149">
        <v>21</v>
      </c>
      <c r="B45" s="615"/>
      <c r="C45" s="152" t="s">
        <v>165</v>
      </c>
      <c r="D45" s="151">
        <f aca="true" t="shared" si="16" ref="D45:I45">D46+D47</f>
        <v>0</v>
      </c>
      <c r="E45" s="151">
        <f t="shared" si="16"/>
        <v>0</v>
      </c>
      <c r="F45" s="151">
        <f t="shared" si="16"/>
        <v>113</v>
      </c>
      <c r="G45" s="151">
        <f t="shared" si="16"/>
        <v>0</v>
      </c>
      <c r="H45" s="151">
        <f t="shared" si="16"/>
        <v>0</v>
      </c>
      <c r="I45" s="151">
        <f t="shared" si="16"/>
        <v>0</v>
      </c>
      <c r="J45" s="151">
        <f t="shared" si="12"/>
        <v>113</v>
      </c>
      <c r="K45" s="151">
        <f>K48</f>
        <v>1200</v>
      </c>
      <c r="L45" s="151">
        <f>L46+L47</f>
        <v>0</v>
      </c>
      <c r="M45" s="151">
        <f>M46+M47</f>
        <v>0</v>
      </c>
      <c r="N45" s="1312">
        <f t="shared" si="13"/>
        <v>1313</v>
      </c>
    </row>
    <row r="46" spans="1:14" ht="11.25" customHeight="1">
      <c r="A46" s="171"/>
      <c r="B46" s="191" t="s">
        <v>312</v>
      </c>
      <c r="C46" s="175" t="s">
        <v>70</v>
      </c>
      <c r="D46" s="308"/>
      <c r="E46" s="308"/>
      <c r="F46" s="175">
        <v>6</v>
      </c>
      <c r="G46" s="174"/>
      <c r="H46" s="174"/>
      <c r="I46" s="174"/>
      <c r="J46" s="176">
        <f t="shared" si="12"/>
        <v>6</v>
      </c>
      <c r="K46" s="308"/>
      <c r="L46" s="308"/>
      <c r="M46" s="308"/>
      <c r="N46" s="1300">
        <f t="shared" si="13"/>
        <v>6</v>
      </c>
    </row>
    <row r="47" spans="1:14" ht="11.25" customHeight="1">
      <c r="A47" s="607"/>
      <c r="B47" s="1375" t="s">
        <v>314</v>
      </c>
      <c r="C47" s="610" t="s">
        <v>8</v>
      </c>
      <c r="D47" s="1587"/>
      <c r="E47" s="1587"/>
      <c r="F47" s="610">
        <v>107</v>
      </c>
      <c r="G47" s="604"/>
      <c r="H47" s="604"/>
      <c r="I47" s="604">
        <v>0</v>
      </c>
      <c r="J47" s="600">
        <f t="shared" si="12"/>
        <v>107</v>
      </c>
      <c r="K47" s="604"/>
      <c r="L47" s="604">
        <v>0</v>
      </c>
      <c r="M47" s="1587"/>
      <c r="N47" s="1304">
        <f t="shared" si="13"/>
        <v>107</v>
      </c>
    </row>
    <row r="48" spans="1:14" ht="11.25" customHeight="1" thickBot="1">
      <c r="A48" s="165"/>
      <c r="B48" s="189" t="s">
        <v>318</v>
      </c>
      <c r="C48" s="1595" t="s">
        <v>803</v>
      </c>
      <c r="D48" s="1270"/>
      <c r="E48" s="1270"/>
      <c r="F48" s="168"/>
      <c r="G48" s="167"/>
      <c r="H48" s="167"/>
      <c r="I48" s="167"/>
      <c r="J48" s="169"/>
      <c r="K48" s="167">
        <v>1200</v>
      </c>
      <c r="L48" s="167"/>
      <c r="M48" s="1270"/>
      <c r="N48" s="1307">
        <f>K48</f>
        <v>1200</v>
      </c>
    </row>
    <row r="49" spans="1:14" s="179" customFormat="1" ht="11.25" customHeight="1">
      <c r="A49" s="158">
        <v>23</v>
      </c>
      <c r="B49" s="249" t="s">
        <v>465</v>
      </c>
      <c r="C49" s="163" t="s">
        <v>456</v>
      </c>
      <c r="D49" s="162">
        <f aca="true" t="shared" si="17" ref="D49:I49">D50</f>
        <v>0</v>
      </c>
      <c r="E49" s="162">
        <f t="shared" si="17"/>
        <v>0</v>
      </c>
      <c r="F49" s="162">
        <f t="shared" si="17"/>
        <v>8193</v>
      </c>
      <c r="G49" s="162">
        <f t="shared" si="17"/>
        <v>0</v>
      </c>
      <c r="H49" s="162">
        <f t="shared" si="17"/>
        <v>0</v>
      </c>
      <c r="I49" s="162">
        <f t="shared" si="17"/>
        <v>0</v>
      </c>
      <c r="J49" s="162">
        <f t="shared" si="12"/>
        <v>8193</v>
      </c>
      <c r="K49" s="1588"/>
      <c r="L49" s="1588"/>
      <c r="M49" s="1588"/>
      <c r="N49" s="1314">
        <f t="shared" si="13"/>
        <v>8193</v>
      </c>
    </row>
    <row r="50" spans="1:14" ht="11.25" customHeight="1" thickBot="1">
      <c r="A50" s="180"/>
      <c r="B50" s="172" t="s">
        <v>312</v>
      </c>
      <c r="C50" s="173" t="s">
        <v>252</v>
      </c>
      <c r="D50" s="174"/>
      <c r="E50" s="174"/>
      <c r="F50" s="175">
        <v>8193</v>
      </c>
      <c r="G50" s="174"/>
      <c r="H50" s="174"/>
      <c r="I50" s="174"/>
      <c r="J50" s="176">
        <f t="shared" si="12"/>
        <v>8193</v>
      </c>
      <c r="K50" s="308"/>
      <c r="L50" s="308"/>
      <c r="M50" s="308"/>
      <c r="N50" s="1300">
        <f t="shared" si="13"/>
        <v>8193</v>
      </c>
    </row>
    <row r="51" spans="1:14" s="179" customFormat="1" ht="12.75" customHeight="1" thickBot="1">
      <c r="A51" s="1271">
        <v>26</v>
      </c>
      <c r="B51" s="1272" t="s">
        <v>312</v>
      </c>
      <c r="C51" s="1273" t="s">
        <v>74</v>
      </c>
      <c r="D51" s="1589"/>
      <c r="E51" s="1589"/>
      <c r="F51" s="1273">
        <v>5</v>
      </c>
      <c r="G51" s="164"/>
      <c r="H51" s="164"/>
      <c r="I51" s="164"/>
      <c r="J51" s="164">
        <f aca="true" t="shared" si="18" ref="J51:J59">SUM(D51:I51)</f>
        <v>5</v>
      </c>
      <c r="K51" s="1589"/>
      <c r="L51" s="1589"/>
      <c r="M51" s="1589"/>
      <c r="N51" s="1305">
        <f aca="true" t="shared" si="19" ref="N51:N59">SUM(J51:M51)</f>
        <v>5</v>
      </c>
    </row>
    <row r="52" spans="1:14" s="179" customFormat="1" ht="12.75" customHeight="1">
      <c r="A52" s="154">
        <v>27</v>
      </c>
      <c r="B52" s="182"/>
      <c r="C52" s="157" t="s">
        <v>75</v>
      </c>
      <c r="D52" s="156">
        <f aca="true" t="shared" si="20" ref="D52:I52">D54+D53</f>
        <v>70</v>
      </c>
      <c r="E52" s="156">
        <f t="shared" si="20"/>
        <v>20</v>
      </c>
      <c r="F52" s="156">
        <f t="shared" si="20"/>
        <v>463</v>
      </c>
      <c r="G52" s="156">
        <f t="shared" si="20"/>
        <v>0</v>
      </c>
      <c r="H52" s="156">
        <f t="shared" si="20"/>
        <v>0</v>
      </c>
      <c r="I52" s="156">
        <f t="shared" si="20"/>
        <v>0</v>
      </c>
      <c r="J52" s="156">
        <f t="shared" si="18"/>
        <v>553</v>
      </c>
      <c r="K52" s="156">
        <f>SUM(K53:K54)</f>
        <v>0</v>
      </c>
      <c r="L52" s="156">
        <f>SUM(L53:L54)</f>
        <v>0</v>
      </c>
      <c r="M52" s="156">
        <f>SUM(M53:M54)</f>
        <v>0</v>
      </c>
      <c r="N52" s="1313">
        <f t="shared" si="19"/>
        <v>553</v>
      </c>
    </row>
    <row r="53" spans="1:14" ht="11.25" customHeight="1">
      <c r="A53" s="171"/>
      <c r="B53" s="172" t="s">
        <v>318</v>
      </c>
      <c r="C53" s="173" t="s">
        <v>1246</v>
      </c>
      <c r="D53" s="174"/>
      <c r="E53" s="174"/>
      <c r="F53" s="175">
        <v>44</v>
      </c>
      <c r="G53" s="174"/>
      <c r="H53" s="174"/>
      <c r="I53" s="174"/>
      <c r="J53" s="176">
        <f t="shared" si="18"/>
        <v>44</v>
      </c>
      <c r="K53" s="174">
        <v>0</v>
      </c>
      <c r="L53" s="308"/>
      <c r="M53" s="308"/>
      <c r="N53" s="1300">
        <f t="shared" si="19"/>
        <v>44</v>
      </c>
    </row>
    <row r="54" spans="1:14" ht="14.25" customHeight="1" thickBot="1">
      <c r="A54" s="165"/>
      <c r="B54" s="166" t="s">
        <v>322</v>
      </c>
      <c r="C54" s="1269" t="s">
        <v>168</v>
      </c>
      <c r="D54" s="167">
        <v>70</v>
      </c>
      <c r="E54" s="167">
        <v>20</v>
      </c>
      <c r="F54" s="168">
        <v>419</v>
      </c>
      <c r="G54" s="167"/>
      <c r="H54" s="167"/>
      <c r="I54" s="167"/>
      <c r="J54" s="169">
        <f t="shared" si="18"/>
        <v>509</v>
      </c>
      <c r="K54" s="167">
        <v>0</v>
      </c>
      <c r="L54" s="1270"/>
      <c r="M54" s="1270"/>
      <c r="N54" s="1307">
        <f t="shared" si="19"/>
        <v>509</v>
      </c>
    </row>
    <row r="55" spans="1:14" ht="14.25" customHeight="1" thickBot="1">
      <c r="A55" s="186">
        <v>28</v>
      </c>
      <c r="B55" s="250"/>
      <c r="C55" s="188" t="s">
        <v>79</v>
      </c>
      <c r="D55" s="160"/>
      <c r="E55" s="160"/>
      <c r="F55" s="161">
        <v>66</v>
      </c>
      <c r="G55" s="160"/>
      <c r="H55" s="160"/>
      <c r="I55" s="160"/>
      <c r="J55" s="162">
        <f>SUM(D55:I55)</f>
        <v>66</v>
      </c>
      <c r="K55" s="160"/>
      <c r="L55" s="306"/>
      <c r="M55" s="306"/>
      <c r="N55" s="1314">
        <f>SUM(J55:M55)</f>
        <v>66</v>
      </c>
    </row>
    <row r="56" spans="1:14" ht="12.75" customHeight="1">
      <c r="A56" s="149">
        <v>29</v>
      </c>
      <c r="B56" s="1308"/>
      <c r="C56" s="152" t="s">
        <v>80</v>
      </c>
      <c r="D56" s="151">
        <f aca="true" t="shared" si="21" ref="D56:I56">SUM(D57:D57)</f>
        <v>0</v>
      </c>
      <c r="E56" s="151">
        <f t="shared" si="21"/>
        <v>0</v>
      </c>
      <c r="F56" s="151">
        <f t="shared" si="21"/>
        <v>0</v>
      </c>
      <c r="G56" s="151">
        <f t="shared" si="21"/>
        <v>0</v>
      </c>
      <c r="H56" s="151">
        <f t="shared" si="21"/>
        <v>0</v>
      </c>
      <c r="I56" s="151">
        <f t="shared" si="21"/>
        <v>0</v>
      </c>
      <c r="J56" s="151">
        <f t="shared" si="18"/>
        <v>0</v>
      </c>
      <c r="K56" s="151">
        <f>SUM(K57:K57)</f>
        <v>0</v>
      </c>
      <c r="L56" s="151">
        <f>SUM(L57:L57)</f>
        <v>5850</v>
      </c>
      <c r="M56" s="151">
        <f>SUM(M57:M57)</f>
        <v>0</v>
      </c>
      <c r="N56" s="1312">
        <f t="shared" si="19"/>
        <v>5850</v>
      </c>
    </row>
    <row r="57" spans="1:14" ht="11.25" customHeight="1" thickBot="1">
      <c r="A57" s="171"/>
      <c r="B57" s="172">
        <v>1</v>
      </c>
      <c r="C57" s="173" t="s">
        <v>81</v>
      </c>
      <c r="D57" s="174"/>
      <c r="E57" s="174"/>
      <c r="F57" s="175"/>
      <c r="G57" s="174"/>
      <c r="H57" s="174"/>
      <c r="I57" s="174"/>
      <c r="J57" s="176">
        <f t="shared" si="18"/>
        <v>0</v>
      </c>
      <c r="K57" s="174"/>
      <c r="L57" s="174">
        <f>2000+3850</f>
        <v>5850</v>
      </c>
      <c r="M57" s="174"/>
      <c r="N57" s="1300">
        <f t="shared" si="19"/>
        <v>5850</v>
      </c>
    </row>
    <row r="58" spans="1:14" ht="21.75" customHeight="1" thickBot="1">
      <c r="A58" s="1271">
        <v>31</v>
      </c>
      <c r="B58" s="1590" t="s">
        <v>312</v>
      </c>
      <c r="C58" s="1596" t="s">
        <v>1289</v>
      </c>
      <c r="D58" s="1257"/>
      <c r="E58" s="1257"/>
      <c r="F58" s="1258"/>
      <c r="G58" s="1257"/>
      <c r="H58" s="1257"/>
      <c r="I58" s="1257"/>
      <c r="J58" s="151">
        <v>0</v>
      </c>
      <c r="K58" s="1257"/>
      <c r="L58" s="1257">
        <v>3540</v>
      </c>
      <c r="M58" s="1257"/>
      <c r="N58" s="1312">
        <f>L58</f>
        <v>3540</v>
      </c>
    </row>
    <row r="59" spans="1:14" ht="12.75" customHeight="1">
      <c r="A59" s="149">
        <v>32</v>
      </c>
      <c r="B59" s="150"/>
      <c r="C59" s="152" t="s">
        <v>83</v>
      </c>
      <c r="D59" s="151">
        <f aca="true" t="shared" si="22" ref="D59:I59">SUM(D60:D60)</f>
        <v>0</v>
      </c>
      <c r="E59" s="151">
        <f t="shared" si="22"/>
        <v>0</v>
      </c>
      <c r="F59" s="151">
        <f t="shared" si="22"/>
        <v>20</v>
      </c>
      <c r="G59" s="151">
        <f t="shared" si="22"/>
        <v>0</v>
      </c>
      <c r="H59" s="151">
        <f>SUM(H60:H60)+H61</f>
        <v>50</v>
      </c>
      <c r="I59" s="151">
        <f t="shared" si="22"/>
        <v>0</v>
      </c>
      <c r="J59" s="151">
        <f t="shared" si="18"/>
        <v>70</v>
      </c>
      <c r="K59" s="151">
        <f>SUM(K60:K60)</f>
        <v>0</v>
      </c>
      <c r="L59" s="151">
        <f>SUM(L60:L60)</f>
        <v>0</v>
      </c>
      <c r="M59" s="151">
        <f>SUM(M60:M60)</f>
        <v>0</v>
      </c>
      <c r="N59" s="1312">
        <f t="shared" si="19"/>
        <v>70</v>
      </c>
    </row>
    <row r="60" spans="1:14" ht="11.25" customHeight="1">
      <c r="A60" s="171"/>
      <c r="B60" s="172" t="s">
        <v>320</v>
      </c>
      <c r="C60" s="173" t="s">
        <v>195</v>
      </c>
      <c r="D60" s="174"/>
      <c r="E60" s="174"/>
      <c r="F60" s="175">
        <v>20</v>
      </c>
      <c r="G60" s="174"/>
      <c r="H60" s="174">
        <v>31</v>
      </c>
      <c r="I60" s="174"/>
      <c r="J60" s="176">
        <f>SUM(D60:I60)</f>
        <v>51</v>
      </c>
      <c r="K60" s="174"/>
      <c r="L60" s="174"/>
      <c r="M60" s="174"/>
      <c r="N60" s="1300">
        <f>SUM(J60:M60)</f>
        <v>51</v>
      </c>
    </row>
    <row r="61" spans="1:14" ht="11.25" customHeight="1" thickBot="1">
      <c r="A61" s="165"/>
      <c r="B61" s="166" t="s">
        <v>349</v>
      </c>
      <c r="C61" s="1265" t="s">
        <v>820</v>
      </c>
      <c r="D61" s="167"/>
      <c r="E61" s="167"/>
      <c r="F61" s="168"/>
      <c r="G61" s="167"/>
      <c r="H61" s="167">
        <v>19</v>
      </c>
      <c r="I61" s="167"/>
      <c r="J61" s="169"/>
      <c r="K61" s="167"/>
      <c r="L61" s="167"/>
      <c r="M61" s="167"/>
      <c r="N61" s="1307"/>
    </row>
    <row r="62" spans="1:14" ht="12.75" customHeight="1">
      <c r="A62" s="154">
        <v>34</v>
      </c>
      <c r="B62" s="190"/>
      <c r="C62" s="157" t="s">
        <v>200</v>
      </c>
      <c r="D62" s="156">
        <f aca="true" t="shared" si="23" ref="D62:I62">SUM(D64:D64)</f>
        <v>0</v>
      </c>
      <c r="E62" s="156">
        <f t="shared" si="23"/>
        <v>0</v>
      </c>
      <c r="F62" s="156">
        <f t="shared" si="23"/>
        <v>0</v>
      </c>
      <c r="G62" s="156">
        <f t="shared" si="23"/>
        <v>0</v>
      </c>
      <c r="H62" s="156">
        <f t="shared" si="23"/>
        <v>485</v>
      </c>
      <c r="I62" s="156">
        <f t="shared" si="23"/>
        <v>0</v>
      </c>
      <c r="J62" s="156">
        <f>SUM(D62:I62)</f>
        <v>485</v>
      </c>
      <c r="K62" s="156">
        <f>SUM(K64:K64)</f>
        <v>0</v>
      </c>
      <c r="L62" s="156">
        <f>L63</f>
        <v>3529</v>
      </c>
      <c r="M62" s="156">
        <f>SUM(M64:M64)</f>
        <v>0</v>
      </c>
      <c r="N62" s="1313">
        <f>SUM(J62:M62)</f>
        <v>4014</v>
      </c>
    </row>
    <row r="63" spans="1:14" ht="12.75" customHeight="1">
      <c r="A63" s="154"/>
      <c r="B63" s="190" t="s">
        <v>320</v>
      </c>
      <c r="C63" s="173" t="s">
        <v>201</v>
      </c>
      <c r="D63" s="156"/>
      <c r="E63" s="156"/>
      <c r="F63" s="156"/>
      <c r="G63" s="156"/>
      <c r="H63" s="156"/>
      <c r="I63" s="156"/>
      <c r="J63" s="156">
        <v>0</v>
      </c>
      <c r="K63" s="156"/>
      <c r="L63" s="1261">
        <v>3529</v>
      </c>
      <c r="M63" s="156"/>
      <c r="N63" s="1313">
        <f>L63</f>
        <v>3529</v>
      </c>
    </row>
    <row r="64" spans="1:14" ht="21.75" customHeight="1" thickBot="1">
      <c r="A64" s="171"/>
      <c r="B64" s="172" t="s">
        <v>349</v>
      </c>
      <c r="C64" s="258" t="s">
        <v>822</v>
      </c>
      <c r="D64" s="174"/>
      <c r="E64" s="174"/>
      <c r="F64" s="175"/>
      <c r="G64" s="174"/>
      <c r="H64" s="174">
        <v>485</v>
      </c>
      <c r="I64" s="174"/>
      <c r="J64" s="156">
        <f>SUM(D64:I64)</f>
        <v>485</v>
      </c>
      <c r="K64" s="174"/>
      <c r="L64" s="175">
        <v>0</v>
      </c>
      <c r="M64" s="175"/>
      <c r="N64" s="1313">
        <f>SUM(J64:M64)</f>
        <v>485</v>
      </c>
    </row>
    <row r="65" spans="1:14" s="179" customFormat="1" ht="12.75" customHeight="1" thickBot="1">
      <c r="A65" s="1271">
        <v>36</v>
      </c>
      <c r="B65" s="1272" t="s">
        <v>312</v>
      </c>
      <c r="C65" s="1273" t="s">
        <v>494</v>
      </c>
      <c r="D65" s="164">
        <v>0</v>
      </c>
      <c r="E65" s="164">
        <v>0</v>
      </c>
      <c r="F65" s="1273"/>
      <c r="G65" s="164"/>
      <c r="H65" s="164"/>
      <c r="I65" s="164">
        <v>9</v>
      </c>
      <c r="J65" s="164">
        <f>SUM(D65:I65)</f>
        <v>9</v>
      </c>
      <c r="K65" s="1589"/>
      <c r="L65" s="1589"/>
      <c r="M65" s="1589"/>
      <c r="N65" s="1305">
        <f>SUM(J65:M65)</f>
        <v>9</v>
      </c>
    </row>
    <row r="66" spans="1:14" s="179" customFormat="1" ht="12.75" customHeight="1">
      <c r="A66" s="154">
        <v>39</v>
      </c>
      <c r="B66" s="182"/>
      <c r="C66" s="157" t="s">
        <v>207</v>
      </c>
      <c r="D66" s="156">
        <f aca="true" t="shared" si="24" ref="D66:I66">SUM(D67:D67)</f>
        <v>0</v>
      </c>
      <c r="E66" s="156">
        <f t="shared" si="24"/>
        <v>0</v>
      </c>
      <c r="F66" s="156">
        <f t="shared" si="24"/>
        <v>228</v>
      </c>
      <c r="G66" s="156">
        <f t="shared" si="24"/>
        <v>0</v>
      </c>
      <c r="H66" s="156">
        <f t="shared" si="24"/>
        <v>0</v>
      </c>
      <c r="I66" s="156">
        <f t="shared" si="24"/>
        <v>0</v>
      </c>
      <c r="J66" s="156">
        <f>SUM(D66:I66)</f>
        <v>228</v>
      </c>
      <c r="K66" s="157">
        <f>SUM(K67:K67)</f>
        <v>0</v>
      </c>
      <c r="L66" s="157">
        <f>SUM(L67:L67)</f>
        <v>0</v>
      </c>
      <c r="M66" s="157">
        <f>SUM(M67:M67)</f>
        <v>0</v>
      </c>
      <c r="N66" s="1313">
        <f>SUM(J66:M66)</f>
        <v>228</v>
      </c>
    </row>
    <row r="67" spans="1:14" ht="10.5" customHeight="1" thickBot="1">
      <c r="A67" s="154"/>
      <c r="B67" s="1274" t="s">
        <v>318</v>
      </c>
      <c r="C67" s="173" t="s">
        <v>1247</v>
      </c>
      <c r="D67" s="1261"/>
      <c r="E67" s="1261"/>
      <c r="F67" s="1260">
        <v>228</v>
      </c>
      <c r="G67" s="1260"/>
      <c r="H67" s="1261">
        <v>0</v>
      </c>
      <c r="I67" s="1261"/>
      <c r="J67" s="176">
        <f>SUM(D67:I67)</f>
        <v>228</v>
      </c>
      <c r="K67" s="1260"/>
      <c r="L67" s="1260"/>
      <c r="M67" s="1260"/>
      <c r="N67" s="1300">
        <f>SUM(J67:M67)</f>
        <v>228</v>
      </c>
    </row>
    <row r="68" spans="1:14" s="179" customFormat="1" ht="11.25" customHeight="1">
      <c r="A68" s="2197"/>
      <c r="B68" s="2198"/>
      <c r="C68" s="2199"/>
      <c r="D68" s="738" t="s">
        <v>438</v>
      </c>
      <c r="E68" s="738" t="s">
        <v>963</v>
      </c>
      <c r="F68" s="738" t="s">
        <v>439</v>
      </c>
      <c r="G68" s="738" t="s">
        <v>440</v>
      </c>
      <c r="H68" s="2175" t="s">
        <v>484</v>
      </c>
      <c r="I68" s="2164" t="s">
        <v>482</v>
      </c>
      <c r="J68" s="1283" t="s">
        <v>359</v>
      </c>
      <c r="K68" s="738" t="s">
        <v>441</v>
      </c>
      <c r="L68" s="738" t="s">
        <v>965</v>
      </c>
      <c r="M68" s="738"/>
      <c r="N68" s="1284"/>
    </row>
    <row r="69" spans="1:14" s="179" customFormat="1" ht="11.25" customHeight="1">
      <c r="A69" s="2200"/>
      <c r="B69" s="2201"/>
      <c r="C69" s="2202"/>
      <c r="D69" s="745" t="s">
        <v>445</v>
      </c>
      <c r="E69" s="745" t="s">
        <v>446</v>
      </c>
      <c r="F69" s="745" t="s">
        <v>447</v>
      </c>
      <c r="G69" s="745" t="s">
        <v>448</v>
      </c>
      <c r="H69" s="2176"/>
      <c r="I69" s="2165"/>
      <c r="J69" s="1285" t="s">
        <v>892</v>
      </c>
      <c r="K69" s="745" t="s">
        <v>450</v>
      </c>
      <c r="L69" s="745" t="s">
        <v>449</v>
      </c>
      <c r="M69" s="745" t="s">
        <v>357</v>
      </c>
      <c r="N69" s="1286"/>
    </row>
    <row r="70" spans="1:14" s="179" customFormat="1" ht="11.25" customHeight="1" thickBot="1">
      <c r="A70" s="2203"/>
      <c r="B70" s="2204"/>
      <c r="C70" s="2118"/>
      <c r="D70" s="749" t="s">
        <v>447</v>
      </c>
      <c r="E70" s="749" t="s">
        <v>453</v>
      </c>
      <c r="F70" s="749"/>
      <c r="G70" s="749" t="s">
        <v>454</v>
      </c>
      <c r="H70" s="2177"/>
      <c r="I70" s="2166"/>
      <c r="J70" s="1287" t="s">
        <v>182</v>
      </c>
      <c r="K70" s="749" t="s">
        <v>455</v>
      </c>
      <c r="L70" s="749" t="s">
        <v>969</v>
      </c>
      <c r="M70" s="749"/>
      <c r="N70" s="1288"/>
    </row>
    <row r="71" spans="1:14" ht="27" customHeight="1">
      <c r="A71" s="2213" t="s">
        <v>1101</v>
      </c>
      <c r="B71" s="2214"/>
      <c r="C71" s="2215"/>
      <c r="D71" s="156">
        <f>D19+D22+D24+D26+D29+D33+D35+D38+D45+D49+D51+D52+D56+D59+D62+D65+D66+D42+D55</f>
        <v>1915</v>
      </c>
      <c r="E71" s="156">
        <f>E19+E22+E24+E26+E29+E33+E35+E38+E45+E49+E51+E52+E56+E59+E62+E65+E66+E42+E55</f>
        <v>527</v>
      </c>
      <c r="F71" s="156">
        <f>F19+F22+F24+F26+F29+F33+F35+F38+F45+F49+F51+F52+F56+F59+F62+F65+F66+F42+F55+F32</f>
        <v>14634</v>
      </c>
      <c r="G71" s="156">
        <f>G19+G22+G24+G26+G29+G33+G35+G38+G45+G49+G51+G52+G56+G59+G62+G65+G66+G42+G55</f>
        <v>0</v>
      </c>
      <c r="H71" s="156">
        <f>H19+H22+H24+H26+H29+H33+H35+H38+H45+H49+H51+H52+H56+H59+H62+H65+H66+H42+H55</f>
        <v>535</v>
      </c>
      <c r="I71" s="156">
        <f>I19+I22+I24+I26+I29+I33+I35+I38+I45+I49+I51+I52+I56+I59+I62+I65+I66+I42+I55</f>
        <v>9</v>
      </c>
      <c r="J71" s="156">
        <f>SUM(D71:I71)</f>
        <v>17620</v>
      </c>
      <c r="K71" s="156">
        <f>K19+K22+K24+K26+K29+K33+K35+K38+K45+K49+K51+K52+K56+K59+K62+K65+K66+K42+K55</f>
        <v>794796</v>
      </c>
      <c r="L71" s="156">
        <f>L19+L22+L24+L26+L29+L33+L35+L38+L45+L49+L51+L52+L56+L59+L62+L65+L66+L42+L55+L58</f>
        <v>33858</v>
      </c>
      <c r="M71" s="156">
        <f>M19+M22+M24+M26+M29+M33+M35+M38+M45+M49+M51+M52+M56+M59+M62+M65+M66+M42+M55</f>
        <v>300000</v>
      </c>
      <c r="N71" s="1313">
        <f>SUM(K71:M71)</f>
        <v>1128654</v>
      </c>
    </row>
    <row r="72" spans="1:14" ht="12.75" customHeight="1">
      <c r="A72" s="2205" t="s">
        <v>893</v>
      </c>
      <c r="B72" s="2206"/>
      <c r="C72" s="2207"/>
      <c r="D72" s="1289">
        <f>5!D667-5!D668-'12'!D71</f>
        <v>23518</v>
      </c>
      <c r="E72" s="1289">
        <f>5!E667-5!E668-'12'!E71</f>
        <v>8349</v>
      </c>
      <c r="F72" s="1289">
        <f>5!F667-5!F668-'12'!F71</f>
        <v>66985</v>
      </c>
      <c r="G72" s="1289">
        <f>5!G667-5!G668-'12'!G71</f>
        <v>0</v>
      </c>
      <c r="H72" s="1289">
        <f>5!H667-5!H668-'12'!H71</f>
        <v>51576</v>
      </c>
      <c r="I72" s="1289">
        <f>5!I667-5!I668-'12'!I71</f>
        <v>8489</v>
      </c>
      <c r="J72" s="1289">
        <f>SUM(D72:I72)+15667</f>
        <v>174584</v>
      </c>
      <c r="K72" s="1289">
        <f>5!K667-5!K668-'12'!K71</f>
        <v>520588</v>
      </c>
      <c r="L72" s="1289">
        <f>5!L667-5!L668-'12'!L71</f>
        <v>-4544</v>
      </c>
      <c r="M72" s="1289">
        <f>5!M667-5!M668-M71-15667</f>
        <v>0</v>
      </c>
      <c r="N72" s="1290">
        <f>K72+L72</f>
        <v>516044</v>
      </c>
    </row>
    <row r="73" spans="1:14" ht="12.75" customHeight="1">
      <c r="A73" s="2208" t="s">
        <v>894</v>
      </c>
      <c r="B73" s="2206"/>
      <c r="C73" s="2207"/>
      <c r="D73" s="1291">
        <f>D71+D72</f>
        <v>25433</v>
      </c>
      <c r="E73" s="1291">
        <f>E71+E72</f>
        <v>8876</v>
      </c>
      <c r="F73" s="1291">
        <f>F71+F72</f>
        <v>81619</v>
      </c>
      <c r="G73" s="1291">
        <f aca="true" t="shared" si="25" ref="G73:N73">G71+G72</f>
        <v>0</v>
      </c>
      <c r="H73" s="1291">
        <f>H71+H72</f>
        <v>52111</v>
      </c>
      <c r="I73" s="1291">
        <f>I71+I72</f>
        <v>8498</v>
      </c>
      <c r="J73" s="1291">
        <f>J71+J72</f>
        <v>192204</v>
      </c>
      <c r="K73" s="1291">
        <f t="shared" si="25"/>
        <v>1315384</v>
      </c>
      <c r="L73" s="1291">
        <f t="shared" si="25"/>
        <v>29314</v>
      </c>
      <c r="M73" s="1291">
        <f t="shared" si="25"/>
        <v>300000</v>
      </c>
      <c r="N73" s="1292">
        <f t="shared" si="25"/>
        <v>1644698</v>
      </c>
    </row>
    <row r="74" spans="1:14" ht="12.75" customHeight="1">
      <c r="A74" s="2191" t="s">
        <v>1249</v>
      </c>
      <c r="B74" s="2192"/>
      <c r="C74" s="2193"/>
      <c r="D74" s="1291"/>
      <c r="E74" s="1291"/>
      <c r="F74" s="1291"/>
      <c r="G74" s="1291"/>
      <c r="H74" s="1291"/>
      <c r="I74" s="1291"/>
      <c r="J74" s="1291">
        <f>3!D573-3!D572</f>
        <v>-193131</v>
      </c>
      <c r="K74" s="1291"/>
      <c r="L74" s="1291"/>
      <c r="M74" s="1291"/>
      <c r="N74" s="1292">
        <f>3!E573-3!E572</f>
        <v>-1600795</v>
      </c>
    </row>
    <row r="75" spans="1:14" ht="12.75" customHeight="1">
      <c r="A75" s="1293"/>
      <c r="B75" s="1294"/>
      <c r="C75" s="1295"/>
      <c r="D75" s="1291"/>
      <c r="E75" s="1291"/>
      <c r="F75" s="1291"/>
      <c r="G75" s="1291"/>
      <c r="H75" s="1291"/>
      <c r="I75" s="1291"/>
      <c r="J75" s="1296" t="s">
        <v>895</v>
      </c>
      <c r="K75" s="1296"/>
      <c r="L75" s="1296"/>
      <c r="M75" s="1296"/>
      <c r="N75" s="1297" t="s">
        <v>891</v>
      </c>
    </row>
    <row r="76" spans="1:14" ht="22.5" customHeight="1">
      <c r="A76" s="2209" t="s">
        <v>1102</v>
      </c>
      <c r="B76" s="2210"/>
      <c r="C76" s="2211"/>
      <c r="D76" s="1291">
        <f aca="true" t="shared" si="26" ref="D76:I76">D71+D14</f>
        <v>3225</v>
      </c>
      <c r="E76" s="1291">
        <f t="shared" si="26"/>
        <v>758</v>
      </c>
      <c r="F76" s="1291">
        <f t="shared" si="26"/>
        <v>17751</v>
      </c>
      <c r="G76" s="1291">
        <f t="shared" si="26"/>
        <v>0</v>
      </c>
      <c r="H76" s="1291">
        <f t="shared" si="26"/>
        <v>535</v>
      </c>
      <c r="I76" s="1291">
        <f t="shared" si="26"/>
        <v>9</v>
      </c>
      <c r="J76" s="1291">
        <f>SUM(D76:I76)</f>
        <v>22278</v>
      </c>
      <c r="K76" s="1291">
        <f>K71+K14</f>
        <v>795193</v>
      </c>
      <c r="L76" s="1291">
        <f>L71+L14</f>
        <v>33858</v>
      </c>
      <c r="M76" s="1291">
        <f>M71+M14</f>
        <v>300000</v>
      </c>
      <c r="N76" s="1292">
        <f>K76+L76+M76</f>
        <v>1129051</v>
      </c>
    </row>
    <row r="77" spans="1:14" ht="12.75" customHeight="1">
      <c r="A77" s="2191" t="s">
        <v>1103</v>
      </c>
      <c r="B77" s="2192"/>
      <c r="C77" s="2193"/>
      <c r="D77" s="1291">
        <f aca="true" t="shared" si="27" ref="D77:I77">D72+D16</f>
        <v>31373</v>
      </c>
      <c r="E77" s="1291">
        <f t="shared" si="27"/>
        <v>10590</v>
      </c>
      <c r="F77" s="1291">
        <f t="shared" si="27"/>
        <v>72568</v>
      </c>
      <c r="G77" s="1291">
        <f t="shared" si="27"/>
        <v>0</v>
      </c>
      <c r="H77" s="1291">
        <f t="shared" si="27"/>
        <v>51576</v>
      </c>
      <c r="I77" s="1291">
        <f t="shared" si="27"/>
        <v>8489</v>
      </c>
      <c r="J77" s="1291">
        <f>SUM(D77:I77)+15667</f>
        <v>190263</v>
      </c>
      <c r="K77" s="1291">
        <f>K72+K16</f>
        <v>520642</v>
      </c>
      <c r="L77" s="1291">
        <f>L72+L16</f>
        <v>-4544</v>
      </c>
      <c r="M77" s="1291">
        <f>M72+M16</f>
        <v>0</v>
      </c>
      <c r="N77" s="1292">
        <f>K77+L77</f>
        <v>516098</v>
      </c>
    </row>
    <row r="78" spans="1:14" ht="12.75" customHeight="1">
      <c r="A78" s="2191" t="s">
        <v>1104</v>
      </c>
      <c r="B78" s="2192"/>
      <c r="C78" s="2193"/>
      <c r="D78" s="1291"/>
      <c r="E78" s="1291"/>
      <c r="F78" s="1291"/>
      <c r="G78" s="1291"/>
      <c r="H78" s="1291"/>
      <c r="I78" s="1291"/>
      <c r="J78" s="1291">
        <v>0</v>
      </c>
      <c r="K78" s="1291"/>
      <c r="L78" s="1291"/>
      <c r="M78" s="1291"/>
      <c r="N78" s="1292">
        <f>N74+N17+N15</f>
        <v>-1600795</v>
      </c>
    </row>
    <row r="79" spans="1:14" ht="12.75" customHeight="1" thickBot="1">
      <c r="A79" s="2194" t="s">
        <v>1105</v>
      </c>
      <c r="B79" s="2195"/>
      <c r="C79" s="2196"/>
      <c r="D79" s="1298"/>
      <c r="E79" s="1298"/>
      <c r="F79" s="1298"/>
      <c r="G79" s="1298"/>
      <c r="H79" s="1298"/>
      <c r="I79" s="1298"/>
      <c r="J79" s="1298">
        <f>J74+J17</f>
        <v>-190263</v>
      </c>
      <c r="K79" s="1298"/>
      <c r="L79" s="1298"/>
      <c r="M79" s="1298"/>
      <c r="N79" s="1299">
        <v>0</v>
      </c>
    </row>
    <row r="80" spans="1:14" ht="12.75" customHeight="1">
      <c r="A80" s="1692"/>
      <c r="B80" s="1693"/>
      <c r="C80" s="1693"/>
      <c r="D80" s="1694"/>
      <c r="E80" s="1694"/>
      <c r="F80" s="1694"/>
      <c r="G80" s="1694"/>
      <c r="H80" s="1694"/>
      <c r="I80" s="1694"/>
      <c r="J80" s="1694"/>
      <c r="K80" s="1694"/>
      <c r="L80" s="1694"/>
      <c r="M80" s="1694"/>
      <c r="N80" s="1694"/>
    </row>
    <row r="81" spans="1:6" ht="12.75" customHeight="1">
      <c r="A81" s="2190" t="s">
        <v>1109</v>
      </c>
      <c r="B81" s="2190"/>
      <c r="C81" s="2190"/>
      <c r="D81" s="1695" t="s">
        <v>1106</v>
      </c>
      <c r="E81" s="1695" t="s">
        <v>891</v>
      </c>
      <c r="F81" s="1695" t="s">
        <v>361</v>
      </c>
    </row>
    <row r="82" spans="1:14" s="1691" customFormat="1" ht="12.75" customHeight="1">
      <c r="A82" s="2190" t="s">
        <v>1108</v>
      </c>
      <c r="B82" s="2190"/>
      <c r="C82" s="2190"/>
      <c r="D82" s="177">
        <f>J79</f>
        <v>-190263</v>
      </c>
      <c r="E82" s="177">
        <f>N78</f>
        <v>-1600795</v>
      </c>
      <c r="F82" s="177">
        <f>E82+D82</f>
        <v>-1791058</v>
      </c>
      <c r="G82" s="1690"/>
      <c r="H82" s="1690"/>
      <c r="I82" s="1690"/>
      <c r="J82" s="1690"/>
      <c r="K82" s="1690"/>
      <c r="L82" s="1690"/>
      <c r="M82" s="1690"/>
      <c r="N82" s="1690"/>
    </row>
    <row r="83" spans="1:14" s="1691" customFormat="1" ht="12.75" customHeight="1">
      <c r="A83" s="2190" t="s">
        <v>1107</v>
      </c>
      <c r="B83" s="2190"/>
      <c r="C83" s="2190"/>
      <c r="D83" s="177">
        <f>J76+J77</f>
        <v>212541</v>
      </c>
      <c r="E83" s="177">
        <f>N76+N77</f>
        <v>1645149</v>
      </c>
      <c r="F83" s="177">
        <f>E83+D83</f>
        <v>1857690</v>
      </c>
      <c r="G83" s="1690"/>
      <c r="H83" s="1690"/>
      <c r="I83" s="1690"/>
      <c r="J83" s="1690"/>
      <c r="K83" s="1690"/>
      <c r="L83" s="1690"/>
      <c r="M83" s="1690"/>
      <c r="N83" s="1690"/>
    </row>
    <row r="84" spans="1:14" s="1691" customFormat="1" ht="12.75" customHeight="1">
      <c r="A84" s="2190" t="s">
        <v>1110</v>
      </c>
      <c r="B84" s="2190"/>
      <c r="C84" s="2190"/>
      <c r="D84" s="177">
        <f>D83+D82</f>
        <v>22278</v>
      </c>
      <c r="E84" s="177">
        <f>E83+E82</f>
        <v>44354</v>
      </c>
      <c r="F84" s="177">
        <f>E84+D84</f>
        <v>66632</v>
      </c>
      <c r="G84" s="1690"/>
      <c r="H84" s="1690"/>
      <c r="I84" s="1690"/>
      <c r="J84" s="1690"/>
      <c r="K84" s="1690"/>
      <c r="L84" s="1690"/>
      <c r="M84" s="1690"/>
      <c r="N84" s="1690"/>
    </row>
  </sheetData>
  <sheetProtection/>
  <mergeCells count="22">
    <mergeCell ref="H5:I5"/>
    <mergeCell ref="A71:C71"/>
    <mergeCell ref="H6:H7"/>
    <mergeCell ref="A18:C18"/>
    <mergeCell ref="A5:B5"/>
    <mergeCell ref="A6:B6"/>
    <mergeCell ref="A7:B7"/>
    <mergeCell ref="H68:H70"/>
    <mergeCell ref="I68:I70"/>
    <mergeCell ref="A68:C70"/>
    <mergeCell ref="A72:C72"/>
    <mergeCell ref="A73:C73"/>
    <mergeCell ref="A74:C74"/>
    <mergeCell ref="A76:C76"/>
    <mergeCell ref="I6:I7"/>
    <mergeCell ref="A82:C82"/>
    <mergeCell ref="A83:C83"/>
    <mergeCell ref="A84:C84"/>
    <mergeCell ref="A81:C81"/>
    <mergeCell ref="A77:C77"/>
    <mergeCell ref="A78:C78"/>
    <mergeCell ref="A79:C7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0" r:id="rId2"/>
  <rowBreaks count="1" manualBreakCount="1">
    <brk id="44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4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375" style="993" customWidth="1"/>
    <col min="2" max="2" width="11.125" style="994" customWidth="1"/>
    <col min="3" max="5" width="9.125" style="993" customWidth="1"/>
    <col min="6" max="6" width="10.00390625" style="993" customWidth="1"/>
    <col min="7" max="7" width="8.375" style="993" customWidth="1"/>
    <col min="8" max="8" width="10.75390625" style="995" customWidth="1"/>
    <col min="9" max="9" width="7.75390625" style="996" customWidth="1"/>
    <col min="10" max="10" width="10.00390625" style="996" customWidth="1"/>
    <col min="11" max="11" width="8.25390625" style="996" customWidth="1"/>
    <col min="12" max="12" width="11.625" style="996" customWidth="1"/>
    <col min="13" max="13" width="7.00390625" style="997" customWidth="1"/>
    <col min="14" max="14" width="10.875" style="997" customWidth="1"/>
    <col min="15" max="16384" width="9.125" style="999" customWidth="1"/>
  </cols>
  <sheetData>
    <row r="5" ht="12.75">
      <c r="N5" s="998" t="s">
        <v>87</v>
      </c>
    </row>
    <row r="6" spans="1:14" s="1001" customFormat="1" ht="24" customHeight="1">
      <c r="A6" s="1821" t="s">
        <v>467</v>
      </c>
      <c r="B6" s="1843" t="s">
        <v>88</v>
      </c>
      <c r="C6" s="1844"/>
      <c r="D6" s="1844"/>
      <c r="E6" s="1844"/>
      <c r="F6" s="1844"/>
      <c r="G6" s="1821" t="s">
        <v>89</v>
      </c>
      <c r="H6" s="1821"/>
      <c r="I6" s="1854" t="s">
        <v>90</v>
      </c>
      <c r="J6" s="1855"/>
      <c r="K6" s="1854" t="s">
        <v>91</v>
      </c>
      <c r="L6" s="1855"/>
      <c r="M6" s="1854" t="s">
        <v>92</v>
      </c>
      <c r="N6" s="1855"/>
    </row>
    <row r="7" spans="1:14" s="1001" customFormat="1" ht="26.25" customHeight="1">
      <c r="A7" s="1821"/>
      <c r="B7" s="1845"/>
      <c r="C7" s="1846"/>
      <c r="D7" s="1846"/>
      <c r="E7" s="1846"/>
      <c r="F7" s="1846"/>
      <c r="G7" s="1000" t="s">
        <v>93</v>
      </c>
      <c r="H7" s="1000" t="s">
        <v>94</v>
      </c>
      <c r="I7" s="1002" t="s">
        <v>93</v>
      </c>
      <c r="J7" s="1002" t="s">
        <v>94</v>
      </c>
      <c r="K7" s="1002" t="s">
        <v>93</v>
      </c>
      <c r="L7" s="1002" t="s">
        <v>94</v>
      </c>
      <c r="M7" s="1002" t="s">
        <v>93</v>
      </c>
      <c r="N7" s="1002" t="s">
        <v>94</v>
      </c>
    </row>
    <row r="8" spans="1:14" s="1554" customFormat="1" ht="20.25" customHeight="1">
      <c r="A8" s="1829" t="s">
        <v>875</v>
      </c>
      <c r="B8" s="1852"/>
      <c r="C8" s="1852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3"/>
    </row>
    <row r="9" spans="1:14" ht="12.75" customHeight="1">
      <c r="A9" s="1003">
        <v>1</v>
      </c>
      <c r="B9" s="1847" t="s">
        <v>592</v>
      </c>
      <c r="C9" s="1848"/>
      <c r="D9" s="1848"/>
      <c r="E9" s="1848"/>
      <c r="F9" s="1849"/>
      <c r="G9" s="1004">
        <v>14742</v>
      </c>
      <c r="H9" s="1005">
        <v>40820598</v>
      </c>
      <c r="I9" s="1006">
        <v>0</v>
      </c>
      <c r="J9" s="1006">
        <v>0</v>
      </c>
      <c r="K9" s="1006">
        <v>14742</v>
      </c>
      <c r="L9" s="1006">
        <v>40820598</v>
      </c>
      <c r="M9" s="1006">
        <f>K9-G9-I9</f>
        <v>0</v>
      </c>
      <c r="N9" s="1006">
        <f>L9-H9-J9</f>
        <v>0</v>
      </c>
    </row>
    <row r="10" spans="1:14" ht="12.75">
      <c r="A10" s="1003">
        <v>2</v>
      </c>
      <c r="B10" s="1827" t="s">
        <v>95</v>
      </c>
      <c r="C10" s="1820" t="s">
        <v>96</v>
      </c>
      <c r="D10" s="1820"/>
      <c r="E10" s="1820"/>
      <c r="F10" s="1820"/>
      <c r="G10" s="1008">
        <v>1</v>
      </c>
      <c r="H10" s="1009">
        <v>3000000</v>
      </c>
      <c r="I10" s="1006">
        <v>0</v>
      </c>
      <c r="J10" s="1006">
        <v>0</v>
      </c>
      <c r="K10" s="1008">
        <v>1</v>
      </c>
      <c r="L10" s="1009">
        <v>3000000</v>
      </c>
      <c r="M10" s="1006">
        <f aca="true" t="shared" si="0" ref="M10:M31">K10-G10-I10</f>
        <v>0</v>
      </c>
      <c r="N10" s="1006">
        <f aca="true" t="shared" si="1" ref="N10:N26">L10-H10-J10</f>
        <v>0</v>
      </c>
    </row>
    <row r="11" spans="1:14" ht="12.75">
      <c r="A11" s="1003">
        <v>3</v>
      </c>
      <c r="B11" s="1850"/>
      <c r="C11" s="1820" t="s">
        <v>97</v>
      </c>
      <c r="D11" s="1820"/>
      <c r="E11" s="1820"/>
      <c r="F11" s="1820"/>
      <c r="G11" s="1008">
        <v>23393</v>
      </c>
      <c r="H11" s="1009">
        <v>6456468</v>
      </c>
      <c r="I11" s="1006">
        <v>0</v>
      </c>
      <c r="J11" s="1006">
        <v>0</v>
      </c>
      <c r="K11" s="1008">
        <v>23393</v>
      </c>
      <c r="L11" s="1009">
        <v>6456468</v>
      </c>
      <c r="M11" s="1006">
        <f t="shared" si="0"/>
        <v>0</v>
      </c>
      <c r="N11" s="1006">
        <f t="shared" si="1"/>
        <v>0</v>
      </c>
    </row>
    <row r="12" spans="1:14" ht="12.75">
      <c r="A12" s="1003">
        <v>4</v>
      </c>
      <c r="B12" s="1850"/>
      <c r="C12" s="1820" t="s">
        <v>98</v>
      </c>
      <c r="D12" s="1820"/>
      <c r="E12" s="1820"/>
      <c r="F12" s="1820"/>
      <c r="G12" s="1008">
        <v>157</v>
      </c>
      <c r="H12" s="1009">
        <v>4490200</v>
      </c>
      <c r="I12" s="1006">
        <v>0</v>
      </c>
      <c r="J12" s="1006">
        <v>0</v>
      </c>
      <c r="K12" s="1008">
        <v>157</v>
      </c>
      <c r="L12" s="1009">
        <v>4490200</v>
      </c>
      <c r="M12" s="1006">
        <f t="shared" si="0"/>
        <v>0</v>
      </c>
      <c r="N12" s="1006">
        <f t="shared" si="1"/>
        <v>0</v>
      </c>
    </row>
    <row r="13" spans="1:14" ht="12.75">
      <c r="A13" s="1003">
        <v>5</v>
      </c>
      <c r="B13" s="1850"/>
      <c r="C13" s="1813" t="s">
        <v>99</v>
      </c>
      <c r="D13" s="1814"/>
      <c r="E13" s="1814"/>
      <c r="F13" s="1814"/>
      <c r="G13" s="1008">
        <v>25298</v>
      </c>
      <c r="H13" s="1009">
        <v>1416688</v>
      </c>
      <c r="I13" s="1006">
        <v>0</v>
      </c>
      <c r="J13" s="1006">
        <v>0</v>
      </c>
      <c r="K13" s="1008">
        <v>25298</v>
      </c>
      <c r="L13" s="1009">
        <v>1416688</v>
      </c>
      <c r="M13" s="1006">
        <f t="shared" si="0"/>
        <v>0</v>
      </c>
      <c r="N13" s="1006">
        <f t="shared" si="1"/>
        <v>0</v>
      </c>
    </row>
    <row r="14" spans="1:14" ht="12.75">
      <c r="A14" s="1003">
        <v>6</v>
      </c>
      <c r="B14" s="1851"/>
      <c r="C14" s="1822" t="s">
        <v>100</v>
      </c>
      <c r="D14" s="1835"/>
      <c r="E14" s="1835"/>
      <c r="F14" s="1836"/>
      <c r="G14" s="1008">
        <v>416</v>
      </c>
      <c r="H14" s="1009">
        <v>3215264</v>
      </c>
      <c r="I14" s="1006">
        <v>0</v>
      </c>
      <c r="J14" s="1006">
        <v>0</v>
      </c>
      <c r="K14" s="1008">
        <v>416</v>
      </c>
      <c r="L14" s="1009">
        <v>3215264</v>
      </c>
      <c r="M14" s="1006">
        <f t="shared" si="0"/>
        <v>0</v>
      </c>
      <c r="N14" s="1006">
        <f t="shared" si="1"/>
        <v>0</v>
      </c>
    </row>
    <row r="15" spans="1:14" ht="12.75">
      <c r="A15" s="1003">
        <v>7</v>
      </c>
      <c r="B15" s="1813" t="s">
        <v>101</v>
      </c>
      <c r="C15" s="1814"/>
      <c r="D15" s="1814"/>
      <c r="E15" s="1814"/>
      <c r="F15" s="1814"/>
      <c r="G15" s="1008">
        <v>1109</v>
      </c>
      <c r="H15" s="1009">
        <v>2896708</v>
      </c>
      <c r="I15" s="1006">
        <v>0</v>
      </c>
      <c r="J15" s="1006">
        <v>0</v>
      </c>
      <c r="K15" s="1008">
        <v>1109</v>
      </c>
      <c r="L15" s="1009">
        <v>2896708</v>
      </c>
      <c r="M15" s="1006">
        <f t="shared" si="0"/>
        <v>0</v>
      </c>
      <c r="N15" s="1006">
        <f t="shared" si="1"/>
        <v>0</v>
      </c>
    </row>
    <row r="16" spans="1:14" ht="12.75">
      <c r="A16" s="1003">
        <v>8</v>
      </c>
      <c r="B16" s="1813" t="s">
        <v>102</v>
      </c>
      <c r="C16" s="1814"/>
      <c r="D16" s="1814"/>
      <c r="E16" s="1814"/>
      <c r="F16" s="1814"/>
      <c r="G16" s="1008">
        <v>600</v>
      </c>
      <c r="H16" s="1009">
        <v>60000</v>
      </c>
      <c r="I16" s="1006">
        <v>0</v>
      </c>
      <c r="J16" s="1006">
        <v>0</v>
      </c>
      <c r="K16" s="1006">
        <v>5040</v>
      </c>
      <c r="L16" s="1006">
        <v>504000</v>
      </c>
      <c r="M16" s="1006">
        <f t="shared" si="0"/>
        <v>4440</v>
      </c>
      <c r="N16" s="1006">
        <f t="shared" si="1"/>
        <v>444000</v>
      </c>
    </row>
    <row r="17" spans="1:14" ht="12.75">
      <c r="A17" s="1003">
        <v>9</v>
      </c>
      <c r="B17" s="1813" t="s">
        <v>103</v>
      </c>
      <c r="C17" s="1814"/>
      <c r="D17" s="1814"/>
      <c r="E17" s="1814"/>
      <c r="F17" s="1814"/>
      <c r="G17" s="1008">
        <v>2000000</v>
      </c>
      <c r="H17" s="1009">
        <v>3000000</v>
      </c>
      <c r="I17" s="1006">
        <v>0</v>
      </c>
      <c r="J17" s="1006">
        <v>0</v>
      </c>
      <c r="K17" s="1006">
        <v>2718000</v>
      </c>
      <c r="L17" s="1006">
        <v>4077000</v>
      </c>
      <c r="M17" s="1006">
        <f t="shared" si="0"/>
        <v>718000</v>
      </c>
      <c r="N17" s="1006">
        <f t="shared" si="1"/>
        <v>1077000</v>
      </c>
    </row>
    <row r="18" spans="1:14" ht="12.75">
      <c r="A18" s="1003">
        <v>10</v>
      </c>
      <c r="B18" s="1813" t="s">
        <v>105</v>
      </c>
      <c r="C18" s="1814"/>
      <c r="D18" s="1814"/>
      <c r="E18" s="1814"/>
      <c r="F18" s="1814"/>
      <c r="G18" s="1008">
        <v>0</v>
      </c>
      <c r="H18" s="1009">
        <v>76909014</v>
      </c>
      <c r="I18" s="1006">
        <v>0</v>
      </c>
      <c r="J18" s="1006">
        <v>0</v>
      </c>
      <c r="K18" s="1006">
        <v>0</v>
      </c>
      <c r="L18" s="1006">
        <v>76909014</v>
      </c>
      <c r="M18" s="1006">
        <f t="shared" si="0"/>
        <v>0</v>
      </c>
      <c r="N18" s="1006">
        <f t="shared" si="1"/>
        <v>0</v>
      </c>
    </row>
    <row r="19" spans="1:14" ht="12.75">
      <c r="A19" s="1003">
        <v>11</v>
      </c>
      <c r="B19" s="1821" t="s">
        <v>106</v>
      </c>
      <c r="C19" s="1820" t="s">
        <v>107</v>
      </c>
      <c r="D19" s="1820"/>
      <c r="E19" s="1820"/>
      <c r="F19" s="1820"/>
      <c r="G19" s="1541">
        <v>29484</v>
      </c>
      <c r="H19" s="1009">
        <v>5823090</v>
      </c>
      <c r="I19" s="1006">
        <v>0</v>
      </c>
      <c r="J19" s="1006">
        <v>0</v>
      </c>
      <c r="K19" s="1541">
        <v>29484</v>
      </c>
      <c r="L19" s="1009">
        <v>5823090</v>
      </c>
      <c r="M19" s="1006">
        <f t="shared" si="0"/>
        <v>0</v>
      </c>
      <c r="N19" s="1006">
        <f t="shared" si="1"/>
        <v>0</v>
      </c>
    </row>
    <row r="20" spans="1:14" ht="12.75">
      <c r="A20" s="1003">
        <v>12</v>
      </c>
      <c r="B20" s="1821"/>
      <c r="C20" s="1820" t="s">
        <v>108</v>
      </c>
      <c r="D20" s="1820"/>
      <c r="E20" s="1820"/>
      <c r="F20" s="1820"/>
      <c r="G20" s="1008">
        <v>29484</v>
      </c>
      <c r="H20" s="1009">
        <v>5823090</v>
      </c>
      <c r="I20" s="1006">
        <v>0</v>
      </c>
      <c r="J20" s="1006">
        <v>0</v>
      </c>
      <c r="K20" s="1008">
        <v>29484</v>
      </c>
      <c r="L20" s="1009">
        <v>5823090</v>
      </c>
      <c r="M20" s="1006">
        <f t="shared" si="0"/>
        <v>0</v>
      </c>
      <c r="N20" s="1006">
        <f t="shared" si="1"/>
        <v>0</v>
      </c>
    </row>
    <row r="21" spans="1:14" ht="12.75">
      <c r="A21" s="1003">
        <v>13</v>
      </c>
      <c r="B21" s="1821"/>
      <c r="C21" s="1820" t="s">
        <v>40</v>
      </c>
      <c r="D21" s="1820"/>
      <c r="E21" s="1820"/>
      <c r="F21" s="1820"/>
      <c r="G21" s="1008">
        <v>80</v>
      </c>
      <c r="H21" s="1009">
        <v>4428800</v>
      </c>
      <c r="I21" s="1006">
        <v>-40</v>
      </c>
      <c r="J21" s="1006">
        <f>I21*55360+100000</f>
        <v>-2114400</v>
      </c>
      <c r="K21" s="1006">
        <v>41</v>
      </c>
      <c r="L21" s="1006">
        <v>2269760</v>
      </c>
      <c r="M21" s="1006">
        <f t="shared" si="0"/>
        <v>1</v>
      </c>
      <c r="N21" s="1006">
        <v>55360</v>
      </c>
    </row>
    <row r="22" spans="1:14" ht="12.75">
      <c r="A22" s="1003">
        <v>14</v>
      </c>
      <c r="B22" s="1821"/>
      <c r="C22" s="1820" t="s">
        <v>39</v>
      </c>
      <c r="D22" s="1820"/>
      <c r="E22" s="1820"/>
      <c r="F22" s="1820"/>
      <c r="G22" s="1008">
        <v>39</v>
      </c>
      <c r="H22" s="1009">
        <v>6477120</v>
      </c>
      <c r="I22" s="1006">
        <v>-22</v>
      </c>
      <c r="J22" s="1006">
        <f>166080*I22+309320</f>
        <v>-3344440</v>
      </c>
      <c r="K22" s="1006">
        <v>18</v>
      </c>
      <c r="L22" s="1006">
        <v>2989440</v>
      </c>
      <c r="M22" s="1006">
        <v>-1</v>
      </c>
      <c r="N22" s="1006">
        <v>-166080</v>
      </c>
    </row>
    <row r="23" spans="1:14" ht="12.75">
      <c r="A23" s="1003">
        <v>15</v>
      </c>
      <c r="B23" s="1821"/>
      <c r="C23" s="1820" t="s">
        <v>109</v>
      </c>
      <c r="D23" s="1820"/>
      <c r="E23" s="1820"/>
      <c r="F23" s="1820"/>
      <c r="G23" s="1008">
        <v>28</v>
      </c>
      <c r="H23" s="1009">
        <v>2480240</v>
      </c>
      <c r="I23" s="1006">
        <v>-16</v>
      </c>
      <c r="J23" s="1006">
        <f>88580*I23+100000</f>
        <v>-1317280</v>
      </c>
      <c r="K23" s="1006">
        <v>12</v>
      </c>
      <c r="L23" s="1006">
        <v>1062960</v>
      </c>
      <c r="M23" s="1006">
        <v>-2</v>
      </c>
      <c r="N23" s="1006">
        <v>-177160</v>
      </c>
    </row>
    <row r="24" spans="1:14" ht="16.5" customHeight="1">
      <c r="A24" s="1003">
        <v>16</v>
      </c>
      <c r="B24" s="1821" t="s">
        <v>110</v>
      </c>
      <c r="C24" s="1820" t="s">
        <v>111</v>
      </c>
      <c r="D24" s="1820"/>
      <c r="E24" s="1820"/>
      <c r="F24" s="1820"/>
      <c r="G24" s="1008">
        <v>38</v>
      </c>
      <c r="H24" s="1009">
        <v>18775800</v>
      </c>
      <c r="I24" s="1006">
        <v>-7</v>
      </c>
      <c r="J24" s="1006">
        <v>-3526700</v>
      </c>
      <c r="K24" s="1006">
        <v>31</v>
      </c>
      <c r="L24" s="1006">
        <v>15317100</v>
      </c>
      <c r="M24" s="1006">
        <f t="shared" si="0"/>
        <v>0</v>
      </c>
      <c r="N24" s="1006">
        <v>0</v>
      </c>
    </row>
    <row r="25" spans="1:14" ht="18" customHeight="1">
      <c r="A25" s="1003">
        <v>17</v>
      </c>
      <c r="B25" s="1821"/>
      <c r="C25" s="1820" t="s">
        <v>112</v>
      </c>
      <c r="D25" s="1820"/>
      <c r="E25" s="1820"/>
      <c r="F25" s="1820"/>
      <c r="G25" s="1008">
        <v>1</v>
      </c>
      <c r="H25" s="1009">
        <v>68000</v>
      </c>
      <c r="I25" s="1006">
        <v>1</v>
      </c>
      <c r="J25" s="1006">
        <v>68000</v>
      </c>
      <c r="K25" s="1006">
        <v>2</v>
      </c>
      <c r="L25" s="1006">
        <v>136000</v>
      </c>
      <c r="M25" s="1006">
        <v>1</v>
      </c>
      <c r="N25" s="1006">
        <v>68000</v>
      </c>
    </row>
    <row r="26" spans="1:14" ht="12.75">
      <c r="A26" s="1003">
        <v>18</v>
      </c>
      <c r="B26" s="1827" t="s">
        <v>113</v>
      </c>
      <c r="C26" s="1820" t="s">
        <v>114</v>
      </c>
      <c r="D26" s="1820"/>
      <c r="E26" s="1820"/>
      <c r="F26" s="1820"/>
      <c r="G26" s="1008">
        <v>405</v>
      </c>
      <c r="H26" s="1009">
        <v>13473333</v>
      </c>
      <c r="I26" s="1006">
        <v>0</v>
      </c>
      <c r="J26" s="1006">
        <v>0</v>
      </c>
      <c r="K26" s="1006">
        <v>405</v>
      </c>
      <c r="L26" s="1006">
        <v>13473333</v>
      </c>
      <c r="M26" s="1006">
        <f t="shared" si="0"/>
        <v>0</v>
      </c>
      <c r="N26" s="1006">
        <f t="shared" si="1"/>
        <v>0</v>
      </c>
    </row>
    <row r="27" spans="1:14" ht="12.75">
      <c r="A27" s="1003">
        <v>19</v>
      </c>
      <c r="B27" s="1828"/>
      <c r="C27" s="1820" t="s">
        <v>115</v>
      </c>
      <c r="D27" s="1820"/>
      <c r="E27" s="1820"/>
      <c r="F27" s="1820"/>
      <c r="G27" s="1008">
        <v>113</v>
      </c>
      <c r="H27" s="1009">
        <v>1410000</v>
      </c>
      <c r="I27" s="1006">
        <v>-1</v>
      </c>
      <c r="J27" s="1006">
        <v>-27840</v>
      </c>
      <c r="K27" s="1006">
        <v>112</v>
      </c>
      <c r="L27" s="1006">
        <v>1410000</v>
      </c>
      <c r="M27" s="1006">
        <f t="shared" si="0"/>
        <v>0</v>
      </c>
      <c r="N27" s="1006">
        <v>0</v>
      </c>
    </row>
    <row r="28" spans="1:14" ht="12.75">
      <c r="A28" s="1003">
        <v>20</v>
      </c>
      <c r="B28" s="1828"/>
      <c r="C28" s="1820" t="s">
        <v>116</v>
      </c>
      <c r="D28" s="1820"/>
      <c r="E28" s="1820"/>
      <c r="F28" s="1820"/>
      <c r="G28" s="1008">
        <v>405</v>
      </c>
      <c r="H28" s="1009">
        <v>14256667</v>
      </c>
      <c r="I28" s="1006">
        <v>-26</v>
      </c>
      <c r="J28" s="1006">
        <f>-723840+12</f>
        <v>-723828</v>
      </c>
      <c r="K28" s="1006">
        <v>382</v>
      </c>
      <c r="L28" s="1006">
        <v>13473333</v>
      </c>
      <c r="M28" s="1006">
        <f t="shared" si="0"/>
        <v>3</v>
      </c>
      <c r="N28" s="1006">
        <v>78333</v>
      </c>
    </row>
    <row r="29" spans="1:14" ht="12.75">
      <c r="A29" s="1003">
        <v>21</v>
      </c>
      <c r="B29" s="1856"/>
      <c r="C29" s="1822" t="s">
        <v>117</v>
      </c>
      <c r="D29" s="1823"/>
      <c r="E29" s="1823"/>
      <c r="F29" s="1824"/>
      <c r="G29" s="1008">
        <v>100</v>
      </c>
      <c r="H29" s="1009">
        <v>1410000</v>
      </c>
      <c r="I29" s="1006">
        <v>-9</v>
      </c>
      <c r="J29" s="1006">
        <v>-250560</v>
      </c>
      <c r="K29" s="1006">
        <v>105</v>
      </c>
      <c r="L29" s="1006">
        <v>14883333</v>
      </c>
      <c r="M29" s="1006">
        <f t="shared" si="0"/>
        <v>14</v>
      </c>
      <c r="N29" s="1006">
        <v>235000</v>
      </c>
    </row>
    <row r="30" spans="1:14" ht="12.75">
      <c r="A30" s="1003">
        <v>22</v>
      </c>
      <c r="B30" s="1827" t="s">
        <v>113</v>
      </c>
      <c r="C30" s="1822" t="s">
        <v>118</v>
      </c>
      <c r="D30" s="1835"/>
      <c r="E30" s="1835"/>
      <c r="F30" s="1836"/>
      <c r="G30" s="1008">
        <v>405</v>
      </c>
      <c r="H30" s="1010">
        <v>12123000</v>
      </c>
      <c r="I30" s="1006">
        <v>0</v>
      </c>
      <c r="J30" s="1006">
        <v>0</v>
      </c>
      <c r="K30" s="1006">
        <v>405</v>
      </c>
      <c r="L30" s="1006">
        <f>H30+J30</f>
        <v>12123000</v>
      </c>
      <c r="M30" s="1006">
        <f t="shared" si="0"/>
        <v>0</v>
      </c>
      <c r="N30" s="1006">
        <f>L30-H30-J30</f>
        <v>0</v>
      </c>
    </row>
    <row r="31" spans="1:14" ht="12.75">
      <c r="A31" s="1003">
        <v>23</v>
      </c>
      <c r="B31" s="1828"/>
      <c r="C31" s="1832" t="s">
        <v>119</v>
      </c>
      <c r="D31" s="1833"/>
      <c r="E31" s="1833"/>
      <c r="F31" s="1834"/>
      <c r="G31" s="1008">
        <v>113</v>
      </c>
      <c r="H31" s="1010">
        <v>1325867</v>
      </c>
      <c r="I31" s="1006">
        <v>-1</v>
      </c>
      <c r="J31" s="1006">
        <v>-27840</v>
      </c>
      <c r="K31" s="1006">
        <v>112</v>
      </c>
      <c r="L31" s="1006">
        <v>1314133</v>
      </c>
      <c r="M31" s="1006">
        <f t="shared" si="0"/>
        <v>0</v>
      </c>
      <c r="N31" s="1006">
        <v>0</v>
      </c>
    </row>
    <row r="32" spans="1:14" s="1016" customFormat="1" ht="16.5" customHeight="1">
      <c r="A32" s="1817" t="s">
        <v>876</v>
      </c>
      <c r="B32" s="1818"/>
      <c r="C32" s="1818"/>
      <c r="D32" s="1818"/>
      <c r="E32" s="1818"/>
      <c r="F32" s="1818"/>
      <c r="G32" s="1818"/>
      <c r="H32" s="1818"/>
      <c r="I32" s="1818"/>
      <c r="J32" s="1819"/>
      <c r="K32" s="1007">
        <f>SUM(K9:K31)</f>
        <v>2848749</v>
      </c>
      <c r="L32" s="1007">
        <f>SUM(L9:L31)</f>
        <v>233884512</v>
      </c>
      <c r="M32" s="1007">
        <f>SUM(M9:M31)</f>
        <v>722456</v>
      </c>
      <c r="N32" s="1007">
        <f>SUM(N9:N31)</f>
        <v>1614453</v>
      </c>
    </row>
    <row r="33" spans="1:14" s="1016" customFormat="1" ht="12.75">
      <c r="A33" s="1055" t="s">
        <v>366</v>
      </c>
      <c r="B33" s="1837" t="s">
        <v>104</v>
      </c>
      <c r="C33" s="1838"/>
      <c r="D33" s="1838"/>
      <c r="E33" s="1838"/>
      <c r="F33" s="1839"/>
      <c r="G33" s="1542">
        <v>0</v>
      </c>
      <c r="H33" s="1544">
        <v>204993086</v>
      </c>
      <c r="I33" s="1007">
        <v>0</v>
      </c>
      <c r="J33" s="1007">
        <v>0</v>
      </c>
      <c r="K33" s="1007">
        <v>0</v>
      </c>
      <c r="L33" s="1007">
        <v>204993086</v>
      </c>
      <c r="M33" s="1007">
        <f>K33-G33-I33</f>
        <v>0</v>
      </c>
      <c r="N33" s="1007">
        <f>L33-H33-J33</f>
        <v>0</v>
      </c>
    </row>
    <row r="34" spans="1:14" s="1016" customFormat="1" ht="12.75">
      <c r="A34" s="1055" t="s">
        <v>378</v>
      </c>
      <c r="B34" s="1815" t="s">
        <v>105</v>
      </c>
      <c r="C34" s="1816"/>
      <c r="D34" s="1816"/>
      <c r="E34" s="1816"/>
      <c r="F34" s="1816"/>
      <c r="G34" s="1542">
        <v>0</v>
      </c>
      <c r="H34" s="1544">
        <v>76909014</v>
      </c>
      <c r="I34" s="1007">
        <v>0</v>
      </c>
      <c r="J34" s="1007">
        <v>0</v>
      </c>
      <c r="K34" s="1007">
        <v>0</v>
      </c>
      <c r="L34" s="1007">
        <v>76909014</v>
      </c>
      <c r="M34" s="1007">
        <f>K34-G34-I34</f>
        <v>0</v>
      </c>
      <c r="N34" s="1007">
        <f>L34-H34-J34</f>
        <v>0</v>
      </c>
    </row>
    <row r="35" spans="1:14" s="1016" customFormat="1" ht="31.5" customHeight="1">
      <c r="A35" s="1055" t="s">
        <v>409</v>
      </c>
      <c r="B35" s="1829" t="s">
        <v>874</v>
      </c>
      <c r="C35" s="1830"/>
      <c r="D35" s="1830"/>
      <c r="E35" s="1830"/>
      <c r="F35" s="1831"/>
      <c r="G35" s="1542"/>
      <c r="H35" s="1543">
        <v>130629000</v>
      </c>
      <c r="I35" s="1007">
        <v>0</v>
      </c>
      <c r="J35" s="1007">
        <v>0</v>
      </c>
      <c r="K35" s="1007"/>
      <c r="L35" s="1007">
        <v>130629000</v>
      </c>
      <c r="M35" s="1007">
        <v>0</v>
      </c>
      <c r="N35" s="1007">
        <v>0</v>
      </c>
    </row>
    <row r="36" spans="1:14" s="1016" customFormat="1" ht="17.25" customHeight="1">
      <c r="A36" s="1817" t="s">
        <v>877</v>
      </c>
      <c r="B36" s="1818"/>
      <c r="C36" s="1818"/>
      <c r="D36" s="1818"/>
      <c r="E36" s="1818"/>
      <c r="F36" s="1818"/>
      <c r="G36" s="1818"/>
      <c r="H36" s="1818"/>
      <c r="I36" s="1818"/>
      <c r="J36" s="1818"/>
      <c r="K36" s="1818"/>
      <c r="L36" s="1818"/>
      <c r="M36" s="1818"/>
      <c r="N36" s="1819"/>
    </row>
    <row r="37" spans="1:14" ht="13.5" customHeight="1">
      <c r="A37" s="1003">
        <v>1</v>
      </c>
      <c r="B37" s="1804" t="s">
        <v>120</v>
      </c>
      <c r="C37" s="1805"/>
      <c r="D37" s="1805"/>
      <c r="E37" s="1805"/>
      <c r="F37" s="1806"/>
      <c r="G37" s="1006">
        <v>23</v>
      </c>
      <c r="H37" s="1006">
        <v>216200</v>
      </c>
      <c r="I37" s="1006">
        <v>0</v>
      </c>
      <c r="J37" s="1006">
        <v>0</v>
      </c>
      <c r="K37" s="1006">
        <v>23</v>
      </c>
      <c r="L37" s="1006">
        <v>216200</v>
      </c>
      <c r="M37" s="1007">
        <v>0</v>
      </c>
      <c r="N37" s="1006">
        <v>0</v>
      </c>
    </row>
    <row r="38" spans="1:14" ht="13.5" customHeight="1">
      <c r="A38" s="1003">
        <v>2</v>
      </c>
      <c r="B38" s="1807" t="s">
        <v>37</v>
      </c>
      <c r="C38" s="1808"/>
      <c r="D38" s="1808"/>
      <c r="E38" s="1808"/>
      <c r="F38" s="1809"/>
      <c r="G38" s="1006">
        <v>25</v>
      </c>
      <c r="H38" s="1006">
        <f>175000+87500</f>
        <v>262500</v>
      </c>
      <c r="I38" s="1006">
        <v>0</v>
      </c>
      <c r="J38" s="1006">
        <v>0</v>
      </c>
      <c r="K38" s="1006">
        <v>25</v>
      </c>
      <c r="L38" s="1006">
        <v>262500</v>
      </c>
      <c r="M38" s="1007">
        <v>0</v>
      </c>
      <c r="N38" s="1006">
        <f>-47000-87500</f>
        <v>-134500</v>
      </c>
    </row>
    <row r="39" spans="1:14" ht="13.5" customHeight="1">
      <c r="A39" s="1003">
        <v>3</v>
      </c>
      <c r="B39" s="1804" t="s">
        <v>38</v>
      </c>
      <c r="C39" s="1805"/>
      <c r="D39" s="1805"/>
      <c r="E39" s="1805"/>
      <c r="F39" s="1806"/>
      <c r="G39" s="1006">
        <v>5</v>
      </c>
      <c r="H39" s="1006">
        <f>86667+43333</f>
        <v>130000</v>
      </c>
      <c r="I39" s="1006">
        <v>0</v>
      </c>
      <c r="J39" s="1006">
        <v>0</v>
      </c>
      <c r="K39" s="1006">
        <v>5</v>
      </c>
      <c r="L39" s="1006">
        <v>130000</v>
      </c>
      <c r="M39" s="1007">
        <v>0</v>
      </c>
      <c r="N39" s="1006">
        <v>-2167</v>
      </c>
    </row>
    <row r="40" spans="1:14" ht="12.75" customHeight="1">
      <c r="A40" s="1003">
        <v>4</v>
      </c>
      <c r="B40" s="1810" t="s">
        <v>121</v>
      </c>
      <c r="C40" s="1811"/>
      <c r="D40" s="1811"/>
      <c r="E40" s="1811"/>
      <c r="F40" s="1812"/>
      <c r="G40" s="1006">
        <v>0</v>
      </c>
      <c r="H40" s="1006">
        <f>155667267+1444615+3051732+500000</f>
        <v>160663614</v>
      </c>
      <c r="I40" s="1006">
        <v>0</v>
      </c>
      <c r="J40" s="1006">
        <v>0</v>
      </c>
      <c r="K40" s="1006">
        <v>0</v>
      </c>
      <c r="L40" s="1006">
        <v>160663614</v>
      </c>
      <c r="M40" s="1007">
        <v>0</v>
      </c>
      <c r="N40" s="1006">
        <v>0</v>
      </c>
    </row>
    <row r="41" spans="1:14" s="1016" customFormat="1" ht="17.25" customHeight="1">
      <c r="A41" s="1817" t="s">
        <v>878</v>
      </c>
      <c r="B41" s="1818"/>
      <c r="C41" s="1818"/>
      <c r="D41" s="1818"/>
      <c r="E41" s="1818"/>
      <c r="F41" s="1818"/>
      <c r="G41" s="1818"/>
      <c r="H41" s="1818"/>
      <c r="I41" s="1818"/>
      <c r="J41" s="1819"/>
      <c r="K41" s="1007"/>
      <c r="L41" s="1007">
        <f>SUM(L37:L40)</f>
        <v>161272314</v>
      </c>
      <c r="M41" s="1007">
        <f>SUM(M37:M40)</f>
        <v>0</v>
      </c>
      <c r="N41" s="1007">
        <f>SUM(N37:N40)</f>
        <v>-136667</v>
      </c>
    </row>
    <row r="42" spans="1:14" s="1016" customFormat="1" ht="27" customHeight="1">
      <c r="A42" s="1840" t="s">
        <v>879</v>
      </c>
      <c r="B42" s="1841"/>
      <c r="C42" s="1841"/>
      <c r="D42" s="1841"/>
      <c r="E42" s="1841"/>
      <c r="F42" s="1841"/>
      <c r="G42" s="1841"/>
      <c r="H42" s="1841"/>
      <c r="I42" s="1841"/>
      <c r="J42" s="1842"/>
      <c r="K42" s="1007"/>
      <c r="L42" s="1007">
        <v>0</v>
      </c>
      <c r="M42" s="1007">
        <v>0</v>
      </c>
      <c r="N42" s="1007">
        <v>-53520</v>
      </c>
    </row>
    <row r="43" spans="1:14" s="1016" customFormat="1" ht="17.25" customHeight="1">
      <c r="A43" s="1817" t="s">
        <v>880</v>
      </c>
      <c r="B43" s="1818"/>
      <c r="C43" s="1818"/>
      <c r="D43" s="1818"/>
      <c r="E43" s="1818"/>
      <c r="F43" s="1818"/>
      <c r="G43" s="1818"/>
      <c r="H43" s="1818"/>
      <c r="I43" s="1818"/>
      <c r="J43" s="1819"/>
      <c r="K43" s="1007"/>
      <c r="L43" s="1007">
        <v>0</v>
      </c>
      <c r="M43" s="1007">
        <v>0</v>
      </c>
      <c r="N43" s="1007">
        <v>10520212</v>
      </c>
    </row>
    <row r="44" spans="1:14" s="1012" customFormat="1" ht="12.75">
      <c r="A44" s="1825" t="s">
        <v>873</v>
      </c>
      <c r="B44" s="1826"/>
      <c r="C44" s="1826"/>
      <c r="D44" s="1826"/>
      <c r="E44" s="1826"/>
      <c r="F44" s="1826"/>
      <c r="G44" s="1007">
        <f>SUM(G9:G40)</f>
        <v>2126464</v>
      </c>
      <c r="H44" s="1007">
        <f>SUM(H9:H40)</f>
        <v>803943361</v>
      </c>
      <c r="I44" s="1007">
        <f>SUM(I9:I40)</f>
        <v>-121</v>
      </c>
      <c r="J44" s="1007">
        <f>SUM(J9:J40)</f>
        <v>-11264888</v>
      </c>
      <c r="K44" s="1007">
        <f>SUM(K9:K40)</f>
        <v>5697551</v>
      </c>
      <c r="L44" s="1007">
        <f>L32+L43+L41</f>
        <v>395156826</v>
      </c>
      <c r="M44" s="1007">
        <f>M32+M33+M34+M43</f>
        <v>722456</v>
      </c>
      <c r="N44" s="1007">
        <f>N32+N33+N34+N43+N41+N42</f>
        <v>11944478</v>
      </c>
    </row>
    <row r="46" spans="8:12" ht="12.75">
      <c r="H46" s="1013"/>
      <c r="I46" s="1013"/>
      <c r="J46" s="1013"/>
      <c r="K46" s="1013"/>
      <c r="L46" s="1013" t="s">
        <v>465</v>
      </c>
    </row>
    <row r="47" spans="8:12" ht="12.75">
      <c r="H47" s="1013"/>
      <c r="I47" s="1013"/>
      <c r="J47" s="1013"/>
      <c r="K47" s="1013"/>
      <c r="L47" s="1013" t="s">
        <v>465</v>
      </c>
    </row>
    <row r="48" spans="7:12" ht="12.75">
      <c r="G48" s="996" t="s">
        <v>465</v>
      </c>
      <c r="H48" s="1013"/>
      <c r="I48" s="1013"/>
      <c r="J48" s="1013"/>
      <c r="K48" s="1013"/>
      <c r="L48" s="1013"/>
    </row>
    <row r="49" spans="7:10" ht="12.75">
      <c r="G49" s="996" t="s">
        <v>465</v>
      </c>
      <c r="H49" s="1014" t="s">
        <v>465</v>
      </c>
      <c r="J49" s="996" t="s">
        <v>465</v>
      </c>
    </row>
  </sheetData>
  <sheetProtection/>
  <mergeCells count="48">
    <mergeCell ref="B26:B29"/>
    <mergeCell ref="C22:F22"/>
    <mergeCell ref="C24:F24"/>
    <mergeCell ref="C23:F23"/>
    <mergeCell ref="G6:H6"/>
    <mergeCell ref="C19:F19"/>
    <mergeCell ref="B15:F15"/>
    <mergeCell ref="B16:F16"/>
    <mergeCell ref="B17:F17"/>
    <mergeCell ref="C20:F20"/>
    <mergeCell ref="B24:B25"/>
    <mergeCell ref="C13:F13"/>
    <mergeCell ref="C14:F14"/>
    <mergeCell ref="A8:N8"/>
    <mergeCell ref="M6:N6"/>
    <mergeCell ref="C10:F10"/>
    <mergeCell ref="I6:J6"/>
    <mergeCell ref="K6:L6"/>
    <mergeCell ref="A36:N36"/>
    <mergeCell ref="A42:J42"/>
    <mergeCell ref="A43:J43"/>
    <mergeCell ref="A41:J41"/>
    <mergeCell ref="A6:A7"/>
    <mergeCell ref="B6:F7"/>
    <mergeCell ref="C12:F12"/>
    <mergeCell ref="C11:F11"/>
    <mergeCell ref="B9:F9"/>
    <mergeCell ref="B10:B14"/>
    <mergeCell ref="C25:F25"/>
    <mergeCell ref="B19:B23"/>
    <mergeCell ref="C29:F29"/>
    <mergeCell ref="C21:F21"/>
    <mergeCell ref="A44:F44"/>
    <mergeCell ref="B30:B31"/>
    <mergeCell ref="B35:F35"/>
    <mergeCell ref="C31:F31"/>
    <mergeCell ref="C30:F30"/>
    <mergeCell ref="B33:F33"/>
    <mergeCell ref="B37:F37"/>
    <mergeCell ref="B38:F38"/>
    <mergeCell ref="B39:F39"/>
    <mergeCell ref="B40:F40"/>
    <mergeCell ref="B18:F18"/>
    <mergeCell ref="B34:F34"/>
    <mergeCell ref="A32:J32"/>
    <mergeCell ref="C28:F28"/>
    <mergeCell ref="C26:F26"/>
    <mergeCell ref="C27:F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rowBreaks count="1" manualBreakCount="1">
    <brk id="32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8:N62"/>
  <sheetViews>
    <sheetView showGridLines="0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30.625" style="758" customWidth="1"/>
    <col min="2" max="2" width="9.875" style="758" customWidth="1"/>
    <col min="3" max="3" width="8.00390625" style="758" customWidth="1"/>
    <col min="4" max="4" width="9.75390625" style="758" customWidth="1"/>
    <col min="5" max="5" width="9.375" style="758" customWidth="1"/>
    <col min="6" max="6" width="7.125" style="758" customWidth="1"/>
    <col min="7" max="7" width="10.125" style="758" customWidth="1"/>
    <col min="8" max="9" width="9.25390625" style="758" customWidth="1"/>
    <col min="10" max="10" width="6.125" style="758" customWidth="1"/>
    <col min="11" max="11" width="9.375" style="758" customWidth="1"/>
    <col min="12" max="12" width="8.875" style="758" customWidth="1"/>
    <col min="13" max="13" width="6.375" style="758" customWidth="1"/>
    <col min="14" max="14" width="9.00390625" style="758" customWidth="1"/>
    <col min="15" max="16384" width="9.125" style="758" customWidth="1"/>
  </cols>
  <sheetData>
    <row r="5" ht="10.5" customHeight="1"/>
    <row r="6" ht="10.5" customHeight="1"/>
    <row r="7" ht="10.5" customHeight="1"/>
    <row r="8" ht="9.75" customHeight="1" thickBot="1">
      <c r="G8" s="759" t="s">
        <v>297</v>
      </c>
    </row>
    <row r="9" spans="1:14" s="763" customFormat="1" ht="9.75" customHeight="1">
      <c r="A9" s="760"/>
      <c r="B9" s="2222" t="s">
        <v>972</v>
      </c>
      <c r="C9" s="2222" t="s">
        <v>973</v>
      </c>
      <c r="D9" s="2222" t="s">
        <v>974</v>
      </c>
      <c r="E9" s="2222" t="s">
        <v>975</v>
      </c>
      <c r="F9" s="2222" t="s">
        <v>976</v>
      </c>
      <c r="G9" s="2225" t="s">
        <v>977</v>
      </c>
      <c r="H9" s="761"/>
      <c r="I9" s="762"/>
      <c r="J9" s="762"/>
      <c r="K9" s="762"/>
      <c r="L9" s="762"/>
      <c r="M9" s="762"/>
      <c r="N9" s="762"/>
    </row>
    <row r="10" spans="1:14" s="763" customFormat="1" ht="9.75" customHeight="1">
      <c r="A10" s="2221" t="s">
        <v>978</v>
      </c>
      <c r="B10" s="2223"/>
      <c r="C10" s="2223"/>
      <c r="D10" s="2223"/>
      <c r="E10" s="2223"/>
      <c r="F10" s="2223"/>
      <c r="G10" s="2226"/>
      <c r="H10" s="764"/>
      <c r="I10" s="762"/>
      <c r="J10" s="762"/>
      <c r="K10" s="762"/>
      <c r="L10" s="762"/>
      <c r="M10" s="762"/>
      <c r="N10" s="762"/>
    </row>
    <row r="11" spans="1:14" s="763" customFormat="1" ht="9.75" customHeight="1">
      <c r="A11" s="2221"/>
      <c r="B11" s="2223"/>
      <c r="C11" s="2223"/>
      <c r="D11" s="2223"/>
      <c r="E11" s="2223"/>
      <c r="F11" s="2223"/>
      <c r="G11" s="2226"/>
      <c r="H11" s="764"/>
      <c r="I11" s="762"/>
      <c r="J11" s="762"/>
      <c r="K11" s="762"/>
      <c r="L11" s="762"/>
      <c r="M11" s="762"/>
      <c r="N11" s="762"/>
    </row>
    <row r="12" spans="1:14" s="763" customFormat="1" ht="19.5" customHeight="1" thickBot="1">
      <c r="A12" s="765"/>
      <c r="B12" s="2224"/>
      <c r="C12" s="2224"/>
      <c r="D12" s="2224"/>
      <c r="E12" s="2224"/>
      <c r="F12" s="2224"/>
      <c r="G12" s="2227"/>
      <c r="H12" s="761"/>
      <c r="I12" s="762"/>
      <c r="J12" s="762"/>
      <c r="K12" s="762"/>
      <c r="L12" s="762"/>
      <c r="M12" s="762"/>
      <c r="N12" s="762"/>
    </row>
    <row r="13" spans="1:14" ht="7.5" customHeight="1">
      <c r="A13" s="766"/>
      <c r="B13" s="767"/>
      <c r="C13" s="767"/>
      <c r="D13" s="768"/>
      <c r="E13" s="769"/>
      <c r="F13" s="769"/>
      <c r="G13" s="770"/>
      <c r="H13" s="771"/>
      <c r="I13" s="768"/>
      <c r="J13" s="768"/>
      <c r="K13" s="768"/>
      <c r="L13" s="768"/>
      <c r="M13" s="768"/>
      <c r="N13" s="768"/>
    </row>
    <row r="14" spans="1:14" s="763" customFormat="1" ht="10.5" customHeight="1">
      <c r="A14" s="772" t="s">
        <v>979</v>
      </c>
      <c r="B14" s="773">
        <f>SUM(B16:B19)</f>
        <v>7271548</v>
      </c>
      <c r="C14" s="773">
        <f>SUM(C16:C19)</f>
        <v>0</v>
      </c>
      <c r="D14" s="774">
        <f>SUM(D16:D19)</f>
        <v>7271548</v>
      </c>
      <c r="E14" s="773">
        <f>E16+E17+E18+E19</f>
        <v>7250160</v>
      </c>
      <c r="F14" s="773">
        <f>SUM(F16:F19)</f>
        <v>0</v>
      </c>
      <c r="G14" s="775">
        <f>SUM(G16:G19)</f>
        <v>7250160</v>
      </c>
      <c r="H14" s="761"/>
      <c r="I14" s="776"/>
      <c r="J14" s="776"/>
      <c r="K14" s="776"/>
      <c r="L14" s="776"/>
      <c r="M14" s="776"/>
      <c r="N14" s="776"/>
    </row>
    <row r="15" spans="1:14" s="763" customFormat="1" ht="10.5" customHeight="1">
      <c r="A15" s="777"/>
      <c r="B15" s="773"/>
      <c r="C15" s="778"/>
      <c r="D15" s="779"/>
      <c r="E15" s="773"/>
      <c r="F15" s="773"/>
      <c r="G15" s="775"/>
      <c r="H15" s="762"/>
      <c r="I15" s="780"/>
      <c r="J15" s="780"/>
      <c r="K15" s="780"/>
      <c r="L15" s="780"/>
      <c r="M15" s="780"/>
      <c r="N15" s="780"/>
    </row>
    <row r="16" spans="1:14" s="763" customFormat="1" ht="10.5" customHeight="1">
      <c r="A16" s="781" t="s">
        <v>980</v>
      </c>
      <c r="B16" s="784">
        <v>7067</v>
      </c>
      <c r="C16" s="782"/>
      <c r="D16" s="783">
        <f>SUM(B16:C16)</f>
        <v>7067</v>
      </c>
      <c r="E16" s="784">
        <v>3692</v>
      </c>
      <c r="F16" s="784">
        <v>0</v>
      </c>
      <c r="G16" s="775">
        <f>SUM(E16:F16)</f>
        <v>3692</v>
      </c>
      <c r="H16" s="762"/>
      <c r="I16" s="780"/>
      <c r="J16" s="780"/>
      <c r="K16" s="780"/>
      <c r="L16" s="780"/>
      <c r="M16" s="780"/>
      <c r="N16" s="780"/>
    </row>
    <row r="17" spans="1:14" s="763" customFormat="1" ht="10.5" customHeight="1">
      <c r="A17" s="781" t="s">
        <v>981</v>
      </c>
      <c r="B17" s="784">
        <v>4162254</v>
      </c>
      <c r="C17" s="782"/>
      <c r="D17" s="783">
        <f>SUM(B17:C17)</f>
        <v>4162254</v>
      </c>
      <c r="E17" s="784">
        <v>4257944</v>
      </c>
      <c r="F17" s="784">
        <v>0</v>
      </c>
      <c r="G17" s="775">
        <f>SUM(E17:F17)</f>
        <v>4257944</v>
      </c>
      <c r="H17" s="761"/>
      <c r="I17" s="780"/>
      <c r="J17" s="780"/>
      <c r="K17" s="780"/>
      <c r="L17" s="780"/>
      <c r="M17" s="780"/>
      <c r="N17" s="780"/>
    </row>
    <row r="18" spans="1:14" s="763" customFormat="1" ht="10.5" customHeight="1">
      <c r="A18" s="781" t="s">
        <v>982</v>
      </c>
      <c r="B18" s="784">
        <v>66511</v>
      </c>
      <c r="C18" s="782"/>
      <c r="D18" s="783">
        <f>SUM(B18:C18)</f>
        <v>66511</v>
      </c>
      <c r="E18" s="784">
        <v>96051</v>
      </c>
      <c r="F18" s="784">
        <v>0</v>
      </c>
      <c r="G18" s="775">
        <f>SUM(E18:F18)</f>
        <v>96051</v>
      </c>
      <c r="H18" s="762"/>
      <c r="I18" s="780"/>
      <c r="J18" s="780"/>
      <c r="K18" s="780"/>
      <c r="L18" s="780"/>
      <c r="M18" s="780"/>
      <c r="N18" s="780"/>
    </row>
    <row r="19" spans="1:14" s="763" customFormat="1" ht="33.75" customHeight="1">
      <c r="A19" s="785" t="s">
        <v>614</v>
      </c>
      <c r="B19" s="784">
        <v>3035716</v>
      </c>
      <c r="C19" s="782"/>
      <c r="D19" s="783">
        <f>SUM(B19:C19)</f>
        <v>3035716</v>
      </c>
      <c r="E19" s="784">
        <v>2892473</v>
      </c>
      <c r="F19" s="784">
        <v>0</v>
      </c>
      <c r="G19" s="775">
        <f>SUM(E19:F19)</f>
        <v>2892473</v>
      </c>
      <c r="H19" s="761"/>
      <c r="I19" s="786"/>
      <c r="J19" s="786"/>
      <c r="K19" s="786"/>
      <c r="L19" s="786"/>
      <c r="M19" s="786"/>
      <c r="N19" s="786"/>
    </row>
    <row r="20" spans="1:14" s="763" customFormat="1" ht="10.5" customHeight="1">
      <c r="A20" s="781"/>
      <c r="B20" s="784"/>
      <c r="C20" s="782"/>
      <c r="D20" s="783"/>
      <c r="E20" s="784"/>
      <c r="F20" s="784"/>
      <c r="G20" s="775"/>
      <c r="H20" s="762"/>
      <c r="I20" s="780"/>
      <c r="J20" s="780"/>
      <c r="K20" s="780"/>
      <c r="L20" s="780"/>
      <c r="M20" s="780"/>
      <c r="N20" s="780"/>
    </row>
    <row r="21" spans="1:14" s="763" customFormat="1" ht="10.5" customHeight="1">
      <c r="A21" s="777" t="s">
        <v>983</v>
      </c>
      <c r="B21" s="787">
        <f>SUM(B23:B27)</f>
        <v>1443963</v>
      </c>
      <c r="C21" s="787">
        <f>SUM(C23:C27)</f>
        <v>0</v>
      </c>
      <c r="D21" s="788">
        <f>SUM(B21:C21)</f>
        <v>1443963</v>
      </c>
      <c r="E21" s="787">
        <f>E23+E24+E26+E27</f>
        <v>1377167</v>
      </c>
      <c r="F21" s="787"/>
      <c r="G21" s="789">
        <f>SUM(G23:G28)</f>
        <v>1377167</v>
      </c>
      <c r="H21" s="762"/>
      <c r="I21" s="780"/>
      <c r="J21" s="780"/>
      <c r="K21" s="780"/>
      <c r="L21" s="780"/>
      <c r="M21" s="780"/>
      <c r="N21" s="780"/>
    </row>
    <row r="22" spans="1:14" s="763" customFormat="1" ht="10.5" customHeight="1">
      <c r="A22" s="777"/>
      <c r="B22" s="787"/>
      <c r="C22" s="790"/>
      <c r="D22" s="783"/>
      <c r="E22" s="787"/>
      <c r="F22" s="787"/>
      <c r="G22" s="789"/>
      <c r="H22" s="762"/>
      <c r="I22" s="780"/>
      <c r="J22" s="780"/>
      <c r="K22" s="780"/>
      <c r="L22" s="780"/>
      <c r="M22" s="780"/>
      <c r="N22" s="780"/>
    </row>
    <row r="23" spans="1:14" s="763" customFormat="1" ht="10.5" customHeight="1">
      <c r="A23" s="791" t="s">
        <v>984</v>
      </c>
      <c r="B23" s="784">
        <v>5483</v>
      </c>
      <c r="C23" s="782"/>
      <c r="D23" s="783">
        <f>SUM(B23:C23)</f>
        <v>5483</v>
      </c>
      <c r="E23" s="784">
        <v>2824</v>
      </c>
      <c r="F23" s="784">
        <v>0</v>
      </c>
      <c r="G23" s="789">
        <f>SUM(E23:F23)</f>
        <v>2824</v>
      </c>
      <c r="H23" s="762"/>
      <c r="I23" s="780"/>
      <c r="J23" s="780"/>
      <c r="K23" s="780"/>
      <c r="L23" s="780"/>
      <c r="M23" s="780"/>
      <c r="N23" s="780"/>
    </row>
    <row r="24" spans="1:14" s="763" customFormat="1" ht="10.5" customHeight="1">
      <c r="A24" s="791" t="s">
        <v>985</v>
      </c>
      <c r="B24" s="784">
        <v>269211</v>
      </c>
      <c r="C24" s="782"/>
      <c r="D24" s="783">
        <f>SUM(B24:C24)</f>
        <v>269211</v>
      </c>
      <c r="E24" s="784">
        <v>218932</v>
      </c>
      <c r="F24" s="784">
        <v>0</v>
      </c>
      <c r="G24" s="789">
        <f>SUM(E24:F24)</f>
        <v>218932</v>
      </c>
      <c r="H24" s="762"/>
      <c r="I24" s="780"/>
      <c r="J24" s="780"/>
      <c r="K24" s="780"/>
      <c r="L24" s="780"/>
      <c r="M24" s="780"/>
      <c r="N24" s="780"/>
    </row>
    <row r="25" spans="1:14" s="763" customFormat="1" ht="10.5" customHeight="1">
      <c r="A25" s="792" t="s">
        <v>986</v>
      </c>
      <c r="B25" s="794"/>
      <c r="C25" s="793"/>
      <c r="D25" s="783"/>
      <c r="E25" s="794"/>
      <c r="F25" s="794"/>
      <c r="G25" s="789"/>
      <c r="H25" s="762"/>
      <c r="I25" s="780"/>
      <c r="J25" s="780"/>
      <c r="K25" s="780"/>
      <c r="L25" s="780"/>
      <c r="M25" s="780"/>
      <c r="N25" s="780"/>
    </row>
    <row r="26" spans="1:14" s="763" customFormat="1" ht="10.5" customHeight="1">
      <c r="A26" s="792" t="s">
        <v>987</v>
      </c>
      <c r="B26" s="784">
        <v>1073336</v>
      </c>
      <c r="C26" s="782"/>
      <c r="D26" s="783">
        <f>SUM(B26:C26)</f>
        <v>1073336</v>
      </c>
      <c r="E26" s="784">
        <v>1113135</v>
      </c>
      <c r="F26" s="784">
        <v>0</v>
      </c>
      <c r="G26" s="789">
        <f>SUM(E26:F26)</f>
        <v>1113135</v>
      </c>
      <c r="H26" s="762"/>
      <c r="I26" s="780"/>
      <c r="J26" s="780"/>
      <c r="K26" s="780"/>
      <c r="L26" s="780"/>
      <c r="M26" s="780"/>
      <c r="N26" s="780"/>
    </row>
    <row r="27" spans="1:14" s="763" customFormat="1" ht="10.5" customHeight="1">
      <c r="A27" s="792" t="s">
        <v>988</v>
      </c>
      <c r="B27" s="784">
        <v>95933</v>
      </c>
      <c r="C27" s="782"/>
      <c r="D27" s="783">
        <f>SUM(B27:C27)</f>
        <v>95933</v>
      </c>
      <c r="E27" s="784">
        <v>42276</v>
      </c>
      <c r="F27" s="784">
        <v>0</v>
      </c>
      <c r="G27" s="789">
        <f>SUM(E27:F27)</f>
        <v>42276</v>
      </c>
      <c r="H27" s="762"/>
      <c r="I27" s="780"/>
      <c r="J27" s="780"/>
      <c r="K27" s="780"/>
      <c r="L27" s="780"/>
      <c r="M27" s="780"/>
      <c r="N27" s="780"/>
    </row>
    <row r="28" spans="1:14" s="763" customFormat="1" ht="10.5" customHeight="1" thickBot="1">
      <c r="A28" s="777"/>
      <c r="B28" s="782"/>
      <c r="C28" s="782"/>
      <c r="D28" s="783"/>
      <c r="E28" s="784"/>
      <c r="F28" s="784"/>
      <c r="G28" s="795"/>
      <c r="H28" s="761"/>
      <c r="I28" s="780"/>
      <c r="J28" s="780"/>
      <c r="K28" s="780"/>
      <c r="L28" s="780"/>
      <c r="M28" s="780"/>
      <c r="N28" s="780"/>
    </row>
    <row r="29" spans="1:14" s="763" customFormat="1" ht="15" customHeight="1" thickBot="1" thickTop="1">
      <c r="A29" s="796" t="s">
        <v>989</v>
      </c>
      <c r="B29" s="797">
        <f aca="true" t="shared" si="0" ref="B29:G29">SUM(B14,B21)</f>
        <v>8715511</v>
      </c>
      <c r="C29" s="797">
        <f t="shared" si="0"/>
        <v>0</v>
      </c>
      <c r="D29" s="798">
        <f t="shared" si="0"/>
        <v>8715511</v>
      </c>
      <c r="E29" s="799">
        <f>SUM(E14,E21)</f>
        <v>8627327</v>
      </c>
      <c r="F29" s="799">
        <f t="shared" si="0"/>
        <v>0</v>
      </c>
      <c r="G29" s="800">
        <f t="shared" si="0"/>
        <v>8627327</v>
      </c>
      <c r="H29" s="801"/>
      <c r="I29" s="802"/>
      <c r="J29" s="802"/>
      <c r="K29" s="802"/>
      <c r="L29" s="802"/>
      <c r="M29" s="802"/>
      <c r="N29" s="802"/>
    </row>
    <row r="30" spans="1:14" s="763" customFormat="1" ht="12" customHeight="1" thickTop="1">
      <c r="A30" s="803"/>
      <c r="B30" s="804"/>
      <c r="C30" s="804"/>
      <c r="D30" s="804"/>
      <c r="E30" s="804"/>
      <c r="F30" s="804"/>
      <c r="G30" s="804"/>
      <c r="H30" s="801"/>
      <c r="I30" s="802"/>
      <c r="J30" s="802"/>
      <c r="K30" s="802"/>
      <c r="L30" s="802"/>
      <c r="M30" s="802"/>
      <c r="N30" s="802"/>
    </row>
    <row r="31" spans="1:14" s="763" customFormat="1" ht="12" customHeight="1" thickBot="1">
      <c r="A31" s="805"/>
      <c r="B31" s="806"/>
      <c r="C31" s="806"/>
      <c r="D31" s="806"/>
      <c r="E31" s="806"/>
      <c r="F31" s="806"/>
      <c r="G31" s="806"/>
      <c r="H31" s="801"/>
      <c r="I31" s="802"/>
      <c r="J31" s="802"/>
      <c r="K31" s="802"/>
      <c r="L31" s="802"/>
      <c r="M31" s="802"/>
      <c r="N31" s="802"/>
    </row>
    <row r="32" spans="1:14" s="763" customFormat="1" ht="9.75" customHeight="1">
      <c r="A32" s="760"/>
      <c r="B32" s="2222" t="s">
        <v>972</v>
      </c>
      <c r="C32" s="2222" t="s">
        <v>973</v>
      </c>
      <c r="D32" s="2222" t="s">
        <v>990</v>
      </c>
      <c r="E32" s="2222" t="s">
        <v>975</v>
      </c>
      <c r="F32" s="2222" t="s">
        <v>976</v>
      </c>
      <c r="G32" s="2225" t="s">
        <v>991</v>
      </c>
      <c r="H32" s="761"/>
      <c r="I32" s="762"/>
      <c r="J32" s="762"/>
      <c r="K32" s="762"/>
      <c r="L32" s="762"/>
      <c r="M32" s="762"/>
      <c r="N32" s="762"/>
    </row>
    <row r="33" spans="1:14" s="763" customFormat="1" ht="9.75" customHeight="1">
      <c r="A33" s="2221" t="s">
        <v>992</v>
      </c>
      <c r="B33" s="2223"/>
      <c r="C33" s="2223"/>
      <c r="D33" s="2223"/>
      <c r="E33" s="2223"/>
      <c r="F33" s="2223"/>
      <c r="G33" s="2226"/>
      <c r="H33" s="764"/>
      <c r="I33" s="762"/>
      <c r="J33" s="762"/>
      <c r="K33" s="762"/>
      <c r="L33" s="762"/>
      <c r="M33" s="762"/>
      <c r="N33" s="762"/>
    </row>
    <row r="34" spans="1:14" s="763" customFormat="1" ht="9.75" customHeight="1">
      <c r="A34" s="2221"/>
      <c r="B34" s="2223"/>
      <c r="C34" s="2223"/>
      <c r="D34" s="2223"/>
      <c r="E34" s="2223"/>
      <c r="F34" s="2223"/>
      <c r="G34" s="2226"/>
      <c r="H34" s="764"/>
      <c r="I34" s="762"/>
      <c r="J34" s="762"/>
      <c r="K34" s="762"/>
      <c r="L34" s="762"/>
      <c r="M34" s="762"/>
      <c r="N34" s="762"/>
    </row>
    <row r="35" spans="1:14" s="763" customFormat="1" ht="10.5" customHeight="1" thickBot="1">
      <c r="A35" s="765"/>
      <c r="B35" s="2224"/>
      <c r="C35" s="2224"/>
      <c r="D35" s="2224"/>
      <c r="E35" s="2224"/>
      <c r="F35" s="2224"/>
      <c r="G35" s="2227"/>
      <c r="H35" s="761"/>
      <c r="I35" s="762"/>
      <c r="J35" s="762"/>
      <c r="K35" s="762"/>
      <c r="L35" s="762"/>
      <c r="M35" s="762"/>
      <c r="N35" s="762"/>
    </row>
    <row r="36" spans="1:13" s="763" customFormat="1" ht="7.5" customHeight="1">
      <c r="A36" s="760"/>
      <c r="B36" s="807"/>
      <c r="C36" s="807"/>
      <c r="D36" s="807"/>
      <c r="E36" s="807"/>
      <c r="F36" s="808"/>
      <c r="G36" s="809"/>
      <c r="M36" s="761"/>
    </row>
    <row r="37" spans="1:13" s="763" customFormat="1" ht="10.5" customHeight="1">
      <c r="A37" s="777" t="s">
        <v>993</v>
      </c>
      <c r="B37" s="787">
        <f>SUM(B38,B39,B40)</f>
        <v>6547675</v>
      </c>
      <c r="C37" s="787">
        <f>SUM(C38,C39,C40)</f>
        <v>0</v>
      </c>
      <c r="D37" s="787">
        <f>SUM(D38,D39,D40)</f>
        <v>6547675</v>
      </c>
      <c r="E37" s="787">
        <f>E38+E39+E40</f>
        <v>6340754</v>
      </c>
      <c r="F37" s="787">
        <f>SUM(F38,F39,F40)</f>
        <v>0</v>
      </c>
      <c r="G37" s="810">
        <f>SUM(G38,G39,G40)</f>
        <v>6340754</v>
      </c>
      <c r="M37" s="761"/>
    </row>
    <row r="38" spans="1:13" s="763" customFormat="1" ht="12.75" customHeight="1">
      <c r="A38" s="792" t="s">
        <v>615</v>
      </c>
      <c r="B38" s="794">
        <v>564421</v>
      </c>
      <c r="C38" s="794"/>
      <c r="D38" s="784">
        <f>SUM(B38:C38)</f>
        <v>564421</v>
      </c>
      <c r="E38" s="794">
        <v>6690707</v>
      </c>
      <c r="F38" s="794">
        <v>0</v>
      </c>
      <c r="G38" s="810">
        <f>SUM(E38:F38)</f>
        <v>6690707</v>
      </c>
      <c r="M38" s="761"/>
    </row>
    <row r="39" spans="1:7" s="763" customFormat="1" ht="11.25" customHeight="1">
      <c r="A39" s="792" t="s">
        <v>994</v>
      </c>
      <c r="B39" s="794">
        <v>5983254</v>
      </c>
      <c r="C39" s="794"/>
      <c r="D39" s="784">
        <f>SUM(B39:C39)</f>
        <v>5983254</v>
      </c>
      <c r="E39" s="794">
        <v>-349953</v>
      </c>
      <c r="F39" s="794">
        <v>0</v>
      </c>
      <c r="G39" s="810">
        <f>SUM(E39:F39)</f>
        <v>-349953</v>
      </c>
    </row>
    <row r="40" spans="1:7" s="763" customFormat="1" ht="10.5" customHeight="1">
      <c r="A40" s="792" t="s">
        <v>1005</v>
      </c>
      <c r="B40" s="794">
        <v>0</v>
      </c>
      <c r="C40" s="794"/>
      <c r="D40" s="794">
        <f>B40</f>
        <v>0</v>
      </c>
      <c r="E40" s="794"/>
      <c r="F40" s="794"/>
      <c r="G40" s="810">
        <f>SUM(E40:F40)</f>
        <v>0</v>
      </c>
    </row>
    <row r="41" spans="1:7" s="763" customFormat="1" ht="10.5" customHeight="1">
      <c r="A41" s="792"/>
      <c r="B41" s="794"/>
      <c r="C41" s="794"/>
      <c r="D41" s="794"/>
      <c r="E41" s="794"/>
      <c r="F41" s="794"/>
      <c r="G41" s="810"/>
    </row>
    <row r="42" spans="1:7" s="763" customFormat="1" ht="10.5" customHeight="1">
      <c r="A42" s="811" t="s">
        <v>995</v>
      </c>
      <c r="B42" s="773">
        <f>SUM(B43,B44)</f>
        <v>1079816</v>
      </c>
      <c r="C42" s="773">
        <f>SUM(C43,C44)</f>
        <v>0</v>
      </c>
      <c r="D42" s="773">
        <f>SUM(D43,D44)</f>
        <v>1079816</v>
      </c>
      <c r="E42" s="773">
        <f>E43+E44</f>
        <v>1139438</v>
      </c>
      <c r="F42" s="773">
        <f>SUM(F43,F44)</f>
        <v>0</v>
      </c>
      <c r="G42" s="812">
        <f>SUM(G43:G45)</f>
        <v>1139438</v>
      </c>
    </row>
    <row r="43" spans="1:7" s="763" customFormat="1" ht="17.25" customHeight="1">
      <c r="A43" s="813" t="s">
        <v>996</v>
      </c>
      <c r="B43" s="794">
        <v>1079816</v>
      </c>
      <c r="C43" s="814"/>
      <c r="D43" s="784">
        <f>SUM(B43:C43)</f>
        <v>1079816</v>
      </c>
      <c r="E43" s="794">
        <v>1139438</v>
      </c>
      <c r="F43" s="814">
        <v>0</v>
      </c>
      <c r="G43" s="812">
        <f>SUM(E43:F43)</f>
        <v>1139438</v>
      </c>
    </row>
    <row r="44" spans="1:7" s="763" customFormat="1" ht="10.5" customHeight="1">
      <c r="A44" s="792" t="s">
        <v>997</v>
      </c>
      <c r="B44" s="794">
        <v>0</v>
      </c>
      <c r="C44" s="794"/>
      <c r="D44" s="784">
        <v>0</v>
      </c>
      <c r="E44" s="794">
        <v>0</v>
      </c>
      <c r="F44" s="794"/>
      <c r="G44" s="812">
        <f>SUM(E44:F44)</f>
        <v>0</v>
      </c>
    </row>
    <row r="45" spans="1:7" s="763" customFormat="1" ht="10.5" customHeight="1">
      <c r="A45" s="792"/>
      <c r="B45" s="794"/>
      <c r="C45" s="794"/>
      <c r="D45" s="794"/>
      <c r="E45" s="794"/>
      <c r="F45" s="794"/>
      <c r="G45" s="815"/>
    </row>
    <row r="46" spans="1:7" s="763" customFormat="1" ht="10.5" customHeight="1">
      <c r="A46" s="811" t="s">
        <v>998</v>
      </c>
      <c r="B46" s="773">
        <f>SUM(B48:B50)</f>
        <v>1088020</v>
      </c>
      <c r="C46" s="773">
        <f>SUM(C48:C50)</f>
        <v>0</v>
      </c>
      <c r="D46" s="773">
        <f>SUM(D48:D50)</f>
        <v>1088020</v>
      </c>
      <c r="E46" s="773">
        <f>E48+E49+E50</f>
        <v>1147135</v>
      </c>
      <c r="F46" s="773">
        <f>SUM(F48:F50)</f>
        <v>0</v>
      </c>
      <c r="G46" s="812">
        <f>SUM(G48:G50)</f>
        <v>1147135</v>
      </c>
    </row>
    <row r="47" spans="1:7" s="763" customFormat="1" ht="10.5" customHeight="1">
      <c r="A47" s="792"/>
      <c r="B47" s="794"/>
      <c r="C47" s="794"/>
      <c r="D47" s="794"/>
      <c r="E47" s="794"/>
      <c r="F47" s="794"/>
      <c r="G47" s="812"/>
    </row>
    <row r="48" spans="1:7" s="763" customFormat="1" ht="12" customHeight="1">
      <c r="A48" s="792" t="s">
        <v>999</v>
      </c>
      <c r="B48" s="794">
        <v>855446</v>
      </c>
      <c r="C48" s="794"/>
      <c r="D48" s="784">
        <f>SUM(B48:C48)</f>
        <v>855446</v>
      </c>
      <c r="E48" s="794">
        <v>952191</v>
      </c>
      <c r="F48" s="794">
        <v>0</v>
      </c>
      <c r="G48" s="812">
        <f>SUM(E48:F48)</f>
        <v>952191</v>
      </c>
    </row>
    <row r="49" spans="1:7" s="763" customFormat="1" ht="12" customHeight="1">
      <c r="A49" s="792" t="s">
        <v>1000</v>
      </c>
      <c r="B49" s="794">
        <v>229479</v>
      </c>
      <c r="C49" s="794"/>
      <c r="D49" s="784">
        <f>SUM(B49:C49)</f>
        <v>229479</v>
      </c>
      <c r="E49" s="794">
        <v>178971</v>
      </c>
      <c r="F49" s="794">
        <v>0</v>
      </c>
      <c r="G49" s="812">
        <f>SUM(E49:F49)</f>
        <v>178971</v>
      </c>
    </row>
    <row r="50" spans="1:7" s="761" customFormat="1" ht="12" customHeight="1">
      <c r="A50" s="792" t="s">
        <v>1001</v>
      </c>
      <c r="B50" s="794">
        <v>3095</v>
      </c>
      <c r="C50" s="794"/>
      <c r="D50" s="784">
        <f>SUM(B50:C50)</f>
        <v>3095</v>
      </c>
      <c r="E50" s="794">
        <v>15973</v>
      </c>
      <c r="F50" s="794">
        <v>0</v>
      </c>
      <c r="G50" s="812">
        <f>SUM(E50:F50)</f>
        <v>15973</v>
      </c>
    </row>
    <row r="51" spans="1:7" s="763" customFormat="1" ht="10.5" customHeight="1" thickBot="1">
      <c r="A51" s="792"/>
      <c r="B51" s="794"/>
      <c r="C51" s="794"/>
      <c r="D51" s="794"/>
      <c r="E51" s="794"/>
      <c r="F51" s="794"/>
      <c r="G51" s="815"/>
    </row>
    <row r="52" spans="1:7" s="763" customFormat="1" ht="17.25" customHeight="1" thickBot="1" thickTop="1">
      <c r="A52" s="816" t="s">
        <v>1002</v>
      </c>
      <c r="B52" s="799">
        <f aca="true" t="shared" si="1" ref="B52:G52">SUM(B37,B42,B46)</f>
        <v>8715511</v>
      </c>
      <c r="C52" s="799">
        <f t="shared" si="1"/>
        <v>0</v>
      </c>
      <c r="D52" s="799">
        <f t="shared" si="1"/>
        <v>8715511</v>
      </c>
      <c r="E52" s="799">
        <f>SUM(E37,E42,E46)</f>
        <v>8627327</v>
      </c>
      <c r="F52" s="799">
        <f t="shared" si="1"/>
        <v>0</v>
      </c>
      <c r="G52" s="817">
        <f t="shared" si="1"/>
        <v>8627327</v>
      </c>
    </row>
    <row r="53" ht="12" thickTop="1">
      <c r="A53" s="818"/>
    </row>
    <row r="54" ht="11.25">
      <c r="A54" s="818"/>
    </row>
    <row r="55" ht="11.25">
      <c r="A55" s="818"/>
    </row>
    <row r="56" ht="11.25">
      <c r="A56" s="818"/>
    </row>
    <row r="57" spans="1:7" ht="11.25">
      <c r="A57" s="2219" t="s">
        <v>1003</v>
      </c>
      <c r="B57" s="2219"/>
      <c r="C57" s="2219"/>
      <c r="D57" s="2219"/>
      <c r="E57" s="2219"/>
      <c r="F57" s="2219"/>
      <c r="G57" s="2219"/>
    </row>
    <row r="58" spans="1:7" ht="11.25">
      <c r="A58" s="2220" t="s">
        <v>1004</v>
      </c>
      <c r="B58" s="2220"/>
      <c r="C58" s="2220"/>
      <c r="D58" s="2220"/>
      <c r="E58" s="2220"/>
      <c r="F58" s="2220"/>
      <c r="G58" s="2220"/>
    </row>
    <row r="59" ht="11.25">
      <c r="A59" s="818"/>
    </row>
    <row r="60" ht="11.25">
      <c r="A60" s="818"/>
    </row>
    <row r="61" ht="11.25">
      <c r="A61" s="818"/>
    </row>
    <row r="62" ht="11.25">
      <c r="A62" s="818"/>
    </row>
  </sheetData>
  <sheetProtection/>
  <mergeCells count="16">
    <mergeCell ref="F32:F35"/>
    <mergeCell ref="G32:G35"/>
    <mergeCell ref="B32:B35"/>
    <mergeCell ref="C32:C35"/>
    <mergeCell ref="D32:D35"/>
    <mergeCell ref="E32:E35"/>
    <mergeCell ref="A57:G57"/>
    <mergeCell ref="A58:G58"/>
    <mergeCell ref="A33:A34"/>
    <mergeCell ref="A10:A11"/>
    <mergeCell ref="B9:B12"/>
    <mergeCell ref="C9:C12"/>
    <mergeCell ref="D9:D12"/>
    <mergeCell ref="E9:E12"/>
    <mergeCell ref="F9:F12"/>
    <mergeCell ref="G9:G1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J57"/>
  <sheetViews>
    <sheetView showGridLines="0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4.25390625" style="819" customWidth="1"/>
    <col min="2" max="2" width="50.25390625" style="819" customWidth="1"/>
    <col min="3" max="3" width="11.75390625" style="819" customWidth="1"/>
    <col min="4" max="4" width="11.75390625" style="820" customWidth="1"/>
    <col min="5" max="5" width="11.75390625" style="819" customWidth="1"/>
    <col min="6" max="6" width="6.125" style="819" customWidth="1"/>
    <col min="7" max="7" width="9.375" style="819" customWidth="1"/>
    <col min="8" max="8" width="8.875" style="819" customWidth="1"/>
    <col min="9" max="9" width="6.375" style="819" customWidth="1"/>
    <col min="10" max="10" width="9.00390625" style="819" customWidth="1"/>
    <col min="11" max="16384" width="9.125" style="819" customWidth="1"/>
  </cols>
  <sheetData>
    <row r="4" ht="9.75" customHeight="1" thickBot="1">
      <c r="E4" s="821" t="s">
        <v>297</v>
      </c>
    </row>
    <row r="5" spans="1:10" s="824" customFormat="1" ht="16.5" customHeight="1" thickBot="1">
      <c r="A5" s="2230" t="s">
        <v>467</v>
      </c>
      <c r="B5" s="2232" t="s">
        <v>1006</v>
      </c>
      <c r="C5" s="822" t="s">
        <v>626</v>
      </c>
      <c r="D5" s="822" t="s">
        <v>1007</v>
      </c>
      <c r="E5" s="2228" t="s">
        <v>628</v>
      </c>
      <c r="F5" s="823"/>
      <c r="G5" s="823"/>
      <c r="H5" s="823"/>
      <c r="I5" s="823"/>
      <c r="J5" s="823"/>
    </row>
    <row r="6" spans="1:10" s="824" customFormat="1" ht="19.5" customHeight="1" thickBot="1">
      <c r="A6" s="2231"/>
      <c r="B6" s="2233"/>
      <c r="C6" s="2234" t="s">
        <v>1008</v>
      </c>
      <c r="D6" s="2235"/>
      <c r="E6" s="2229"/>
      <c r="F6" s="823"/>
      <c r="G6" s="823"/>
      <c r="H6" s="823"/>
      <c r="I6" s="823"/>
      <c r="J6" s="823"/>
    </row>
    <row r="7" spans="1:10" s="824" customFormat="1" ht="15" customHeight="1">
      <c r="A7" s="825" t="s">
        <v>1009</v>
      </c>
      <c r="B7" s="826" t="s">
        <v>1010</v>
      </c>
      <c r="C7" s="827">
        <f>3!D583</f>
        <v>582922</v>
      </c>
      <c r="D7" s="827">
        <f>3!D584</f>
        <v>618776</v>
      </c>
      <c r="E7" s="828">
        <f>3!D585</f>
        <v>584178</v>
      </c>
      <c r="F7" s="829"/>
      <c r="G7" s="829"/>
      <c r="H7" s="829"/>
      <c r="I7" s="829"/>
      <c r="J7" s="829"/>
    </row>
    <row r="8" spans="1:10" s="824" customFormat="1" ht="15" customHeight="1">
      <c r="A8" s="825" t="s">
        <v>1011</v>
      </c>
      <c r="B8" s="830" t="s">
        <v>404</v>
      </c>
      <c r="C8" s="831">
        <f>3!D587</f>
        <v>145828</v>
      </c>
      <c r="D8" s="831">
        <f>3!D588</f>
        <v>159229</v>
      </c>
      <c r="E8" s="832">
        <f>3!D589</f>
        <v>147881</v>
      </c>
      <c r="F8" s="833"/>
      <c r="G8" s="833"/>
      <c r="H8" s="833"/>
      <c r="I8" s="833"/>
      <c r="J8" s="833"/>
    </row>
    <row r="9" spans="1:10" s="824" customFormat="1" ht="15" customHeight="1">
      <c r="A9" s="825" t="s">
        <v>1012</v>
      </c>
      <c r="B9" s="834" t="s">
        <v>1013</v>
      </c>
      <c r="C9" s="831">
        <f>5!F674</f>
        <v>494302</v>
      </c>
      <c r="D9" s="831">
        <v>549888</v>
      </c>
      <c r="E9" s="832">
        <v>459569</v>
      </c>
      <c r="F9" s="833"/>
      <c r="G9" s="833"/>
      <c r="H9" s="833"/>
      <c r="I9" s="833"/>
      <c r="J9" s="833"/>
    </row>
    <row r="10" spans="1:10" s="824" customFormat="1" ht="15" customHeight="1">
      <c r="A10" s="825" t="s">
        <v>1014</v>
      </c>
      <c r="B10" s="835" t="s">
        <v>1015</v>
      </c>
      <c r="C10" s="836">
        <f>426574</f>
        <v>426574</v>
      </c>
      <c r="D10" s="836">
        <f>443405+399707</f>
        <v>843112</v>
      </c>
      <c r="E10" s="837">
        <f>399707+438127</f>
        <v>837834</v>
      </c>
      <c r="F10" s="833"/>
      <c r="G10" s="833"/>
      <c r="H10" s="833"/>
      <c r="I10" s="833"/>
      <c r="J10" s="833"/>
    </row>
    <row r="11" spans="1:10" s="824" customFormat="1" ht="15" customHeight="1">
      <c r="A11" s="825" t="s">
        <v>1016</v>
      </c>
      <c r="B11" s="835" t="s">
        <v>1017</v>
      </c>
      <c r="C11" s="836">
        <f>200911</f>
        <v>200911</v>
      </c>
      <c r="D11" s="836">
        <f>207451</f>
        <v>207451</v>
      </c>
      <c r="E11" s="837">
        <f>155340</f>
        <v>155340</v>
      </c>
      <c r="F11" s="833"/>
      <c r="G11" s="833"/>
      <c r="H11" s="833"/>
      <c r="I11" s="833"/>
      <c r="J11" s="833"/>
    </row>
    <row r="12" spans="1:10" s="824" customFormat="1" ht="15" customHeight="1">
      <c r="A12" s="825" t="s">
        <v>1018</v>
      </c>
      <c r="B12" s="834" t="s">
        <v>1019</v>
      </c>
      <c r="C12" s="831">
        <v>0</v>
      </c>
      <c r="D12" s="831">
        <v>0</v>
      </c>
      <c r="E12" s="832">
        <v>0</v>
      </c>
      <c r="F12" s="838"/>
      <c r="G12" s="838"/>
      <c r="H12" s="838"/>
      <c r="I12" s="838"/>
      <c r="J12" s="838"/>
    </row>
    <row r="13" spans="1:10" s="824" customFormat="1" ht="15" customHeight="1">
      <c r="A13" s="825" t="s">
        <v>1020</v>
      </c>
      <c r="B13" s="834" t="s">
        <v>1021</v>
      </c>
      <c r="C13" s="831">
        <v>417333</v>
      </c>
      <c r="D13" s="831">
        <v>211166</v>
      </c>
      <c r="E13" s="832">
        <v>77865</v>
      </c>
      <c r="F13" s="833"/>
      <c r="G13" s="833"/>
      <c r="H13" s="833"/>
      <c r="I13" s="833"/>
      <c r="J13" s="833"/>
    </row>
    <row r="14" spans="1:10" s="824" customFormat="1" ht="15" customHeight="1">
      <c r="A14" s="825" t="s">
        <v>1022</v>
      </c>
      <c r="B14" s="834" t="s">
        <v>1023</v>
      </c>
      <c r="C14" s="831">
        <v>852353</v>
      </c>
      <c r="D14" s="831">
        <v>1338362</v>
      </c>
      <c r="E14" s="832">
        <v>155828</v>
      </c>
      <c r="F14" s="833"/>
      <c r="G14" s="833"/>
      <c r="H14" s="833"/>
      <c r="I14" s="833"/>
      <c r="J14" s="833"/>
    </row>
    <row r="15" spans="1:10" s="824" customFormat="1" ht="15" customHeight="1">
      <c r="A15" s="825" t="s">
        <v>1024</v>
      </c>
      <c r="B15" s="834" t="s">
        <v>1025</v>
      </c>
      <c r="C15" s="831">
        <f>6415</f>
        <v>6415</v>
      </c>
      <c r="D15" s="831">
        <v>10705</v>
      </c>
      <c r="E15" s="832">
        <v>6404</v>
      </c>
      <c r="F15" s="833"/>
      <c r="G15" s="833"/>
      <c r="H15" s="833"/>
      <c r="I15" s="833"/>
      <c r="J15" s="833"/>
    </row>
    <row r="16" spans="1:10" s="824" customFormat="1" ht="15" customHeight="1">
      <c r="A16" s="825" t="s">
        <v>350</v>
      </c>
      <c r="B16" s="834" t="s">
        <v>1026</v>
      </c>
      <c r="C16" s="831"/>
      <c r="D16" s="831"/>
      <c r="E16" s="832"/>
      <c r="F16" s="833"/>
      <c r="G16" s="833"/>
      <c r="H16" s="833"/>
      <c r="I16" s="833"/>
      <c r="J16" s="833"/>
    </row>
    <row r="17" spans="1:10" s="824" customFormat="1" ht="15" customHeight="1">
      <c r="A17" s="825" t="s">
        <v>351</v>
      </c>
      <c r="B17" s="834" t="s">
        <v>1027</v>
      </c>
      <c r="C17" s="831">
        <v>4073</v>
      </c>
      <c r="D17" s="831">
        <v>56888</v>
      </c>
      <c r="E17" s="832">
        <v>28655</v>
      </c>
      <c r="F17" s="833"/>
      <c r="G17" s="833"/>
      <c r="H17" s="833"/>
      <c r="I17" s="833"/>
      <c r="J17" s="833"/>
    </row>
    <row r="18" spans="1:10" s="824" customFormat="1" ht="15" customHeight="1" thickBot="1">
      <c r="A18" s="839" t="s">
        <v>415</v>
      </c>
      <c r="B18" s="835" t="s">
        <v>1028</v>
      </c>
      <c r="C18" s="836">
        <f>2549+25535</f>
        <v>28084</v>
      </c>
      <c r="D18" s="836">
        <v>0</v>
      </c>
      <c r="E18" s="837">
        <v>0</v>
      </c>
      <c r="F18" s="833"/>
      <c r="G18" s="833"/>
      <c r="H18" s="833"/>
      <c r="I18" s="833"/>
      <c r="J18" s="833"/>
    </row>
    <row r="19" spans="1:10" s="824" customFormat="1" ht="18" customHeight="1" thickBot="1">
      <c r="A19" s="840" t="s">
        <v>418</v>
      </c>
      <c r="B19" s="841" t="s">
        <v>1127</v>
      </c>
      <c r="C19" s="842">
        <f>SUM(C7:C18)</f>
        <v>3158795</v>
      </c>
      <c r="D19" s="842">
        <f>SUM(D7:D18)</f>
        <v>3995577</v>
      </c>
      <c r="E19" s="843">
        <f>SUM(E7:E18)</f>
        <v>2453554</v>
      </c>
      <c r="F19" s="833"/>
      <c r="G19" s="833"/>
      <c r="H19" s="833"/>
      <c r="I19" s="833"/>
      <c r="J19" s="833"/>
    </row>
    <row r="20" spans="1:10" s="824" customFormat="1" ht="15" customHeight="1">
      <c r="A20" s="825" t="s">
        <v>425</v>
      </c>
      <c r="B20" s="844" t="s">
        <v>1065</v>
      </c>
      <c r="C20" s="827">
        <v>978</v>
      </c>
      <c r="D20" s="827">
        <v>978</v>
      </c>
      <c r="E20" s="828">
        <v>978</v>
      </c>
      <c r="F20" s="833"/>
      <c r="G20" s="833"/>
      <c r="H20" s="833"/>
      <c r="I20" s="833"/>
      <c r="J20" s="833"/>
    </row>
    <row r="21" spans="1:10" s="824" customFormat="1" ht="15" customHeight="1">
      <c r="A21" s="825" t="s">
        <v>426</v>
      </c>
      <c r="B21" s="845" t="s">
        <v>1066</v>
      </c>
      <c r="C21" s="831"/>
      <c r="D21" s="831">
        <v>86358</v>
      </c>
      <c r="E21" s="832">
        <v>86358</v>
      </c>
      <c r="F21" s="833"/>
      <c r="G21" s="833"/>
      <c r="H21" s="833"/>
      <c r="I21" s="833"/>
      <c r="J21" s="833"/>
    </row>
    <row r="22" spans="1:10" s="824" customFormat="1" ht="15" customHeight="1">
      <c r="A22" s="825" t="s">
        <v>557</v>
      </c>
      <c r="B22" s="1654" t="s">
        <v>1056</v>
      </c>
      <c r="C22" s="831"/>
      <c r="D22" s="831"/>
      <c r="E22" s="832"/>
      <c r="F22" s="833"/>
      <c r="G22" s="833"/>
      <c r="H22" s="833"/>
      <c r="I22" s="833"/>
      <c r="J22" s="833"/>
    </row>
    <row r="23" spans="1:10" s="824" customFormat="1" ht="15" customHeight="1">
      <c r="A23" s="825" t="s">
        <v>560</v>
      </c>
      <c r="B23" s="830" t="s">
        <v>1029</v>
      </c>
      <c r="C23" s="831"/>
      <c r="D23" s="831"/>
      <c r="E23" s="832"/>
      <c r="F23" s="833"/>
      <c r="G23" s="833"/>
      <c r="H23" s="833"/>
      <c r="I23" s="833"/>
      <c r="J23" s="833"/>
    </row>
    <row r="24" spans="1:10" s="824" customFormat="1" ht="15" customHeight="1" thickBot="1">
      <c r="A24" s="839" t="s">
        <v>561</v>
      </c>
      <c r="B24" s="835" t="s">
        <v>1030</v>
      </c>
      <c r="C24" s="836"/>
      <c r="D24" s="836"/>
      <c r="E24" s="837">
        <v>0</v>
      </c>
      <c r="F24" s="833"/>
      <c r="G24" s="833"/>
      <c r="H24" s="833"/>
      <c r="I24" s="833"/>
      <c r="J24" s="833"/>
    </row>
    <row r="25" spans="1:10" s="824" customFormat="1" ht="18" customHeight="1" thickBot="1">
      <c r="A25" s="840" t="s">
        <v>562</v>
      </c>
      <c r="B25" s="846" t="s">
        <v>1057</v>
      </c>
      <c r="C25" s="842">
        <f>C20+C21+C23+C24</f>
        <v>978</v>
      </c>
      <c r="D25" s="842">
        <f>D20+D21+D23+D24</f>
        <v>87336</v>
      </c>
      <c r="E25" s="843">
        <f>E20+E21+E23+E24</f>
        <v>87336</v>
      </c>
      <c r="F25" s="833"/>
      <c r="G25" s="833"/>
      <c r="H25" s="833"/>
      <c r="I25" s="833"/>
      <c r="J25" s="833"/>
    </row>
    <row r="26" spans="1:10" s="824" customFormat="1" ht="18" customHeight="1" thickBot="1">
      <c r="A26" s="840" t="s">
        <v>563</v>
      </c>
      <c r="B26" s="846" t="s">
        <v>1058</v>
      </c>
      <c r="C26" s="842">
        <f>C19+C25</f>
        <v>3159773</v>
      </c>
      <c r="D26" s="842">
        <f>D19+D25</f>
        <v>4082913</v>
      </c>
      <c r="E26" s="843">
        <f>E19+E25</f>
        <v>2540890</v>
      </c>
      <c r="F26" s="833"/>
      <c r="G26" s="833"/>
      <c r="H26" s="833"/>
      <c r="I26" s="833"/>
      <c r="J26" s="833"/>
    </row>
    <row r="27" spans="1:10" s="824" customFormat="1" ht="15" customHeight="1">
      <c r="A27" s="825" t="s">
        <v>564</v>
      </c>
      <c r="B27" s="847" t="s">
        <v>1031</v>
      </c>
      <c r="C27" s="827">
        <v>322447</v>
      </c>
      <c r="D27" s="827">
        <v>315667</v>
      </c>
      <c r="E27" s="828"/>
      <c r="F27" s="833"/>
      <c r="G27" s="833"/>
      <c r="H27" s="833"/>
      <c r="I27" s="833"/>
      <c r="J27" s="833"/>
    </row>
    <row r="28" spans="1:10" s="824" customFormat="1" ht="15" customHeight="1" thickBot="1">
      <c r="A28" s="839" t="s">
        <v>565</v>
      </c>
      <c r="B28" s="835" t="s">
        <v>1032</v>
      </c>
      <c r="C28" s="836"/>
      <c r="D28" s="836"/>
      <c r="E28" s="837">
        <v>-53657</v>
      </c>
      <c r="F28" s="833"/>
      <c r="G28" s="833"/>
      <c r="H28" s="833"/>
      <c r="I28" s="833"/>
      <c r="J28" s="833"/>
    </row>
    <row r="29" spans="1:10" s="824" customFormat="1" ht="18" customHeight="1" thickBot="1" thickTop="1">
      <c r="A29" s="851" t="s">
        <v>566</v>
      </c>
      <c r="B29" s="852" t="s">
        <v>1059</v>
      </c>
      <c r="C29" s="853">
        <f>SUM(C26:C28)</f>
        <v>3482220</v>
      </c>
      <c r="D29" s="853">
        <f>SUM(D26:D28)</f>
        <v>4398580</v>
      </c>
      <c r="E29" s="854">
        <f>SUM(E26:E28)</f>
        <v>2487233</v>
      </c>
      <c r="F29" s="833"/>
      <c r="G29" s="833"/>
      <c r="H29" s="833"/>
      <c r="I29" s="833"/>
      <c r="J29" s="833"/>
    </row>
    <row r="30" spans="1:10" s="824" customFormat="1" ht="15" customHeight="1" thickTop="1">
      <c r="A30" s="825" t="s">
        <v>572</v>
      </c>
      <c r="B30" s="847" t="s">
        <v>1033</v>
      </c>
      <c r="C30" s="827">
        <f>915387+140344</f>
        <v>1055731</v>
      </c>
      <c r="D30" s="827">
        <f>961432+158950</f>
        <v>1120382</v>
      </c>
      <c r="E30" s="828">
        <f>1035758+186848</f>
        <v>1222606</v>
      </c>
      <c r="F30" s="833"/>
      <c r="G30" s="833"/>
      <c r="H30" s="833"/>
      <c r="I30" s="833"/>
      <c r="J30" s="833"/>
    </row>
    <row r="31" spans="1:10" s="824" customFormat="1" ht="15" customHeight="1">
      <c r="A31" s="825" t="s">
        <v>581</v>
      </c>
      <c r="B31" s="834" t="s">
        <v>1034</v>
      </c>
      <c r="C31" s="831"/>
      <c r="D31" s="831"/>
      <c r="E31" s="832"/>
      <c r="F31" s="833"/>
      <c r="G31" s="833"/>
      <c r="H31" s="833"/>
      <c r="I31" s="833"/>
      <c r="J31" s="833"/>
    </row>
    <row r="32" spans="1:10" s="824" customFormat="1" ht="15" customHeight="1">
      <c r="A32" s="825" t="s">
        <v>584</v>
      </c>
      <c r="B32" s="834" t="s">
        <v>1035</v>
      </c>
      <c r="C32" s="831">
        <v>238147</v>
      </c>
      <c r="D32" s="831">
        <v>574061</v>
      </c>
      <c r="E32" s="832">
        <v>535771</v>
      </c>
      <c r="F32" s="833"/>
      <c r="G32" s="833"/>
      <c r="H32" s="833"/>
      <c r="I32" s="833"/>
      <c r="J32" s="833"/>
    </row>
    <row r="33" spans="1:10" s="824" customFormat="1" ht="15" customHeight="1">
      <c r="A33" s="825" t="s">
        <v>908</v>
      </c>
      <c r="B33" s="834" t="s">
        <v>1067</v>
      </c>
      <c r="C33" s="831">
        <v>0</v>
      </c>
      <c r="D33" s="831">
        <v>314</v>
      </c>
      <c r="E33" s="832">
        <v>581</v>
      </c>
      <c r="F33" s="833"/>
      <c r="G33" s="833"/>
      <c r="H33" s="833"/>
      <c r="I33" s="833"/>
      <c r="J33" s="833"/>
    </row>
    <row r="34" spans="1:10" s="824" customFormat="1" ht="15" customHeight="1">
      <c r="A34" s="825" t="s">
        <v>909</v>
      </c>
      <c r="B34" s="834" t="s">
        <v>1036</v>
      </c>
      <c r="C34" s="831">
        <v>50</v>
      </c>
      <c r="D34" s="831">
        <v>5323</v>
      </c>
      <c r="E34" s="832">
        <v>16022</v>
      </c>
      <c r="F34" s="833"/>
      <c r="G34" s="833"/>
      <c r="H34" s="833"/>
      <c r="I34" s="833"/>
      <c r="J34" s="833"/>
    </row>
    <row r="35" spans="1:10" s="824" customFormat="1" ht="15" customHeight="1">
      <c r="A35" s="825" t="s">
        <v>910</v>
      </c>
      <c r="B35" s="834" t="s">
        <v>1037</v>
      </c>
      <c r="C35" s="831">
        <v>0</v>
      </c>
      <c r="D35" s="831">
        <v>0</v>
      </c>
      <c r="E35" s="832">
        <v>0</v>
      </c>
      <c r="F35" s="833"/>
      <c r="G35" s="833"/>
      <c r="H35" s="833"/>
      <c r="I35" s="833"/>
      <c r="J35" s="833"/>
    </row>
    <row r="36" spans="1:10" s="824" customFormat="1" ht="15" customHeight="1">
      <c r="A36" s="825" t="s">
        <v>919</v>
      </c>
      <c r="B36" s="834" t="s">
        <v>1038</v>
      </c>
      <c r="C36" s="831">
        <v>566184</v>
      </c>
      <c r="D36" s="831">
        <v>716954</v>
      </c>
      <c r="E36" s="832">
        <v>140666</v>
      </c>
      <c r="F36" s="833"/>
      <c r="G36" s="833"/>
      <c r="H36" s="833"/>
      <c r="I36" s="833"/>
      <c r="J36" s="833"/>
    </row>
    <row r="37" spans="1:10" s="824" customFormat="1" ht="14.25" customHeight="1">
      <c r="A37" s="825" t="s">
        <v>920</v>
      </c>
      <c r="B37" s="830" t="s">
        <v>1039</v>
      </c>
      <c r="C37" s="831">
        <v>0</v>
      </c>
      <c r="D37" s="831">
        <v>69395</v>
      </c>
      <c r="E37" s="832">
        <v>1329</v>
      </c>
      <c r="F37" s="833"/>
      <c r="G37" s="833"/>
      <c r="H37" s="833"/>
      <c r="I37" s="833"/>
      <c r="J37" s="833"/>
    </row>
    <row r="38" spans="1:10" s="824" customFormat="1" ht="15" customHeight="1">
      <c r="A38" s="825" t="s">
        <v>925</v>
      </c>
      <c r="B38" s="834" t="s">
        <v>1040</v>
      </c>
      <c r="C38" s="831">
        <v>391412</v>
      </c>
      <c r="D38" s="831">
        <v>541921</v>
      </c>
      <c r="E38" s="832">
        <v>541921</v>
      </c>
      <c r="F38" s="833"/>
      <c r="G38" s="833"/>
      <c r="H38" s="833"/>
      <c r="I38" s="833"/>
      <c r="J38" s="833"/>
    </row>
    <row r="39" spans="1:10" s="824" customFormat="1" ht="15" customHeight="1">
      <c r="A39" s="825" t="s">
        <v>926</v>
      </c>
      <c r="B39" s="834" t="s">
        <v>1041</v>
      </c>
      <c r="C39" s="831">
        <v>391412</v>
      </c>
      <c r="D39" s="831">
        <v>541921</v>
      </c>
      <c r="E39" s="832">
        <v>541921</v>
      </c>
      <c r="F39" s="833"/>
      <c r="G39" s="833"/>
      <c r="H39" s="833"/>
      <c r="I39" s="833"/>
      <c r="J39" s="833"/>
    </row>
    <row r="40" spans="1:10" s="824" customFormat="1" ht="15" customHeight="1">
      <c r="A40" s="825" t="s">
        <v>1042</v>
      </c>
      <c r="B40" s="834" t="s">
        <v>1043</v>
      </c>
      <c r="C40" s="831">
        <v>1992</v>
      </c>
      <c r="D40" s="831">
        <v>27618</v>
      </c>
      <c r="E40" s="832">
        <v>23695</v>
      </c>
      <c r="F40" s="833"/>
      <c r="G40" s="833"/>
      <c r="H40" s="833"/>
      <c r="I40" s="833"/>
      <c r="J40" s="833"/>
    </row>
    <row r="41" spans="1:5" ht="15" customHeight="1" thickBot="1">
      <c r="A41" s="839" t="s">
        <v>1044</v>
      </c>
      <c r="B41" s="835" t="s">
        <v>1045</v>
      </c>
      <c r="C41" s="836">
        <f>20535</f>
        <v>20535</v>
      </c>
      <c r="D41" s="836">
        <v>300</v>
      </c>
      <c r="E41" s="837">
        <v>160</v>
      </c>
    </row>
    <row r="42" spans="1:5" ht="22.5" thickBot="1">
      <c r="A42" s="840" t="s">
        <v>1046</v>
      </c>
      <c r="B42" s="1655" t="s">
        <v>1128</v>
      </c>
      <c r="C42" s="842">
        <f>C30+C31+C32+C33+C34+C36+C37+C38+C40+C41</f>
        <v>2274051</v>
      </c>
      <c r="D42" s="842">
        <f>D30+D31+D32+D33+D34+D36+D37+D38+D40+D41</f>
        <v>3056268</v>
      </c>
      <c r="E42" s="843">
        <f>E30+E31+E32+E33+E34+E36+E37+E38+E40+E41</f>
        <v>2482751</v>
      </c>
    </row>
    <row r="43" spans="1:5" ht="15" customHeight="1">
      <c r="A43" s="825" t="s">
        <v>1047</v>
      </c>
      <c r="B43" s="855" t="s">
        <v>1129</v>
      </c>
      <c r="C43" s="827"/>
      <c r="D43" s="827"/>
      <c r="E43" s="828"/>
    </row>
    <row r="44" spans="1:5" ht="15" customHeight="1">
      <c r="A44" s="825" t="s">
        <v>1048</v>
      </c>
      <c r="B44" s="856" t="s">
        <v>1130</v>
      </c>
      <c r="C44" s="831">
        <v>243217</v>
      </c>
      <c r="D44" s="831">
        <v>262005</v>
      </c>
      <c r="E44" s="832">
        <v>31403</v>
      </c>
    </row>
    <row r="45" spans="1:5" ht="15" customHeight="1">
      <c r="A45" s="825" t="s">
        <v>1049</v>
      </c>
      <c r="B45" s="1656" t="s">
        <v>1060</v>
      </c>
      <c r="C45" s="831"/>
      <c r="D45" s="831"/>
      <c r="E45" s="832"/>
    </row>
    <row r="46" spans="1:5" ht="15" customHeight="1">
      <c r="A46" s="825" t="s">
        <v>1051</v>
      </c>
      <c r="B46" s="830" t="s">
        <v>1050</v>
      </c>
      <c r="C46" s="831"/>
      <c r="D46" s="831"/>
      <c r="E46" s="832"/>
    </row>
    <row r="47" spans="1:5" ht="15" customHeight="1" thickBot="1">
      <c r="A47" s="839" t="s">
        <v>1053</v>
      </c>
      <c r="B47" s="857" t="s">
        <v>1052</v>
      </c>
      <c r="C47" s="836"/>
      <c r="D47" s="836"/>
      <c r="E47" s="858"/>
    </row>
    <row r="48" spans="1:5" ht="12" thickBot="1">
      <c r="A48" s="840" t="s">
        <v>1054</v>
      </c>
      <c r="B48" s="846" t="s">
        <v>1061</v>
      </c>
      <c r="C48" s="842">
        <f>C43+C44+C46+C47</f>
        <v>243217</v>
      </c>
      <c r="D48" s="842">
        <f>D43+D44+D46+D47</f>
        <v>262005</v>
      </c>
      <c r="E48" s="843">
        <f>E43+E44+E46+E47</f>
        <v>31403</v>
      </c>
    </row>
    <row r="49" spans="1:5" ht="12" thickBot="1">
      <c r="A49" s="840" t="s">
        <v>1055</v>
      </c>
      <c r="B49" s="846" t="s">
        <v>1062</v>
      </c>
      <c r="C49" s="842">
        <f>SUM(C42,C48)</f>
        <v>2517268</v>
      </c>
      <c r="D49" s="842">
        <f>SUM(D42,D48)</f>
        <v>3318273</v>
      </c>
      <c r="E49" s="843">
        <f>SUM(E42,E48)</f>
        <v>2514154</v>
      </c>
    </row>
    <row r="50" spans="1:5" ht="15" customHeight="1">
      <c r="A50" s="825" t="s">
        <v>1118</v>
      </c>
      <c r="B50" s="847" t="s">
        <v>1117</v>
      </c>
      <c r="C50" s="827">
        <v>964952</v>
      </c>
      <c r="D50" s="827">
        <v>1080307</v>
      </c>
      <c r="E50" s="828">
        <v>93368</v>
      </c>
    </row>
    <row r="51" spans="1:5" ht="15" customHeight="1">
      <c r="A51" s="825" t="s">
        <v>1120</v>
      </c>
      <c r="B51" s="848" t="s">
        <v>1119</v>
      </c>
      <c r="C51" s="849"/>
      <c r="D51" s="849"/>
      <c r="E51" s="850"/>
    </row>
    <row r="52" spans="1:5" ht="15" customHeight="1" thickBot="1">
      <c r="A52" s="839" t="s">
        <v>1122</v>
      </c>
      <c r="B52" s="835" t="s">
        <v>1121</v>
      </c>
      <c r="C52" s="836"/>
      <c r="D52" s="836"/>
      <c r="E52" s="837">
        <v>12616</v>
      </c>
    </row>
    <row r="53" spans="1:5" ht="12.75" thickBot="1" thickTop="1">
      <c r="A53" s="851" t="s">
        <v>1123</v>
      </c>
      <c r="B53" s="852" t="s">
        <v>1063</v>
      </c>
      <c r="C53" s="853">
        <f>SUM(C49:C52)</f>
        <v>3482220</v>
      </c>
      <c r="D53" s="853">
        <f>SUM(D49:D52)</f>
        <v>4398580</v>
      </c>
      <c r="E53" s="854">
        <f>SUM(E49:E52)</f>
        <v>2620138</v>
      </c>
    </row>
    <row r="54" spans="1:5" ht="28.5" customHeight="1" thickBot="1" thickTop="1">
      <c r="A54" s="851" t="s">
        <v>1124</v>
      </c>
      <c r="B54" s="1658" t="s">
        <v>1064</v>
      </c>
      <c r="C54" s="853">
        <f>C42-C19</f>
        <v>-884744</v>
      </c>
      <c r="D54" s="853">
        <f>D42-D19</f>
        <v>-939309</v>
      </c>
      <c r="E54" s="854">
        <f>E42-E19</f>
        <v>29197</v>
      </c>
    </row>
    <row r="55" spans="1:5" ht="36.75" customHeight="1" thickBot="1" thickTop="1">
      <c r="A55" s="859" t="s">
        <v>1125</v>
      </c>
      <c r="B55" s="1657" t="s">
        <v>1085</v>
      </c>
      <c r="C55" s="860">
        <f>C54+C50-C27</f>
        <v>-242239</v>
      </c>
      <c r="D55" s="860">
        <f>D54+D50-D27</f>
        <v>-174669</v>
      </c>
      <c r="E55" s="1784">
        <f>E54+E50-E27</f>
        <v>122565</v>
      </c>
    </row>
    <row r="56" spans="1:5" ht="15" customHeight="1" thickBot="1">
      <c r="A56" s="840" t="s">
        <v>1126</v>
      </c>
      <c r="B56" s="846" t="s">
        <v>1070</v>
      </c>
      <c r="C56" s="842">
        <f>C48-C25</f>
        <v>242239</v>
      </c>
      <c r="D56" s="842">
        <f>D48-D25</f>
        <v>174669</v>
      </c>
      <c r="E56" s="843">
        <f>E48-E25</f>
        <v>-55933</v>
      </c>
    </row>
    <row r="57" spans="1:5" ht="15" customHeight="1" thickBot="1">
      <c r="A57" s="840" t="s">
        <v>1068</v>
      </c>
      <c r="B57" s="846" t="s">
        <v>1069</v>
      </c>
      <c r="C57" s="842">
        <f>C51+C52-C28</f>
        <v>0</v>
      </c>
      <c r="D57" s="842">
        <f>D51+D52-D28</f>
        <v>0</v>
      </c>
      <c r="E57" s="843">
        <f>E51+E52-E28</f>
        <v>66273</v>
      </c>
    </row>
  </sheetData>
  <sheetProtection/>
  <mergeCells count="4">
    <mergeCell ref="E5:E6"/>
    <mergeCell ref="A5:A6"/>
    <mergeCell ref="B5:B6"/>
    <mergeCell ref="C6:D6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8:I52"/>
  <sheetViews>
    <sheetView showGridLines="0" zoomScaleSheetLayoutView="100" zoomScalePageLayoutView="0" workbookViewId="0" topLeftCell="A1">
      <selection activeCell="J45" sqref="J45"/>
    </sheetView>
  </sheetViews>
  <sheetFormatPr defaultColWidth="9.00390625" defaultRowHeight="12.75"/>
  <cols>
    <col min="1" max="1" width="4.25390625" style="861" customWidth="1"/>
    <col min="2" max="2" width="23.00390625" style="861" customWidth="1"/>
    <col min="3" max="3" width="9.375" style="1770" customWidth="1"/>
    <col min="4" max="4" width="8.00390625" style="1770" customWidth="1"/>
    <col min="5" max="5" width="10.125" style="1770" customWidth="1"/>
    <col min="6" max="7" width="9.25390625" style="1770" customWidth="1"/>
    <col min="8" max="8" width="10.875" style="1770" customWidth="1"/>
    <col min="9" max="9" width="9.00390625" style="861" customWidth="1"/>
    <col min="10" max="16384" width="9.125" style="861" customWidth="1"/>
  </cols>
  <sheetData>
    <row r="7" ht="10.5" customHeight="1"/>
    <row r="8" ht="10.5" customHeight="1">
      <c r="H8" s="1770" t="s">
        <v>297</v>
      </c>
    </row>
    <row r="9" ht="0.75" customHeight="1" thickBot="1">
      <c r="H9" s="862" t="s">
        <v>297</v>
      </c>
    </row>
    <row r="10" spans="1:8" ht="14.25" customHeight="1">
      <c r="A10" s="2247" t="s">
        <v>1131</v>
      </c>
      <c r="B10" s="2256" t="s">
        <v>358</v>
      </c>
      <c r="C10" s="2250" t="s">
        <v>972</v>
      </c>
      <c r="D10" s="2250" t="s">
        <v>973</v>
      </c>
      <c r="E10" s="2250" t="s">
        <v>974</v>
      </c>
      <c r="F10" s="2250" t="s">
        <v>975</v>
      </c>
      <c r="G10" s="2250" t="s">
        <v>976</v>
      </c>
      <c r="H10" s="2253" t="s">
        <v>977</v>
      </c>
    </row>
    <row r="11" spans="1:8" ht="14.25" customHeight="1">
      <c r="A11" s="2248"/>
      <c r="B11" s="2257"/>
      <c r="C11" s="2251"/>
      <c r="D11" s="2251"/>
      <c r="E11" s="2251"/>
      <c r="F11" s="2251"/>
      <c r="G11" s="2251"/>
      <c r="H11" s="2254"/>
    </row>
    <row r="12" spans="1:8" ht="9.75" customHeight="1">
      <c r="A12" s="2248"/>
      <c r="B12" s="2257"/>
      <c r="C12" s="2251"/>
      <c r="D12" s="2251"/>
      <c r="E12" s="2251"/>
      <c r="F12" s="2251"/>
      <c r="G12" s="2251"/>
      <c r="H12" s="2254"/>
    </row>
    <row r="13" spans="1:8" ht="18" customHeight="1" thickBot="1">
      <c r="A13" s="2249"/>
      <c r="B13" s="2258"/>
      <c r="C13" s="2252"/>
      <c r="D13" s="2252"/>
      <c r="E13" s="2252"/>
      <c r="F13" s="2252"/>
      <c r="G13" s="2252"/>
      <c r="H13" s="2255"/>
    </row>
    <row r="14" spans="1:9" ht="21.75" customHeight="1">
      <c r="A14" s="863">
        <v>1</v>
      </c>
      <c r="B14" s="864" t="s">
        <v>1132</v>
      </c>
      <c r="C14" s="865">
        <v>1073140</v>
      </c>
      <c r="D14" s="865"/>
      <c r="E14" s="865">
        <f>SUM(C14:D14)</f>
        <v>1073140</v>
      </c>
      <c r="F14" s="865">
        <v>1112677</v>
      </c>
      <c r="G14" s="865">
        <v>0</v>
      </c>
      <c r="H14" s="866">
        <f>SUM(F14:G14)</f>
        <v>1112677</v>
      </c>
      <c r="I14" s="1545"/>
    </row>
    <row r="15" spans="1:8" ht="5.25" customHeight="1">
      <c r="A15" s="867"/>
      <c r="B15" s="868"/>
      <c r="C15" s="869"/>
      <c r="D15" s="869"/>
      <c r="E15" s="869"/>
      <c r="F15" s="869"/>
      <c r="G15" s="869"/>
      <c r="H15" s="870"/>
    </row>
    <row r="16" spans="1:9" ht="22.5" customHeight="1">
      <c r="A16" s="867">
        <v>2</v>
      </c>
      <c r="B16" s="871" t="s">
        <v>1071</v>
      </c>
      <c r="C16" s="869">
        <v>-86358</v>
      </c>
      <c r="D16" s="869"/>
      <c r="E16" s="869">
        <v>-86358</v>
      </c>
      <c r="F16" s="869">
        <v>0</v>
      </c>
      <c r="G16" s="869">
        <v>0</v>
      </c>
      <c r="H16" s="870">
        <f>F16</f>
        <v>0</v>
      </c>
      <c r="I16" s="1545"/>
    </row>
    <row r="17" spans="1:8" ht="0.75" customHeight="1">
      <c r="A17" s="867"/>
      <c r="B17" s="868"/>
      <c r="C17" s="869"/>
      <c r="D17" s="869"/>
      <c r="E17" s="869"/>
      <c r="F17" s="869"/>
      <c r="G17" s="869"/>
      <c r="H17" s="870"/>
    </row>
    <row r="18" spans="1:8" ht="10.5" customHeight="1">
      <c r="A18" s="872"/>
      <c r="B18" s="873" t="s">
        <v>1133</v>
      </c>
      <c r="C18" s="2236">
        <v>93034</v>
      </c>
      <c r="D18" s="874"/>
      <c r="E18" s="2236">
        <f>SUM(C18:D20)</f>
        <v>93034</v>
      </c>
      <c r="F18" s="2236">
        <v>26761</v>
      </c>
      <c r="G18" s="874"/>
      <c r="H18" s="875"/>
    </row>
    <row r="19" spans="1:9" ht="12.75" customHeight="1">
      <c r="A19" s="876">
        <v>3</v>
      </c>
      <c r="B19" s="877" t="s">
        <v>1072</v>
      </c>
      <c r="C19" s="2237"/>
      <c r="D19" s="869"/>
      <c r="E19" s="2237"/>
      <c r="F19" s="2237"/>
      <c r="G19" s="869">
        <v>0</v>
      </c>
      <c r="H19" s="870">
        <f>SUM(F18:G20)</f>
        <v>26761</v>
      </c>
      <c r="I19" s="1545"/>
    </row>
    <row r="20" spans="1:8" ht="10.5" customHeight="1">
      <c r="A20" s="878" t="s">
        <v>1134</v>
      </c>
      <c r="B20" s="879" t="s">
        <v>1073</v>
      </c>
      <c r="C20" s="2238"/>
      <c r="D20" s="880"/>
      <c r="E20" s="2238"/>
      <c r="F20" s="2238"/>
      <c r="G20" s="880"/>
      <c r="H20" s="881"/>
    </row>
    <row r="21" spans="1:9" ht="14.25" customHeight="1">
      <c r="A21" s="872">
        <v>4</v>
      </c>
      <c r="B21" s="873" t="s">
        <v>1135</v>
      </c>
      <c r="C21" s="2236">
        <v>884861</v>
      </c>
      <c r="D21" s="874"/>
      <c r="E21" s="2236">
        <v>884861</v>
      </c>
      <c r="F21" s="2236">
        <v>986939</v>
      </c>
      <c r="G21" s="2236"/>
      <c r="H21" s="2241">
        <f>F21+G21</f>
        <v>986939</v>
      </c>
      <c r="I21" s="1545"/>
    </row>
    <row r="22" spans="1:8" ht="12" customHeight="1">
      <c r="A22" s="876" t="s">
        <v>1134</v>
      </c>
      <c r="B22" s="877" t="s">
        <v>1136</v>
      </c>
      <c r="C22" s="2238"/>
      <c r="D22" s="869"/>
      <c r="E22" s="2240"/>
      <c r="F22" s="2238"/>
      <c r="G22" s="2243"/>
      <c r="H22" s="2242"/>
    </row>
    <row r="23" spans="1:8" ht="24" customHeight="1">
      <c r="A23" s="872">
        <v>5</v>
      </c>
      <c r="B23" s="1659" t="s">
        <v>1074</v>
      </c>
      <c r="C23" s="2236">
        <v>0</v>
      </c>
      <c r="D23" s="874"/>
      <c r="E23" s="2236">
        <v>0</v>
      </c>
      <c r="F23" s="2236"/>
      <c r="G23" s="874"/>
      <c r="H23" s="2241">
        <v>0</v>
      </c>
    </row>
    <row r="24" spans="1:9" s="884" customFormat="1" ht="14.25" customHeight="1" thickBot="1">
      <c r="A24" s="876" t="s">
        <v>1134</v>
      </c>
      <c r="B24" s="877" t="s">
        <v>1075</v>
      </c>
      <c r="C24" s="2239"/>
      <c r="D24" s="869"/>
      <c r="E24" s="2239"/>
      <c r="F24" s="2239"/>
      <c r="G24" s="869"/>
      <c r="H24" s="2246"/>
      <c r="I24" s="883"/>
    </row>
    <row r="25" spans="1:9" s="884" customFormat="1" ht="10.5" customHeight="1">
      <c r="A25" s="885">
        <v>6</v>
      </c>
      <c r="B25" s="886" t="s">
        <v>1137</v>
      </c>
      <c r="C25" s="887"/>
      <c r="D25" s="887"/>
      <c r="E25" s="887"/>
      <c r="F25" s="887"/>
      <c r="G25" s="887"/>
      <c r="H25" s="888"/>
      <c r="I25" s="889"/>
    </row>
    <row r="26" spans="1:9" s="884" customFormat="1" ht="10.5" customHeight="1">
      <c r="A26" s="890" t="s">
        <v>1138</v>
      </c>
      <c r="B26" s="891" t="s">
        <v>1139</v>
      </c>
      <c r="C26" s="892">
        <v>194955</v>
      </c>
      <c r="D26" s="892"/>
      <c r="E26" s="892">
        <v>194955</v>
      </c>
      <c r="F26" s="892">
        <f>F14+F18-F21-F23+F16</f>
        <v>152499</v>
      </c>
      <c r="G26" s="869">
        <f>G14+G18-G21-G23</f>
        <v>0</v>
      </c>
      <c r="H26" s="870">
        <f>H14+H19-H21-H23+H16</f>
        <v>152499</v>
      </c>
      <c r="I26" s="893"/>
    </row>
    <row r="27" spans="1:9" s="884" customFormat="1" ht="12.75" customHeight="1" thickBot="1">
      <c r="A27" s="894" t="s">
        <v>1134</v>
      </c>
      <c r="B27" s="895" t="s">
        <v>1076</v>
      </c>
      <c r="C27" s="896"/>
      <c r="D27" s="896"/>
      <c r="E27" s="896"/>
      <c r="F27" s="896"/>
      <c r="G27" s="896"/>
      <c r="H27" s="882"/>
      <c r="I27" s="893"/>
    </row>
    <row r="28" spans="1:9" s="884" customFormat="1" ht="15.75" customHeight="1">
      <c r="A28" s="876">
        <v>7</v>
      </c>
      <c r="B28" s="877" t="s">
        <v>1140</v>
      </c>
      <c r="C28" s="2244">
        <v>491</v>
      </c>
      <c r="D28" s="869"/>
      <c r="E28" s="2244">
        <v>491</v>
      </c>
      <c r="F28" s="2244">
        <v>11945</v>
      </c>
      <c r="G28" s="2244"/>
      <c r="H28" s="2245">
        <f>G28+F28</f>
        <v>11945</v>
      </c>
      <c r="I28" s="893"/>
    </row>
    <row r="29" spans="1:9" s="884" customFormat="1" ht="15.75" customHeight="1">
      <c r="A29" s="878" t="s">
        <v>1134</v>
      </c>
      <c r="B29" s="879" t="s">
        <v>1141</v>
      </c>
      <c r="C29" s="2238"/>
      <c r="D29" s="880"/>
      <c r="E29" s="2238"/>
      <c r="F29" s="2243"/>
      <c r="G29" s="2243"/>
      <c r="H29" s="2242"/>
      <c r="I29" s="897"/>
    </row>
    <row r="30" spans="1:9" s="884" customFormat="1" ht="10.5" customHeight="1">
      <c r="A30" s="872">
        <v>8</v>
      </c>
      <c r="B30" s="873" t="s">
        <v>1142</v>
      </c>
      <c r="C30" s="2236">
        <v>0</v>
      </c>
      <c r="D30" s="874"/>
      <c r="E30" s="2236">
        <v>0</v>
      </c>
      <c r="F30" s="2236">
        <v>-54</v>
      </c>
      <c r="G30" s="2236">
        <v>0</v>
      </c>
      <c r="H30" s="2241">
        <f>SUM(F30:G31)</f>
        <v>-54</v>
      </c>
      <c r="I30" s="893"/>
    </row>
    <row r="31" spans="1:9" s="884" customFormat="1" ht="15" customHeight="1" thickBot="1">
      <c r="A31" s="876" t="s">
        <v>1134</v>
      </c>
      <c r="B31" s="877" t="s">
        <v>1143</v>
      </c>
      <c r="C31" s="2237"/>
      <c r="D31" s="869"/>
      <c r="E31" s="2265"/>
      <c r="F31" s="2237"/>
      <c r="G31" s="2265"/>
      <c r="H31" s="2267"/>
      <c r="I31" s="893"/>
    </row>
    <row r="32" spans="1:9" s="902" customFormat="1" ht="7.5" customHeight="1">
      <c r="A32" s="885"/>
      <c r="B32" s="886"/>
      <c r="C32" s="898"/>
      <c r="D32" s="887"/>
      <c r="E32" s="899"/>
      <c r="F32" s="900"/>
      <c r="G32" s="899"/>
      <c r="H32" s="901"/>
      <c r="I32" s="897"/>
    </row>
    <row r="33" spans="1:9" s="902" customFormat="1" ht="11.25" customHeight="1">
      <c r="A33" s="890">
        <v>9</v>
      </c>
      <c r="B33" s="891" t="s">
        <v>1144</v>
      </c>
      <c r="C33" s="903">
        <f aca="true" t="shared" si="0" ref="C33:H33">C26+C28+C30</f>
        <v>195446</v>
      </c>
      <c r="D33" s="903">
        <f t="shared" si="0"/>
        <v>0</v>
      </c>
      <c r="E33" s="903">
        <f t="shared" si="0"/>
        <v>195446</v>
      </c>
      <c r="F33" s="903">
        <f t="shared" si="0"/>
        <v>164390</v>
      </c>
      <c r="G33" s="903">
        <f t="shared" si="0"/>
        <v>0</v>
      </c>
      <c r="H33" s="1782">
        <f t="shared" si="0"/>
        <v>164390</v>
      </c>
      <c r="I33" s="897"/>
    </row>
    <row r="34" spans="1:9" s="902" customFormat="1" ht="15" customHeight="1" thickBot="1">
      <c r="A34" s="904"/>
      <c r="B34" s="905" t="s">
        <v>1077</v>
      </c>
      <c r="C34" s="906"/>
      <c r="D34" s="896"/>
      <c r="E34" s="907"/>
      <c r="F34" s="908"/>
      <c r="G34" s="907"/>
      <c r="H34" s="909"/>
      <c r="I34" s="897"/>
    </row>
    <row r="35" spans="1:9" s="884" customFormat="1" ht="10.5" customHeight="1">
      <c r="A35" s="876" t="s">
        <v>465</v>
      </c>
      <c r="B35" s="877" t="s">
        <v>1078</v>
      </c>
      <c r="C35" s="869"/>
      <c r="D35" s="869"/>
      <c r="E35" s="869"/>
      <c r="F35" s="2268">
        <v>0</v>
      </c>
      <c r="G35" s="869"/>
      <c r="H35" s="2270">
        <f>F35+G36</f>
        <v>0</v>
      </c>
      <c r="I35" s="893"/>
    </row>
    <row r="36" spans="1:9" s="884" customFormat="1" ht="10.5" customHeight="1">
      <c r="A36" s="876">
        <v>10</v>
      </c>
      <c r="B36" s="877" t="s">
        <v>1079</v>
      </c>
      <c r="C36" s="869">
        <v>0</v>
      </c>
      <c r="D36" s="869"/>
      <c r="E36" s="869">
        <v>0</v>
      </c>
      <c r="F36" s="2269"/>
      <c r="G36" s="869"/>
      <c r="H36" s="2271"/>
      <c r="I36" s="893"/>
    </row>
    <row r="37" spans="1:9" s="884" customFormat="1" ht="10.5" customHeight="1">
      <c r="A37" s="878" t="s">
        <v>1145</v>
      </c>
      <c r="B37" s="879" t="s">
        <v>1146</v>
      </c>
      <c r="C37" s="880"/>
      <c r="D37" s="880"/>
      <c r="E37" s="880"/>
      <c r="F37" s="2243"/>
      <c r="G37" s="880"/>
      <c r="H37" s="2242"/>
      <c r="I37" s="893"/>
    </row>
    <row r="38" spans="1:9" s="884" customFormat="1" ht="10.5" customHeight="1">
      <c r="A38" s="872" t="s">
        <v>465</v>
      </c>
      <c r="B38" s="873" t="s">
        <v>1080</v>
      </c>
      <c r="C38" s="2236">
        <v>0</v>
      </c>
      <c r="D38" s="874"/>
      <c r="E38" s="2236">
        <f>SUM(C38:D40)</f>
        <v>0</v>
      </c>
      <c r="F38" s="2236">
        <v>0</v>
      </c>
      <c r="G38" s="2236"/>
      <c r="H38" s="2241">
        <f>SUM(F38:G40)</f>
        <v>0</v>
      </c>
      <c r="I38" s="893"/>
    </row>
    <row r="39" spans="1:9" s="884" customFormat="1" ht="10.5" customHeight="1">
      <c r="A39" s="876">
        <v>11</v>
      </c>
      <c r="B39" s="877" t="s">
        <v>1147</v>
      </c>
      <c r="C39" s="2262"/>
      <c r="D39" s="869"/>
      <c r="E39" s="2265"/>
      <c r="F39" s="2237"/>
      <c r="G39" s="2265"/>
      <c r="H39" s="2267"/>
      <c r="I39" s="893"/>
    </row>
    <row r="40" spans="1:9" s="884" customFormat="1" ht="10.5" customHeight="1" thickBot="1">
      <c r="A40" s="876" t="s">
        <v>1134</v>
      </c>
      <c r="B40" s="877" t="s">
        <v>1148</v>
      </c>
      <c r="C40" s="2263"/>
      <c r="D40" s="869"/>
      <c r="E40" s="2266"/>
      <c r="F40" s="2260"/>
      <c r="G40" s="2266"/>
      <c r="H40" s="2264"/>
      <c r="I40" s="893"/>
    </row>
    <row r="41" spans="1:9" s="884" customFormat="1" ht="10.5" customHeight="1">
      <c r="A41" s="885">
        <v>12</v>
      </c>
      <c r="B41" s="886" t="s">
        <v>1149</v>
      </c>
      <c r="C41" s="2261">
        <f>C33+C36+C38</f>
        <v>195446</v>
      </c>
      <c r="D41" s="887"/>
      <c r="E41" s="2261">
        <f>SUM(C41:D42)</f>
        <v>195446</v>
      </c>
      <c r="F41" s="2261">
        <f>F33+F35+F38</f>
        <v>164390</v>
      </c>
      <c r="G41" s="887"/>
      <c r="H41" s="2245">
        <f>H33+H35+H38</f>
        <v>164390</v>
      </c>
      <c r="I41" s="893"/>
    </row>
    <row r="42" spans="1:9" s="884" customFormat="1" ht="12.75" customHeight="1" thickBot="1">
      <c r="A42" s="894" t="s">
        <v>1134</v>
      </c>
      <c r="B42" s="895"/>
      <c r="C42" s="2260"/>
      <c r="D42" s="896"/>
      <c r="E42" s="2260"/>
      <c r="F42" s="2260"/>
      <c r="G42" s="896"/>
      <c r="H42" s="2264"/>
      <c r="I42" s="893"/>
    </row>
    <row r="43" spans="1:9" s="884" customFormat="1" ht="33.75" customHeight="1">
      <c r="A43" s="1662">
        <v>13</v>
      </c>
      <c r="B43" s="1664" t="s">
        <v>1081</v>
      </c>
      <c r="C43" s="1660">
        <v>0</v>
      </c>
      <c r="D43" s="1663"/>
      <c r="E43" s="1660">
        <v>0</v>
      </c>
      <c r="F43" s="1660">
        <v>0</v>
      </c>
      <c r="G43" s="1663"/>
      <c r="H43" s="1661">
        <v>0</v>
      </c>
      <c r="I43" s="893"/>
    </row>
    <row r="44" spans="1:9" s="884" customFormat="1" ht="21.75" customHeight="1">
      <c r="A44" s="867">
        <v>14</v>
      </c>
      <c r="B44" s="1665" t="s">
        <v>1082</v>
      </c>
      <c r="C44" s="1508">
        <v>195446</v>
      </c>
      <c r="D44" s="869"/>
      <c r="E44" s="1508">
        <v>195446</v>
      </c>
      <c r="F44" s="1508">
        <f>F45+F46</f>
        <v>164390</v>
      </c>
      <c r="G44" s="869"/>
      <c r="H44" s="1509">
        <f aca="true" t="shared" si="1" ref="H44:H49">F44</f>
        <v>164390</v>
      </c>
      <c r="I44" s="893"/>
    </row>
    <row r="45" spans="1:9" s="1499" customFormat="1" ht="12.75" customHeight="1">
      <c r="A45" s="1495"/>
      <c r="B45" s="1496" t="s">
        <v>597</v>
      </c>
      <c r="C45" s="1510"/>
      <c r="D45" s="1497"/>
      <c r="E45" s="1510"/>
      <c r="F45" s="1510">
        <f>'12'!D84</f>
        <v>22278</v>
      </c>
      <c r="G45" s="1497"/>
      <c r="H45" s="1696">
        <f t="shared" si="1"/>
        <v>22278</v>
      </c>
      <c r="I45" s="1498"/>
    </row>
    <row r="46" spans="1:9" s="1499" customFormat="1" ht="12.75" customHeight="1">
      <c r="A46" s="1500"/>
      <c r="B46" s="1501" t="s">
        <v>598</v>
      </c>
      <c r="C46" s="1502">
        <v>195446</v>
      </c>
      <c r="D46" s="1502"/>
      <c r="E46" s="1502">
        <v>195446</v>
      </c>
      <c r="F46" s="1502">
        <v>142112</v>
      </c>
      <c r="G46" s="1502"/>
      <c r="H46" s="1696">
        <f t="shared" si="1"/>
        <v>142112</v>
      </c>
      <c r="I46" s="1498"/>
    </row>
    <row r="47" spans="1:9" s="884" customFormat="1" ht="13.5" customHeight="1">
      <c r="A47" s="910">
        <v>15</v>
      </c>
      <c r="B47" s="1666" t="s">
        <v>1083</v>
      </c>
      <c r="C47" s="1494"/>
      <c r="D47" s="1494"/>
      <c r="E47" s="1494"/>
      <c r="F47" s="1494">
        <v>0</v>
      </c>
      <c r="G47" s="1494"/>
      <c r="H47" s="1696">
        <f t="shared" si="1"/>
        <v>0</v>
      </c>
      <c r="I47" s="893"/>
    </row>
    <row r="48" spans="1:9" s="1499" customFormat="1" ht="12.75" customHeight="1">
      <c r="A48" s="1503"/>
      <c r="B48" s="1496" t="s">
        <v>597</v>
      </c>
      <c r="C48" s="1504"/>
      <c r="D48" s="1504"/>
      <c r="E48" s="1504"/>
      <c r="F48" s="1504">
        <v>0</v>
      </c>
      <c r="G48" s="1504"/>
      <c r="H48" s="1696">
        <f t="shared" si="1"/>
        <v>0</v>
      </c>
      <c r="I48" s="1498"/>
    </row>
    <row r="49" spans="1:9" s="1499" customFormat="1" ht="12.75" customHeight="1" thickBot="1">
      <c r="A49" s="1505"/>
      <c r="B49" s="1501" t="s">
        <v>598</v>
      </c>
      <c r="C49" s="1506"/>
      <c r="D49" s="1506"/>
      <c r="E49" s="1507"/>
      <c r="F49" s="1506">
        <v>0</v>
      </c>
      <c r="G49" s="1506"/>
      <c r="H49" s="1509">
        <f t="shared" si="1"/>
        <v>0</v>
      </c>
      <c r="I49" s="1498"/>
    </row>
    <row r="50" spans="1:8" ht="11.25">
      <c r="A50" s="911"/>
      <c r="B50" s="911"/>
      <c r="C50" s="1771"/>
      <c r="D50" s="1771"/>
      <c r="E50" s="1771"/>
      <c r="F50" s="1771"/>
      <c r="G50" s="1771"/>
      <c r="H50" s="1771"/>
    </row>
    <row r="51" spans="1:8" ht="11.25">
      <c r="A51" s="2259" t="s">
        <v>1150</v>
      </c>
      <c r="B51" s="2259"/>
      <c r="C51" s="2259"/>
      <c r="D51" s="2259"/>
      <c r="E51" s="2259"/>
      <c r="F51" s="2259"/>
      <c r="G51" s="2259"/>
      <c r="H51" s="2259"/>
    </row>
    <row r="52" spans="1:8" ht="11.25">
      <c r="A52" s="2259" t="s">
        <v>1004</v>
      </c>
      <c r="B52" s="2259"/>
      <c r="C52" s="2259"/>
      <c r="D52" s="2259"/>
      <c r="E52" s="2259"/>
      <c r="F52" s="2259"/>
      <c r="G52" s="2259"/>
      <c r="H52" s="2259"/>
    </row>
  </sheetData>
  <sheetProtection/>
  <mergeCells count="43">
    <mergeCell ref="F35:F37"/>
    <mergeCell ref="H35:H37"/>
    <mergeCell ref="E28:E29"/>
    <mergeCell ref="G30:G31"/>
    <mergeCell ref="H30:H31"/>
    <mergeCell ref="E30:E31"/>
    <mergeCell ref="E41:E42"/>
    <mergeCell ref="F41:F42"/>
    <mergeCell ref="H41:H42"/>
    <mergeCell ref="G38:G40"/>
    <mergeCell ref="H38:H40"/>
    <mergeCell ref="E38:E40"/>
    <mergeCell ref="A51:H51"/>
    <mergeCell ref="A52:H52"/>
    <mergeCell ref="F18:F20"/>
    <mergeCell ref="F21:F22"/>
    <mergeCell ref="F30:F31"/>
    <mergeCell ref="F38:F40"/>
    <mergeCell ref="C28:C29"/>
    <mergeCell ref="C41:C42"/>
    <mergeCell ref="C30:C31"/>
    <mergeCell ref="C38:C40"/>
    <mergeCell ref="A10:A13"/>
    <mergeCell ref="F10:F13"/>
    <mergeCell ref="G10:G13"/>
    <mergeCell ref="H10:H13"/>
    <mergeCell ref="C10:C13"/>
    <mergeCell ref="D10:D13"/>
    <mergeCell ref="E10:E13"/>
    <mergeCell ref="B10:B13"/>
    <mergeCell ref="H21:H22"/>
    <mergeCell ref="G21:G22"/>
    <mergeCell ref="F28:F29"/>
    <mergeCell ref="H28:H29"/>
    <mergeCell ref="G28:G29"/>
    <mergeCell ref="F23:F24"/>
    <mergeCell ref="H23:H24"/>
    <mergeCell ref="C18:C20"/>
    <mergeCell ref="E18:E20"/>
    <mergeCell ref="C21:C22"/>
    <mergeCell ref="C23:C24"/>
    <mergeCell ref="E21:E22"/>
    <mergeCell ref="E23:E24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H42"/>
  <sheetViews>
    <sheetView showGridLines="0" zoomScalePageLayoutView="0" workbookViewId="0" topLeftCell="A1">
      <selection activeCell="H20" sqref="H20"/>
    </sheetView>
  </sheetViews>
  <sheetFormatPr defaultColWidth="9.00390625" defaultRowHeight="12.75"/>
  <cols>
    <col min="1" max="1" width="4.25390625" style="912" customWidth="1"/>
    <col min="2" max="2" width="42.875" style="1327" customWidth="1"/>
    <col min="3" max="3" width="13.00390625" style="912" customWidth="1"/>
    <col min="4" max="4" width="9.125" style="912" customWidth="1"/>
    <col min="5" max="5" width="12.125" style="912" customWidth="1"/>
    <col min="6" max="6" width="11.75390625" style="912" customWidth="1"/>
    <col min="7" max="7" width="10.375" style="912" customWidth="1"/>
    <col min="8" max="8" width="15.375" style="912" customWidth="1"/>
    <col min="9" max="16384" width="9.125" style="912" customWidth="1"/>
  </cols>
  <sheetData>
    <row r="5" ht="11.25" thickBot="1">
      <c r="H5" s="913" t="s">
        <v>382</v>
      </c>
    </row>
    <row r="6" spans="1:8" ht="10.5">
      <c r="A6" s="2272" t="s">
        <v>467</v>
      </c>
      <c r="B6" s="1328"/>
      <c r="C6" s="914" t="s">
        <v>1151</v>
      </c>
      <c r="D6" s="914" t="s">
        <v>1152</v>
      </c>
      <c r="E6" s="914" t="s">
        <v>1153</v>
      </c>
      <c r="F6" s="914" t="s">
        <v>1154</v>
      </c>
      <c r="G6" s="914" t="s">
        <v>1152</v>
      </c>
      <c r="H6" s="915" t="s">
        <v>1155</v>
      </c>
    </row>
    <row r="7" spans="1:8" ht="10.5" customHeight="1">
      <c r="A7" s="2273"/>
      <c r="B7" s="1789" t="s">
        <v>383</v>
      </c>
      <c r="C7" s="916" t="s">
        <v>1156</v>
      </c>
      <c r="D7" s="916" t="s">
        <v>1157</v>
      </c>
      <c r="E7" s="916" t="s">
        <v>1158</v>
      </c>
      <c r="F7" s="916" t="s">
        <v>1159</v>
      </c>
      <c r="G7" s="916" t="s">
        <v>1157</v>
      </c>
      <c r="H7" s="917" t="s">
        <v>1158</v>
      </c>
    </row>
    <row r="8" spans="1:8" ht="10.5" customHeight="1">
      <c r="A8" s="2273"/>
      <c r="B8" s="1329"/>
      <c r="C8" s="916" t="s">
        <v>1160</v>
      </c>
      <c r="D8" s="916" t="s">
        <v>1161</v>
      </c>
      <c r="E8" s="916" t="s">
        <v>1162</v>
      </c>
      <c r="F8" s="916" t="s">
        <v>1160</v>
      </c>
      <c r="G8" s="916" t="s">
        <v>1163</v>
      </c>
      <c r="H8" s="917" t="s">
        <v>1162</v>
      </c>
    </row>
    <row r="9" spans="1:8" ht="11.25" thickBot="1">
      <c r="A9" s="2274"/>
      <c r="B9" s="1330"/>
      <c r="C9" s="918" t="s">
        <v>1164</v>
      </c>
      <c r="D9" s="918"/>
      <c r="E9" s="918" t="s">
        <v>1165</v>
      </c>
      <c r="F9" s="918" t="s">
        <v>1164</v>
      </c>
      <c r="G9" s="918"/>
      <c r="H9" s="919" t="s">
        <v>1165</v>
      </c>
    </row>
    <row r="10" spans="1:8" ht="15" customHeight="1">
      <c r="A10" s="920" t="s">
        <v>312</v>
      </c>
      <c r="B10" s="1331" t="s">
        <v>1084</v>
      </c>
      <c r="C10" s="921"/>
      <c r="D10" s="921"/>
      <c r="E10" s="921"/>
      <c r="F10" s="921"/>
      <c r="G10" s="921"/>
      <c r="H10" s="922"/>
    </row>
    <row r="11" spans="1:8" ht="14.25" customHeight="1">
      <c r="A11" s="1667" t="s">
        <v>314</v>
      </c>
      <c r="B11" s="1668" t="s">
        <v>1086</v>
      </c>
      <c r="C11" s="1669"/>
      <c r="D11" s="1669"/>
      <c r="E11" s="1669"/>
      <c r="F11" s="1669"/>
      <c r="G11" s="1669"/>
      <c r="H11" s="1670"/>
    </row>
    <row r="12" spans="1:8" ht="24.75" customHeight="1" thickBot="1">
      <c r="A12" s="923" t="s">
        <v>316</v>
      </c>
      <c r="B12" s="1332" t="s">
        <v>1087</v>
      </c>
      <c r="C12" s="924"/>
      <c r="D12" s="924"/>
      <c r="E12" s="924"/>
      <c r="F12" s="924"/>
      <c r="G12" s="924"/>
      <c r="H12" s="925"/>
    </row>
    <row r="13" spans="1:8" ht="24" customHeight="1" thickBot="1">
      <c r="A13" s="1343" t="s">
        <v>648</v>
      </c>
      <c r="B13" s="1333" t="s">
        <v>1089</v>
      </c>
      <c r="C13" s="926"/>
      <c r="D13" s="926"/>
      <c r="E13" s="926"/>
      <c r="F13" s="926"/>
      <c r="G13" s="926"/>
      <c r="H13" s="927"/>
    </row>
    <row r="14" spans="1:8" ht="15" customHeight="1">
      <c r="A14" s="1339" t="s">
        <v>318</v>
      </c>
      <c r="B14" s="1340" t="s">
        <v>1090</v>
      </c>
      <c r="C14" s="921"/>
      <c r="D14" s="921"/>
      <c r="E14" s="921"/>
      <c r="F14" s="921"/>
      <c r="G14" s="921"/>
      <c r="H14" s="922"/>
    </row>
    <row r="15" spans="1:8" ht="14.25" customHeight="1">
      <c r="A15" s="928" t="s">
        <v>320</v>
      </c>
      <c r="B15" s="1672" t="s">
        <v>1091</v>
      </c>
      <c r="C15" s="924"/>
      <c r="D15" s="924"/>
      <c r="E15" s="924"/>
      <c r="F15" s="924"/>
      <c r="G15" s="924"/>
      <c r="H15" s="925"/>
    </row>
    <row r="16" spans="1:8" ht="25.5" customHeight="1" thickBot="1">
      <c r="A16" s="1673" t="s">
        <v>322</v>
      </c>
      <c r="B16" s="1341" t="s">
        <v>1092</v>
      </c>
      <c r="C16" s="1674"/>
      <c r="D16" s="1674"/>
      <c r="E16" s="1674"/>
      <c r="F16" s="1674"/>
      <c r="G16" s="1674"/>
      <c r="H16" s="1675"/>
    </row>
    <row r="17" spans="1:8" ht="23.25" customHeight="1" thickBot="1">
      <c r="A17" s="1344" t="s">
        <v>650</v>
      </c>
      <c r="B17" s="1334" t="s">
        <v>1093</v>
      </c>
      <c r="C17" s="1335"/>
      <c r="D17" s="1335"/>
      <c r="E17" s="1335"/>
      <c r="F17" s="1335"/>
      <c r="G17" s="1335"/>
      <c r="H17" s="1336"/>
    </row>
    <row r="18" spans="1:8" ht="26.25" customHeight="1" thickBot="1">
      <c r="A18" s="1344" t="s">
        <v>652</v>
      </c>
      <c r="B18" s="1334" t="s">
        <v>1094</v>
      </c>
      <c r="C18" s="1335"/>
      <c r="D18" s="1335"/>
      <c r="E18" s="1335"/>
      <c r="F18" s="1335"/>
      <c r="G18" s="1335"/>
      <c r="H18" s="1336"/>
    </row>
    <row r="19" spans="1:8" ht="13.5" customHeight="1">
      <c r="A19" s="1677" t="s">
        <v>346</v>
      </c>
      <c r="B19" s="1676" t="s">
        <v>1095</v>
      </c>
      <c r="C19" s="1337"/>
      <c r="D19" s="1337"/>
      <c r="E19" s="1337"/>
      <c r="F19" s="1337"/>
      <c r="G19" s="1337"/>
      <c r="H19" s="1338"/>
    </row>
    <row r="20" spans="1:8" ht="24" customHeight="1">
      <c r="A20" s="1681" t="s">
        <v>347</v>
      </c>
      <c r="B20" s="1682" t="s">
        <v>1096</v>
      </c>
      <c r="C20" s="1683"/>
      <c r="D20" s="1683"/>
      <c r="E20" s="1683"/>
      <c r="F20" s="1683"/>
      <c r="G20" s="1683"/>
      <c r="H20" s="1684"/>
    </row>
    <row r="21" spans="1:8" ht="21.75" customHeight="1" thickBot="1">
      <c r="A21" s="1685" t="s">
        <v>349</v>
      </c>
      <c r="B21" s="1686" t="s">
        <v>1097</v>
      </c>
      <c r="C21" s="1687"/>
      <c r="D21" s="1687"/>
      <c r="E21" s="1687"/>
      <c r="F21" s="1687"/>
      <c r="G21" s="1687"/>
      <c r="H21" s="1688"/>
    </row>
    <row r="22" spans="1:8" ht="24.75" customHeight="1" thickBot="1">
      <c r="A22" s="1671" t="s">
        <v>660</v>
      </c>
      <c r="B22" s="1678" t="s">
        <v>1098</v>
      </c>
      <c r="C22" s="1679"/>
      <c r="D22" s="1679"/>
      <c r="E22" s="1679"/>
      <c r="F22" s="1679"/>
      <c r="G22" s="1679"/>
      <c r="H22" s="1680"/>
    </row>
    <row r="23" spans="1:8" ht="22.5" customHeight="1" thickBot="1">
      <c r="A23" s="1785" t="s">
        <v>1088</v>
      </c>
      <c r="B23" s="1788" t="s">
        <v>1099</v>
      </c>
      <c r="C23" s="1786"/>
      <c r="D23" s="1786"/>
      <c r="E23" s="1786"/>
      <c r="F23" s="1786"/>
      <c r="G23" s="1786"/>
      <c r="H23" s="1787"/>
    </row>
    <row r="24" spans="1:8" ht="12.75" customHeight="1" thickBot="1">
      <c r="A24" s="1785" t="s">
        <v>596</v>
      </c>
      <c r="B24" s="1334" t="s">
        <v>1100</v>
      </c>
      <c r="C24" s="1786"/>
      <c r="D24" s="1786"/>
      <c r="E24" s="1786"/>
      <c r="F24" s="1786"/>
      <c r="G24" s="1786"/>
      <c r="H24" s="1787"/>
    </row>
    <row r="25" spans="1:8" ht="12.75" customHeight="1">
      <c r="A25" s="929"/>
      <c r="B25" s="1342"/>
      <c r="C25" s="929"/>
      <c r="D25" s="929"/>
      <c r="E25" s="929"/>
      <c r="F25" s="929"/>
      <c r="G25" s="929"/>
      <c r="H25" s="929"/>
    </row>
    <row r="26" spans="1:8" ht="12.75" customHeight="1">
      <c r="A26" s="929"/>
      <c r="B26" s="1342"/>
      <c r="C26" s="929"/>
      <c r="D26" s="929"/>
      <c r="E26" s="929"/>
      <c r="F26" s="929"/>
      <c r="G26" s="929"/>
      <c r="H26" s="929"/>
    </row>
    <row r="27" spans="1:8" ht="12.75" customHeight="1">
      <c r="A27" s="2275"/>
      <c r="B27" s="2275"/>
      <c r="C27" s="2275"/>
      <c r="D27" s="2275"/>
      <c r="E27" s="2275"/>
      <c r="F27" s="2275"/>
      <c r="G27" s="2275"/>
      <c r="H27" s="2275"/>
    </row>
    <row r="28" spans="1:8" ht="12.75" customHeight="1">
      <c r="A28" s="2275"/>
      <c r="B28" s="2275"/>
      <c r="C28" s="2275"/>
      <c r="D28" s="2275"/>
      <c r="E28" s="2275"/>
      <c r="F28" s="2275"/>
      <c r="G28" s="2275"/>
      <c r="H28" s="2275"/>
    </row>
    <row r="29" spans="1:8" ht="12.75" customHeight="1">
      <c r="A29" s="929"/>
      <c r="H29" s="929"/>
    </row>
    <row r="30" spans="1:8" ht="12.75" customHeight="1">
      <c r="A30" s="929"/>
      <c r="H30" s="929"/>
    </row>
    <row r="31" spans="1:8" ht="12.75" customHeight="1">
      <c r="A31" s="929"/>
      <c r="H31" s="929"/>
    </row>
    <row r="32" spans="1:8" ht="12.75" customHeight="1">
      <c r="A32" s="929"/>
      <c r="H32" s="929"/>
    </row>
    <row r="33" spans="1:8" ht="12.75" customHeight="1">
      <c r="A33" s="929"/>
      <c r="H33" s="929"/>
    </row>
    <row r="34" spans="1:8" ht="10.5">
      <c r="A34" s="929"/>
      <c r="H34" s="929"/>
    </row>
    <row r="35" spans="1:8" ht="10.5">
      <c r="A35" s="929"/>
      <c r="H35" s="929"/>
    </row>
    <row r="36" spans="1:8" ht="10.5">
      <c r="A36" s="929"/>
      <c r="H36" s="929"/>
    </row>
    <row r="37" spans="1:8" ht="10.5">
      <c r="A37" s="929"/>
      <c r="H37" s="929"/>
    </row>
    <row r="38" spans="1:8" ht="10.5">
      <c r="A38" s="929"/>
      <c r="H38" s="929"/>
    </row>
    <row r="39" spans="1:8" ht="10.5">
      <c r="A39" s="929"/>
      <c r="H39" s="929"/>
    </row>
    <row r="40" ht="10.5">
      <c r="H40" s="929"/>
    </row>
    <row r="41" ht="10.5">
      <c r="H41" s="929"/>
    </row>
    <row r="42" ht="10.5">
      <c r="H42" s="929"/>
    </row>
  </sheetData>
  <sheetProtection/>
  <mergeCells count="3">
    <mergeCell ref="A6:A9"/>
    <mergeCell ref="A27:H27"/>
    <mergeCell ref="A28:H28"/>
  </mergeCells>
  <printOptions/>
  <pageMargins left="1.1811023622047245" right="1.1811023622047245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12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0.125" style="930" customWidth="1"/>
    <col min="2" max="2" width="9.875" style="930" customWidth="1"/>
    <col min="3" max="3" width="8.00390625" style="930" customWidth="1"/>
    <col min="4" max="4" width="9.75390625" style="930" customWidth="1"/>
    <col min="5" max="5" width="9.375" style="930" customWidth="1"/>
    <col min="6" max="6" width="7.125" style="930" customWidth="1"/>
    <col min="7" max="7" width="10.125" style="930" customWidth="1"/>
    <col min="8" max="9" width="9.25390625" style="930" customWidth="1"/>
    <col min="10" max="10" width="6.125" style="930" customWidth="1"/>
    <col min="11" max="11" width="9.375" style="930" customWidth="1"/>
    <col min="12" max="12" width="8.875" style="930" customWidth="1"/>
    <col min="13" max="13" width="6.375" style="930" customWidth="1"/>
    <col min="14" max="14" width="9.00390625" style="930" customWidth="1"/>
    <col min="15" max="16384" width="9.125" style="930" customWidth="1"/>
  </cols>
  <sheetData>
    <row r="2" spans="2:7" ht="12.75">
      <c r="B2" s="2285"/>
      <c r="C2" s="2285"/>
      <c r="D2" s="2285"/>
      <c r="E2" s="2285"/>
      <c r="F2" s="2285"/>
      <c r="G2" s="2285"/>
    </row>
    <row r="3" ht="9.75" customHeight="1" thickBot="1">
      <c r="G3" s="931" t="s">
        <v>297</v>
      </c>
    </row>
    <row r="4" spans="1:14" s="934" customFormat="1" ht="9.75" customHeight="1">
      <c r="A4" s="2286" t="s">
        <v>1166</v>
      </c>
      <c r="B4" s="2289" t="s">
        <v>972</v>
      </c>
      <c r="C4" s="2289" t="s">
        <v>973</v>
      </c>
      <c r="D4" s="2289" t="s">
        <v>990</v>
      </c>
      <c r="E4" s="2289" t="s">
        <v>975</v>
      </c>
      <c r="F4" s="2289" t="s">
        <v>976</v>
      </c>
      <c r="G4" s="2295" t="s">
        <v>991</v>
      </c>
      <c r="H4" s="932"/>
      <c r="I4" s="933"/>
      <c r="J4" s="933"/>
      <c r="K4" s="933"/>
      <c r="L4" s="933"/>
      <c r="M4" s="933"/>
      <c r="N4" s="933"/>
    </row>
    <row r="5" spans="1:14" s="934" customFormat="1" ht="9.75" customHeight="1">
      <c r="A5" s="2287"/>
      <c r="B5" s="2290"/>
      <c r="C5" s="2290"/>
      <c r="D5" s="2290"/>
      <c r="E5" s="2290"/>
      <c r="F5" s="2290"/>
      <c r="G5" s="2296"/>
      <c r="H5" s="935"/>
      <c r="I5" s="933"/>
      <c r="J5" s="933"/>
      <c r="K5" s="933"/>
      <c r="L5" s="933"/>
      <c r="M5" s="933"/>
      <c r="N5" s="933"/>
    </row>
    <row r="6" spans="1:14" s="934" customFormat="1" ht="9.75" customHeight="1">
      <c r="A6" s="2287"/>
      <c r="B6" s="2290"/>
      <c r="C6" s="2290"/>
      <c r="D6" s="2290"/>
      <c r="E6" s="2290"/>
      <c r="F6" s="2290"/>
      <c r="G6" s="2296"/>
      <c r="H6" s="935"/>
      <c r="I6" s="933"/>
      <c r="J6" s="933"/>
      <c r="K6" s="933"/>
      <c r="L6" s="933"/>
      <c r="M6" s="933"/>
      <c r="N6" s="933"/>
    </row>
    <row r="7" spans="1:14" s="934" customFormat="1" ht="24" customHeight="1" thickBot="1">
      <c r="A7" s="2288"/>
      <c r="B7" s="2291"/>
      <c r="C7" s="2291"/>
      <c r="D7" s="2291"/>
      <c r="E7" s="2291"/>
      <c r="F7" s="2291"/>
      <c r="G7" s="2297"/>
      <c r="H7" s="932"/>
      <c r="I7" s="933"/>
      <c r="J7" s="933"/>
      <c r="K7" s="933"/>
      <c r="L7" s="933"/>
      <c r="M7" s="933"/>
      <c r="N7" s="933"/>
    </row>
    <row r="8" spans="1:14" s="934" customFormat="1" ht="10.5" customHeight="1">
      <c r="A8" s="936" t="s">
        <v>1167</v>
      </c>
      <c r="B8" s="937">
        <f>B9+B16+B25+B32</f>
        <v>7271548</v>
      </c>
      <c r="C8" s="937">
        <f>C9+C16+C25+C32</f>
        <v>0</v>
      </c>
      <c r="D8" s="937">
        <f>SUM(B8:C8)</f>
        <v>7271548</v>
      </c>
      <c r="E8" s="937">
        <f>E9+E16+E25+E32</f>
        <v>7250160</v>
      </c>
      <c r="F8" s="937">
        <f>F9+F16+F25+F32</f>
        <v>0</v>
      </c>
      <c r="G8" s="938">
        <f>G9+G16+G25+G32</f>
        <v>7250160</v>
      </c>
      <c r="H8" s="932"/>
      <c r="I8" s="939"/>
      <c r="J8" s="939"/>
      <c r="K8" s="939"/>
      <c r="L8" s="939"/>
      <c r="M8" s="939"/>
      <c r="N8" s="939"/>
    </row>
    <row r="9" spans="1:14" s="934" customFormat="1" ht="10.5" customHeight="1">
      <c r="A9" s="942" t="s">
        <v>1168</v>
      </c>
      <c r="B9" s="943">
        <f>B12+B13</f>
        <v>7067</v>
      </c>
      <c r="C9" s="943">
        <f>SUM(C10:C15)</f>
        <v>0</v>
      </c>
      <c r="D9" s="943">
        <f>SUM(B9:C9)</f>
        <v>7067</v>
      </c>
      <c r="E9" s="943">
        <f>SUM(E10:E15)</f>
        <v>3692</v>
      </c>
      <c r="F9" s="943">
        <f>SUM(F10:F15)</f>
        <v>0</v>
      </c>
      <c r="G9" s="944">
        <f>SUM(G10:G15)</f>
        <v>3692</v>
      </c>
      <c r="H9" s="933"/>
      <c r="I9" s="941"/>
      <c r="J9" s="941"/>
      <c r="K9" s="941"/>
      <c r="L9" s="941"/>
      <c r="M9" s="941"/>
      <c r="N9" s="941"/>
    </row>
    <row r="10" spans="1:14" s="934" customFormat="1" ht="10.5" customHeight="1">
      <c r="A10" s="945" t="s">
        <v>1169</v>
      </c>
      <c r="B10" s="946"/>
      <c r="C10" s="946"/>
      <c r="D10" s="946"/>
      <c r="E10" s="946"/>
      <c r="F10" s="946"/>
      <c r="G10" s="947"/>
      <c r="H10" s="933"/>
      <c r="I10" s="941"/>
      <c r="J10" s="941"/>
      <c r="K10" s="941"/>
      <c r="L10" s="941"/>
      <c r="M10" s="941"/>
      <c r="N10" s="941"/>
    </row>
    <row r="11" spans="1:14" s="934" customFormat="1" ht="10.5" customHeight="1">
      <c r="A11" s="945" t="s">
        <v>1170</v>
      </c>
      <c r="B11" s="946"/>
      <c r="C11" s="946"/>
      <c r="D11" s="946"/>
      <c r="E11" s="946"/>
      <c r="F11" s="946"/>
      <c r="G11" s="947"/>
      <c r="H11" s="933"/>
      <c r="I11" s="941"/>
      <c r="J11" s="941"/>
      <c r="K11" s="941"/>
      <c r="L11" s="941"/>
      <c r="M11" s="941"/>
      <c r="N11" s="941"/>
    </row>
    <row r="12" spans="1:14" s="934" customFormat="1" ht="10.5" customHeight="1">
      <c r="A12" s="945" t="s">
        <v>1171</v>
      </c>
      <c r="B12" s="946">
        <v>0</v>
      </c>
      <c r="C12" s="946">
        <v>0</v>
      </c>
      <c r="D12" s="946">
        <f>SUM(B12:C12)</f>
        <v>0</v>
      </c>
      <c r="E12" s="946">
        <v>0</v>
      </c>
      <c r="F12" s="946">
        <v>0</v>
      </c>
      <c r="G12" s="947">
        <f>SUM(E12:F12)</f>
        <v>0</v>
      </c>
      <c r="H12" s="933"/>
      <c r="I12" s="941"/>
      <c r="J12" s="941"/>
      <c r="K12" s="941"/>
      <c r="L12" s="941"/>
      <c r="M12" s="941"/>
      <c r="N12" s="941"/>
    </row>
    <row r="13" spans="1:14" s="934" customFormat="1" ht="10.5" customHeight="1">
      <c r="A13" s="945" t="s">
        <v>1172</v>
      </c>
      <c r="B13" s="946">
        <v>7067</v>
      </c>
      <c r="C13" s="946">
        <v>0</v>
      </c>
      <c r="D13" s="946">
        <f>SUM(B13:C13)</f>
        <v>7067</v>
      </c>
      <c r="E13" s="946">
        <v>3692</v>
      </c>
      <c r="F13" s="946">
        <v>0</v>
      </c>
      <c r="G13" s="947">
        <f>SUM(E13:F13)</f>
        <v>3692</v>
      </c>
      <c r="H13" s="933"/>
      <c r="I13" s="941"/>
      <c r="J13" s="941"/>
      <c r="K13" s="941"/>
      <c r="L13" s="941"/>
      <c r="M13" s="941"/>
      <c r="N13" s="941"/>
    </row>
    <row r="14" spans="1:14" s="934" customFormat="1" ht="10.5" customHeight="1">
      <c r="A14" s="945" t="s">
        <v>1173</v>
      </c>
      <c r="B14" s="946"/>
      <c r="C14" s="946"/>
      <c r="D14" s="946"/>
      <c r="E14" s="946"/>
      <c r="F14" s="946"/>
      <c r="G14" s="947"/>
      <c r="H14" s="933"/>
      <c r="I14" s="941"/>
      <c r="J14" s="941"/>
      <c r="K14" s="941"/>
      <c r="L14" s="941"/>
      <c r="M14" s="941"/>
      <c r="N14" s="941"/>
    </row>
    <row r="15" spans="1:14" s="934" customFormat="1" ht="10.5" customHeight="1">
      <c r="A15" s="945" t="s">
        <v>1194</v>
      </c>
      <c r="B15" s="946"/>
      <c r="C15" s="946"/>
      <c r="D15" s="946"/>
      <c r="E15" s="946"/>
      <c r="F15" s="946"/>
      <c r="G15" s="947"/>
      <c r="H15" s="933"/>
      <c r="I15" s="941"/>
      <c r="J15" s="941"/>
      <c r="K15" s="941"/>
      <c r="L15" s="941"/>
      <c r="M15" s="941"/>
      <c r="N15" s="941"/>
    </row>
    <row r="16" spans="1:14" s="934" customFormat="1" ht="10.5" customHeight="1">
      <c r="A16" s="942" t="s">
        <v>1195</v>
      </c>
      <c r="B16" s="943">
        <f>SUM(B17:B24)</f>
        <v>4162254</v>
      </c>
      <c r="C16" s="943">
        <f>SUM(C17:C24)</f>
        <v>0</v>
      </c>
      <c r="D16" s="943">
        <f>SUM(B16:C16)</f>
        <v>4162254</v>
      </c>
      <c r="E16" s="943">
        <f>SUM(E17:E24)</f>
        <v>4257944</v>
      </c>
      <c r="F16" s="943">
        <f>SUM(F17:F24)</f>
        <v>0</v>
      </c>
      <c r="G16" s="944">
        <f>SUM(G17:G24)</f>
        <v>4257944</v>
      </c>
      <c r="H16" s="932"/>
      <c r="I16" s="941"/>
      <c r="J16" s="941"/>
      <c r="K16" s="941"/>
      <c r="L16" s="941"/>
      <c r="M16" s="941"/>
      <c r="N16" s="941"/>
    </row>
    <row r="17" spans="1:14" s="934" customFormat="1" ht="10.5" customHeight="1">
      <c r="A17" s="945" t="s">
        <v>1196</v>
      </c>
      <c r="B17" s="946">
        <v>3849878</v>
      </c>
      <c r="C17" s="946">
        <v>0</v>
      </c>
      <c r="D17" s="946">
        <f>SUM(B17:C17)</f>
        <v>3849878</v>
      </c>
      <c r="E17" s="946">
        <v>3963390</v>
      </c>
      <c r="F17" s="946">
        <v>0</v>
      </c>
      <c r="G17" s="947">
        <f>SUM(E17:F17)</f>
        <v>3963390</v>
      </c>
      <c r="H17" s="933"/>
      <c r="I17" s="941"/>
      <c r="J17" s="941"/>
      <c r="K17" s="941"/>
      <c r="L17" s="941"/>
      <c r="M17" s="941"/>
      <c r="N17" s="941"/>
    </row>
    <row r="18" spans="1:14" s="934" customFormat="1" ht="10.5" customHeight="1">
      <c r="A18" s="945" t="s">
        <v>1197</v>
      </c>
      <c r="B18" s="946">
        <v>76519</v>
      </c>
      <c r="C18" s="946">
        <v>0</v>
      </c>
      <c r="D18" s="946">
        <f>SUM(B18:C18)</f>
        <v>76519</v>
      </c>
      <c r="E18" s="946">
        <v>83230</v>
      </c>
      <c r="F18" s="946">
        <v>0</v>
      </c>
      <c r="G18" s="947">
        <f>SUM(E18:F18)</f>
        <v>83230</v>
      </c>
      <c r="H18" s="933"/>
      <c r="I18" s="941"/>
      <c r="J18" s="941"/>
      <c r="K18" s="941"/>
      <c r="L18" s="941"/>
      <c r="M18" s="941"/>
      <c r="N18" s="941"/>
    </row>
    <row r="19" spans="1:14" s="934" customFormat="1" ht="10.5" customHeight="1">
      <c r="A19" s="945" t="s">
        <v>1198</v>
      </c>
      <c r="B19" s="946">
        <v>1984</v>
      </c>
      <c r="C19" s="946">
        <v>0</v>
      </c>
      <c r="D19" s="946">
        <f>SUM(B19:C19)</f>
        <v>1984</v>
      </c>
      <c r="E19" s="946">
        <v>734</v>
      </c>
      <c r="F19" s="946">
        <v>0</v>
      </c>
      <c r="G19" s="947">
        <f>SUM(E19:F19)</f>
        <v>734</v>
      </c>
      <c r="H19" s="933"/>
      <c r="I19" s="941"/>
      <c r="J19" s="941"/>
      <c r="K19" s="941"/>
      <c r="L19" s="941"/>
      <c r="M19" s="941"/>
      <c r="N19" s="941"/>
    </row>
    <row r="20" spans="1:14" s="934" customFormat="1" ht="10.5" customHeight="1">
      <c r="A20" s="945" t="s">
        <v>1199</v>
      </c>
      <c r="B20" s="946">
        <v>0</v>
      </c>
      <c r="C20" s="946">
        <v>0</v>
      </c>
      <c r="D20" s="946">
        <v>0</v>
      </c>
      <c r="E20" s="946">
        <v>0</v>
      </c>
      <c r="F20" s="946">
        <v>0</v>
      </c>
      <c r="G20" s="947">
        <v>0</v>
      </c>
      <c r="H20" s="933"/>
      <c r="I20" s="941"/>
      <c r="J20" s="941"/>
      <c r="K20" s="941"/>
      <c r="L20" s="941"/>
      <c r="M20" s="941"/>
      <c r="N20" s="941"/>
    </row>
    <row r="21" spans="1:14" s="934" customFormat="1" ht="10.5" customHeight="1">
      <c r="A21" s="945" t="s">
        <v>1200</v>
      </c>
      <c r="B21" s="946">
        <v>233873</v>
      </c>
      <c r="C21" s="946">
        <v>0</v>
      </c>
      <c r="D21" s="946">
        <f>SUM(B21:C21)</f>
        <v>233873</v>
      </c>
      <c r="E21" s="946">
        <v>202090</v>
      </c>
      <c r="F21" s="946">
        <v>0</v>
      </c>
      <c r="G21" s="947">
        <f>SUM(E21:F21)</f>
        <v>202090</v>
      </c>
      <c r="H21" s="933"/>
      <c r="I21" s="941"/>
      <c r="J21" s="941"/>
      <c r="K21" s="941"/>
      <c r="L21" s="941"/>
      <c r="M21" s="941"/>
      <c r="N21" s="941"/>
    </row>
    <row r="22" spans="1:14" s="934" customFormat="1" ht="10.5" customHeight="1">
      <c r="A22" s="945" t="s">
        <v>1201</v>
      </c>
      <c r="B22" s="946">
        <v>0</v>
      </c>
      <c r="C22" s="946">
        <v>0</v>
      </c>
      <c r="D22" s="946">
        <f>SUM(B22:C22)</f>
        <v>0</v>
      </c>
      <c r="E22" s="946">
        <v>8500</v>
      </c>
      <c r="F22" s="946">
        <v>0</v>
      </c>
      <c r="G22" s="947">
        <f>SUM(E22:F22)</f>
        <v>8500</v>
      </c>
      <c r="H22" s="933"/>
      <c r="I22" s="941"/>
      <c r="J22" s="941"/>
      <c r="K22" s="941"/>
      <c r="L22" s="941"/>
      <c r="M22" s="941"/>
      <c r="N22" s="941"/>
    </row>
    <row r="23" spans="1:14" s="934" customFormat="1" ht="10.5" customHeight="1">
      <c r="A23" s="945" t="s">
        <v>600</v>
      </c>
      <c r="B23" s="946">
        <v>0</v>
      </c>
      <c r="C23" s="946">
        <v>0</v>
      </c>
      <c r="D23" s="946">
        <v>0</v>
      </c>
      <c r="E23" s="946">
        <v>0</v>
      </c>
      <c r="F23" s="946">
        <v>0</v>
      </c>
      <c r="G23" s="947">
        <f>SUM(E23:F23)</f>
        <v>0</v>
      </c>
      <c r="H23" s="933"/>
      <c r="I23" s="941"/>
      <c r="J23" s="941"/>
      <c r="K23" s="941"/>
      <c r="L23" s="941"/>
      <c r="M23" s="941"/>
      <c r="N23" s="941"/>
    </row>
    <row r="24" spans="1:14" s="934" customFormat="1" ht="10.5" customHeight="1">
      <c r="A24" s="945" t="s">
        <v>599</v>
      </c>
      <c r="B24" s="946">
        <v>0</v>
      </c>
      <c r="C24" s="946">
        <v>0</v>
      </c>
      <c r="D24" s="946">
        <f>B24</f>
        <v>0</v>
      </c>
      <c r="E24" s="946">
        <v>0</v>
      </c>
      <c r="F24" s="946">
        <v>0</v>
      </c>
      <c r="G24" s="947">
        <f>SUM(E24:F24)</f>
        <v>0</v>
      </c>
      <c r="H24" s="933"/>
      <c r="I24" s="941"/>
      <c r="J24" s="941"/>
      <c r="K24" s="941"/>
      <c r="L24" s="941"/>
      <c r="M24" s="941"/>
      <c r="N24" s="941"/>
    </row>
    <row r="25" spans="1:14" s="934" customFormat="1" ht="10.5" customHeight="1">
      <c r="A25" s="942" t="s">
        <v>1202</v>
      </c>
      <c r="B25" s="943">
        <f>SUM(B26:B31)</f>
        <v>66511</v>
      </c>
      <c r="C25" s="943">
        <f>SUM(C26:C31)</f>
        <v>0</v>
      </c>
      <c r="D25" s="943">
        <f>SUM(B25:C25)</f>
        <v>66511</v>
      </c>
      <c r="E25" s="943">
        <f>SUM(E26:E31)</f>
        <v>96051</v>
      </c>
      <c r="F25" s="943">
        <f>SUM(F26:F31)</f>
        <v>0</v>
      </c>
      <c r="G25" s="944">
        <f>SUM(G26:G31)</f>
        <v>96051</v>
      </c>
      <c r="H25" s="933"/>
      <c r="I25" s="941"/>
      <c r="J25" s="941"/>
      <c r="K25" s="941"/>
      <c r="L25" s="941"/>
      <c r="M25" s="941"/>
      <c r="N25" s="941"/>
    </row>
    <row r="26" spans="1:14" s="934" customFormat="1" ht="10.5" customHeight="1">
      <c r="A26" s="945" t="s">
        <v>601</v>
      </c>
      <c r="B26" s="946">
        <v>34377</v>
      </c>
      <c r="C26" s="946">
        <v>0</v>
      </c>
      <c r="D26" s="946">
        <f>SUM(B26:C26)</f>
        <v>34377</v>
      </c>
      <c r="E26" s="946">
        <v>36577</v>
      </c>
      <c r="F26" s="946">
        <v>0</v>
      </c>
      <c r="G26" s="947">
        <f>SUM(E26:F26)</f>
        <v>36577</v>
      </c>
      <c r="H26" s="933"/>
      <c r="I26" s="941"/>
      <c r="J26" s="941"/>
      <c r="K26" s="941"/>
      <c r="L26" s="941"/>
      <c r="M26" s="941"/>
      <c r="N26" s="941"/>
    </row>
    <row r="27" spans="1:14" s="934" customFormat="1" ht="10.5" customHeight="1">
      <c r="A27" s="945" t="s">
        <v>1203</v>
      </c>
      <c r="B27" s="946">
        <v>0</v>
      </c>
      <c r="C27" s="946">
        <v>0</v>
      </c>
      <c r="D27" s="946">
        <v>0</v>
      </c>
      <c r="E27" s="946">
        <v>0</v>
      </c>
      <c r="F27" s="946">
        <v>0</v>
      </c>
      <c r="G27" s="947">
        <v>0</v>
      </c>
      <c r="H27" s="933"/>
      <c r="I27" s="941"/>
      <c r="J27" s="941"/>
      <c r="K27" s="941"/>
      <c r="L27" s="941"/>
      <c r="M27" s="941"/>
      <c r="N27" s="941"/>
    </row>
    <row r="28" spans="1:14" s="934" customFormat="1" ht="10.5" customHeight="1">
      <c r="A28" s="945" t="s">
        <v>1204</v>
      </c>
      <c r="B28" s="946">
        <v>18764</v>
      </c>
      <c r="C28" s="946">
        <v>0</v>
      </c>
      <c r="D28" s="946">
        <f>SUM(B28:C28)</f>
        <v>18764</v>
      </c>
      <c r="E28" s="946">
        <v>55535</v>
      </c>
      <c r="F28" s="946">
        <v>0</v>
      </c>
      <c r="G28" s="947">
        <f>SUM(E28:F28)</f>
        <v>55535</v>
      </c>
      <c r="H28" s="948"/>
      <c r="I28" s="941"/>
      <c r="J28" s="941"/>
      <c r="K28" s="941"/>
      <c r="L28" s="941"/>
      <c r="M28" s="941"/>
      <c r="N28" s="941"/>
    </row>
    <row r="29" spans="1:14" s="934" customFormat="1" ht="10.5" customHeight="1">
      <c r="A29" s="945" t="s">
        <v>1205</v>
      </c>
      <c r="B29" s="946">
        <v>0</v>
      </c>
      <c r="C29" s="946">
        <v>0</v>
      </c>
      <c r="D29" s="946">
        <v>0</v>
      </c>
      <c r="E29" s="946">
        <v>0</v>
      </c>
      <c r="F29" s="946">
        <v>0</v>
      </c>
      <c r="G29" s="947">
        <v>0</v>
      </c>
      <c r="H29" s="933"/>
      <c r="I29" s="941"/>
      <c r="J29" s="941"/>
      <c r="K29" s="941"/>
      <c r="L29" s="941"/>
      <c r="M29" s="941"/>
      <c r="N29" s="941"/>
    </row>
    <row r="30" spans="1:14" s="934" customFormat="1" ht="10.5" customHeight="1">
      <c r="A30" s="945" t="s">
        <v>1206</v>
      </c>
      <c r="B30" s="946">
        <v>13370</v>
      </c>
      <c r="C30" s="946">
        <v>0</v>
      </c>
      <c r="D30" s="946">
        <f>SUM(B30:C30)</f>
        <v>13370</v>
      </c>
      <c r="E30" s="946">
        <v>3939</v>
      </c>
      <c r="F30" s="946">
        <v>0</v>
      </c>
      <c r="G30" s="947">
        <f>SUM(E30:F30)</f>
        <v>3939</v>
      </c>
      <c r="H30" s="933"/>
      <c r="I30" s="941"/>
      <c r="J30" s="941"/>
      <c r="K30" s="941"/>
      <c r="L30" s="941"/>
      <c r="M30" s="941"/>
      <c r="N30" s="941"/>
    </row>
    <row r="31" spans="1:14" s="934" customFormat="1" ht="10.5" customHeight="1">
      <c r="A31" s="945" t="s">
        <v>1207</v>
      </c>
      <c r="B31" s="946">
        <v>0</v>
      </c>
      <c r="C31" s="946">
        <v>0</v>
      </c>
      <c r="D31" s="946">
        <v>0</v>
      </c>
      <c r="E31" s="946">
        <v>0</v>
      </c>
      <c r="F31" s="946">
        <v>0</v>
      </c>
      <c r="G31" s="947">
        <v>0</v>
      </c>
      <c r="H31" s="933"/>
      <c r="I31" s="941"/>
      <c r="J31" s="941"/>
      <c r="K31" s="941"/>
      <c r="L31" s="941"/>
      <c r="M31" s="941"/>
      <c r="N31" s="941"/>
    </row>
    <row r="32" spans="1:14" s="934" customFormat="1" ht="21.75" customHeight="1">
      <c r="A32" s="949" t="s">
        <v>1283</v>
      </c>
      <c r="B32" s="943">
        <f>SUM(B33:B37)</f>
        <v>3035716</v>
      </c>
      <c r="C32" s="943">
        <f>SUM(C33:C37)</f>
        <v>0</v>
      </c>
      <c r="D32" s="943">
        <f>SUM(B32:C32)</f>
        <v>3035716</v>
      </c>
      <c r="E32" s="943">
        <f>SUM(E33:E37)</f>
        <v>2892473</v>
      </c>
      <c r="F32" s="943">
        <f>SUM(F33:F37)</f>
        <v>0</v>
      </c>
      <c r="G32" s="944">
        <f>SUM(G33:G37)</f>
        <v>2892473</v>
      </c>
      <c r="H32" s="932"/>
      <c r="I32" s="950"/>
      <c r="J32" s="950"/>
      <c r="K32" s="950"/>
      <c r="L32" s="950"/>
      <c r="M32" s="950"/>
      <c r="N32" s="950"/>
    </row>
    <row r="33" spans="1:14" s="934" customFormat="1" ht="11.25">
      <c r="A33" s="945" t="s">
        <v>1208</v>
      </c>
      <c r="B33" s="946">
        <v>2547974</v>
      </c>
      <c r="C33" s="946"/>
      <c r="D33" s="946">
        <f>SUM(B33:C33)</f>
        <v>2547974</v>
      </c>
      <c r="E33" s="946">
        <v>2407922</v>
      </c>
      <c r="F33" s="946">
        <v>0</v>
      </c>
      <c r="G33" s="947">
        <f>SUM(E33:F33)</f>
        <v>2407922</v>
      </c>
      <c r="H33" s="932"/>
      <c r="I33" s="950"/>
      <c r="J33" s="950"/>
      <c r="K33" s="950"/>
      <c r="L33" s="950"/>
      <c r="M33" s="950"/>
      <c r="N33" s="950"/>
    </row>
    <row r="34" spans="1:14" s="934" customFormat="1" ht="11.25">
      <c r="A34" s="945" t="s">
        <v>1209</v>
      </c>
      <c r="B34" s="946"/>
      <c r="C34" s="946"/>
      <c r="D34" s="946"/>
      <c r="E34" s="946"/>
      <c r="F34" s="946"/>
      <c r="G34" s="947"/>
      <c r="H34" s="932"/>
      <c r="I34" s="950"/>
      <c r="J34" s="950"/>
      <c r="K34" s="950"/>
      <c r="L34" s="950"/>
      <c r="M34" s="950"/>
      <c r="N34" s="950"/>
    </row>
    <row r="35" spans="1:14" s="934" customFormat="1" ht="11.25">
      <c r="A35" s="945" t="s">
        <v>1210</v>
      </c>
      <c r="B35" s="946">
        <v>487742</v>
      </c>
      <c r="C35" s="946"/>
      <c r="D35" s="946">
        <f>B35</f>
        <v>487742</v>
      </c>
      <c r="E35" s="946">
        <v>484551</v>
      </c>
      <c r="F35" s="946"/>
      <c r="G35" s="947">
        <f>SUM(E35:F35)</f>
        <v>484551</v>
      </c>
      <c r="H35" s="932"/>
      <c r="I35" s="950"/>
      <c r="J35" s="950"/>
      <c r="K35" s="950"/>
      <c r="L35" s="950"/>
      <c r="M35" s="950"/>
      <c r="N35" s="950"/>
    </row>
    <row r="36" spans="1:14" s="934" customFormat="1" ht="11.25">
      <c r="A36" s="945" t="s">
        <v>1211</v>
      </c>
      <c r="B36" s="946"/>
      <c r="C36" s="946"/>
      <c r="D36" s="946"/>
      <c r="E36" s="946"/>
      <c r="F36" s="946"/>
      <c r="G36" s="947"/>
      <c r="H36" s="932"/>
      <c r="I36" s="950"/>
      <c r="J36" s="950"/>
      <c r="K36" s="950"/>
      <c r="L36" s="950"/>
      <c r="M36" s="950"/>
      <c r="N36" s="950"/>
    </row>
    <row r="37" spans="1:14" s="934" customFormat="1" ht="21">
      <c r="A37" s="951" t="s">
        <v>1212</v>
      </c>
      <c r="B37" s="946"/>
      <c r="C37" s="946"/>
      <c r="D37" s="946"/>
      <c r="E37" s="946"/>
      <c r="F37" s="946"/>
      <c r="G37" s="947"/>
      <c r="H37" s="932"/>
      <c r="I37" s="950"/>
      <c r="J37" s="950"/>
      <c r="K37" s="950"/>
      <c r="L37" s="950"/>
      <c r="M37" s="950"/>
      <c r="N37" s="950"/>
    </row>
    <row r="38" spans="1:14" s="934" customFormat="1" ht="10.5" customHeight="1">
      <c r="A38" s="940" t="s">
        <v>983</v>
      </c>
      <c r="B38" s="952">
        <f>B39+B46+B58+B65+B70</f>
        <v>1443963</v>
      </c>
      <c r="C38" s="952">
        <f>C39+C46+C58+C65+C70</f>
        <v>0</v>
      </c>
      <c r="D38" s="952">
        <f>SUM(B38:C38)</f>
        <v>1443963</v>
      </c>
      <c r="E38" s="952">
        <f>E39+E46+E58+E65+E70</f>
        <v>1377167</v>
      </c>
      <c r="F38" s="952">
        <f>F39+F46+F58+F65+F70</f>
        <v>0</v>
      </c>
      <c r="G38" s="953">
        <f>G39+G46+G58+G65+G70</f>
        <v>1377167</v>
      </c>
      <c r="H38" s="933"/>
      <c r="I38" s="941"/>
      <c r="J38" s="941"/>
      <c r="K38" s="941"/>
      <c r="L38" s="941"/>
      <c r="M38" s="941"/>
      <c r="N38" s="941"/>
    </row>
    <row r="39" spans="1:14" s="934" customFormat="1" ht="8.25" customHeight="1">
      <c r="A39" s="956" t="s">
        <v>1213</v>
      </c>
      <c r="B39" s="943">
        <f>B40</f>
        <v>5483</v>
      </c>
      <c r="C39" s="943">
        <f>SUM(C40:C45)</f>
        <v>0</v>
      </c>
      <c r="D39" s="943">
        <f>SUM(B39:C39)</f>
        <v>5483</v>
      </c>
      <c r="E39" s="943">
        <f>SUM(E40:E45)</f>
        <v>2824</v>
      </c>
      <c r="F39" s="943">
        <f>SUM(F40:F45)</f>
        <v>0</v>
      </c>
      <c r="G39" s="944">
        <f>SUM(G40:G45)</f>
        <v>2824</v>
      </c>
      <c r="H39" s="933"/>
      <c r="I39" s="941"/>
      <c r="J39" s="941"/>
      <c r="K39" s="941"/>
      <c r="L39" s="941"/>
      <c r="M39" s="941"/>
      <c r="N39" s="941"/>
    </row>
    <row r="40" spans="1:14" s="934" customFormat="1" ht="10.5" customHeight="1">
      <c r="A40" s="945" t="s">
        <v>1214</v>
      </c>
      <c r="B40" s="946">
        <v>5483</v>
      </c>
      <c r="C40" s="946">
        <v>0</v>
      </c>
      <c r="D40" s="946">
        <f>SUM(B40:C40)</f>
        <v>5483</v>
      </c>
      <c r="E40" s="946">
        <v>2824</v>
      </c>
      <c r="F40" s="946">
        <v>0</v>
      </c>
      <c r="G40" s="947">
        <f>SUM(E40:F40)</f>
        <v>2824</v>
      </c>
      <c r="H40" s="933"/>
      <c r="I40" s="941"/>
      <c r="J40" s="941"/>
      <c r="K40" s="941"/>
      <c r="L40" s="941"/>
      <c r="M40" s="941"/>
      <c r="N40" s="941"/>
    </row>
    <row r="41" spans="1:14" s="934" customFormat="1" ht="10.5" customHeight="1">
      <c r="A41" s="945" t="s">
        <v>1215</v>
      </c>
      <c r="B41" s="946"/>
      <c r="C41" s="946"/>
      <c r="D41" s="946"/>
      <c r="E41" s="946"/>
      <c r="F41" s="946"/>
      <c r="G41" s="947"/>
      <c r="H41" s="933"/>
      <c r="I41" s="941"/>
      <c r="J41" s="941"/>
      <c r="K41" s="941"/>
      <c r="L41" s="941"/>
      <c r="M41" s="941"/>
      <c r="N41" s="941"/>
    </row>
    <row r="42" spans="1:14" s="934" customFormat="1" ht="10.5" customHeight="1">
      <c r="A42" s="945" t="s">
        <v>1216</v>
      </c>
      <c r="B42" s="946"/>
      <c r="C42" s="946"/>
      <c r="D42" s="946"/>
      <c r="E42" s="946"/>
      <c r="F42" s="946"/>
      <c r="G42" s="947"/>
      <c r="H42" s="933"/>
      <c r="I42" s="941"/>
      <c r="J42" s="941"/>
      <c r="K42" s="941"/>
      <c r="L42" s="941"/>
      <c r="M42" s="941"/>
      <c r="N42" s="941"/>
    </row>
    <row r="43" spans="1:14" s="934" customFormat="1" ht="10.5" customHeight="1">
      <c r="A43" s="945" t="s">
        <v>1217</v>
      </c>
      <c r="B43" s="946">
        <v>0</v>
      </c>
      <c r="C43" s="946">
        <v>0</v>
      </c>
      <c r="D43" s="946">
        <f>SUM(B43:C43)</f>
        <v>0</v>
      </c>
      <c r="E43" s="946">
        <v>0</v>
      </c>
      <c r="F43" s="946">
        <v>0</v>
      </c>
      <c r="G43" s="947">
        <f>SUM(E43:F43)</f>
        <v>0</v>
      </c>
      <c r="H43" s="933"/>
      <c r="I43" s="941"/>
      <c r="J43" s="941"/>
      <c r="K43" s="941"/>
      <c r="L43" s="941"/>
      <c r="M43" s="941"/>
      <c r="N43" s="941"/>
    </row>
    <row r="44" spans="1:14" s="934" customFormat="1" ht="12" customHeight="1">
      <c r="A44" s="951" t="s">
        <v>602</v>
      </c>
      <c r="B44" s="946"/>
      <c r="C44" s="946"/>
      <c r="D44" s="946"/>
      <c r="E44" s="946"/>
      <c r="F44" s="946"/>
      <c r="G44" s="947"/>
      <c r="H44" s="933"/>
      <c r="I44" s="941"/>
      <c r="J44" s="941"/>
      <c r="K44" s="941"/>
      <c r="L44" s="941"/>
      <c r="M44" s="941"/>
      <c r="N44" s="941"/>
    </row>
    <row r="45" spans="1:14" s="934" customFormat="1" ht="11.25">
      <c r="A45" s="951" t="s">
        <v>603</v>
      </c>
      <c r="B45" s="946">
        <v>0</v>
      </c>
      <c r="C45" s="946">
        <v>0</v>
      </c>
      <c r="D45" s="946">
        <f>SUM(B45:C45)</f>
        <v>0</v>
      </c>
      <c r="E45" s="946">
        <v>0</v>
      </c>
      <c r="F45" s="946">
        <v>0</v>
      </c>
      <c r="G45" s="947">
        <f>SUM(E45:F45)</f>
        <v>0</v>
      </c>
      <c r="H45" s="933"/>
      <c r="I45" s="941"/>
      <c r="J45" s="941"/>
      <c r="K45" s="941"/>
      <c r="L45" s="941"/>
      <c r="M45" s="941"/>
      <c r="N45" s="941"/>
    </row>
    <row r="46" spans="1:14" s="934" customFormat="1" ht="10.5" customHeight="1">
      <c r="A46" s="956" t="s">
        <v>1218</v>
      </c>
      <c r="B46" s="943">
        <f>SUM(B47:B50)</f>
        <v>269211</v>
      </c>
      <c r="C46" s="943">
        <f>SUM(C47:C50)</f>
        <v>0</v>
      </c>
      <c r="D46" s="943">
        <f>SUM(B46:C46)</f>
        <v>269211</v>
      </c>
      <c r="E46" s="943">
        <f>SUM(E47:E50)</f>
        <v>218932</v>
      </c>
      <c r="F46" s="943">
        <f>SUM(F47:F50)</f>
        <v>0</v>
      </c>
      <c r="G46" s="944">
        <f>SUM(G47:G50)</f>
        <v>218932</v>
      </c>
      <c r="H46" s="933"/>
      <c r="I46" s="941"/>
      <c r="J46" s="941"/>
      <c r="K46" s="941"/>
      <c r="L46" s="941"/>
      <c r="M46" s="941"/>
      <c r="N46" s="941"/>
    </row>
    <row r="47" spans="1:14" s="934" customFormat="1" ht="10.5" customHeight="1">
      <c r="A47" s="945" t="s">
        <v>1219</v>
      </c>
      <c r="B47" s="946">
        <v>9776</v>
      </c>
      <c r="C47" s="946"/>
      <c r="D47" s="946">
        <f>SUM(B47:C47)</f>
        <v>9776</v>
      </c>
      <c r="E47" s="946">
        <v>72117</v>
      </c>
      <c r="F47" s="946">
        <v>0</v>
      </c>
      <c r="G47" s="947">
        <f aca="true" t="shared" si="0" ref="G47:G57">SUM(E47:F47)</f>
        <v>72117</v>
      </c>
      <c r="H47" s="933"/>
      <c r="I47" s="941"/>
      <c r="J47" s="941"/>
      <c r="K47" s="941"/>
      <c r="L47" s="941"/>
      <c r="M47" s="941"/>
      <c r="N47" s="941"/>
    </row>
    <row r="48" spans="1:14" s="934" customFormat="1" ht="10.5" customHeight="1">
      <c r="A48" s="945" t="s">
        <v>1220</v>
      </c>
      <c r="B48" s="946">
        <v>206032</v>
      </c>
      <c r="C48" s="946"/>
      <c r="D48" s="946">
        <f>SUM(B48:C48)</f>
        <v>206032</v>
      </c>
      <c r="E48" s="946">
        <v>142389</v>
      </c>
      <c r="F48" s="946">
        <v>0</v>
      </c>
      <c r="G48" s="947">
        <f t="shared" si="0"/>
        <v>142389</v>
      </c>
      <c r="H48" s="933"/>
      <c r="I48" s="941"/>
      <c r="J48" s="941"/>
      <c r="K48" s="941"/>
      <c r="L48" s="941"/>
      <c r="M48" s="941"/>
      <c r="N48" s="941"/>
    </row>
    <row r="49" spans="1:14" s="934" customFormat="1" ht="10.5" customHeight="1">
      <c r="A49" s="945" t="s">
        <v>1221</v>
      </c>
      <c r="B49" s="946">
        <v>43696</v>
      </c>
      <c r="C49" s="946"/>
      <c r="D49" s="946">
        <v>43696</v>
      </c>
      <c r="E49" s="946">
        <v>0</v>
      </c>
      <c r="F49" s="946"/>
      <c r="G49" s="947">
        <f t="shared" si="0"/>
        <v>0</v>
      </c>
      <c r="H49" s="933"/>
      <c r="I49" s="941"/>
      <c r="J49" s="941"/>
      <c r="K49" s="941"/>
      <c r="L49" s="941"/>
      <c r="M49" s="941"/>
      <c r="N49" s="941"/>
    </row>
    <row r="50" spans="1:14" s="934" customFormat="1" ht="10.5" customHeight="1">
      <c r="A50" s="945" t="s">
        <v>1222</v>
      </c>
      <c r="B50" s="946">
        <v>9707</v>
      </c>
      <c r="C50" s="946"/>
      <c r="D50" s="946">
        <f aca="true" t="shared" si="1" ref="D50:D58">SUM(B50:C50)</f>
        <v>9707</v>
      </c>
      <c r="E50" s="946">
        <v>4426</v>
      </c>
      <c r="F50" s="946">
        <v>0</v>
      </c>
      <c r="G50" s="947">
        <f t="shared" si="0"/>
        <v>4426</v>
      </c>
      <c r="H50" s="933"/>
      <c r="I50" s="941"/>
      <c r="J50" s="941"/>
      <c r="K50" s="941"/>
      <c r="L50" s="941"/>
      <c r="M50" s="941"/>
      <c r="N50" s="941"/>
    </row>
    <row r="51" spans="1:14" s="934" customFormat="1" ht="21">
      <c r="A51" s="951" t="s">
        <v>1223</v>
      </c>
      <c r="B51" s="946">
        <v>0</v>
      </c>
      <c r="C51" s="946"/>
      <c r="D51" s="946">
        <f t="shared" si="1"/>
        <v>0</v>
      </c>
      <c r="E51" s="946"/>
      <c r="F51" s="946">
        <v>0</v>
      </c>
      <c r="G51" s="947">
        <f t="shared" si="0"/>
        <v>0</v>
      </c>
      <c r="H51" s="933"/>
      <c r="I51" s="941"/>
      <c r="J51" s="941"/>
      <c r="K51" s="941"/>
      <c r="L51" s="941"/>
      <c r="M51" s="941"/>
      <c r="N51" s="941"/>
    </row>
    <row r="52" spans="1:14" s="934" customFormat="1" ht="21">
      <c r="A52" s="951" t="s">
        <v>1224</v>
      </c>
      <c r="B52" s="946">
        <v>0</v>
      </c>
      <c r="C52" s="946"/>
      <c r="D52" s="946">
        <f t="shared" si="1"/>
        <v>0</v>
      </c>
      <c r="E52" s="946">
        <v>0</v>
      </c>
      <c r="F52" s="946">
        <v>0</v>
      </c>
      <c r="G52" s="947">
        <f t="shared" si="0"/>
        <v>0</v>
      </c>
      <c r="H52" s="933"/>
      <c r="I52" s="941"/>
      <c r="J52" s="941"/>
      <c r="K52" s="941"/>
      <c r="L52" s="941"/>
      <c r="M52" s="941"/>
      <c r="N52" s="941"/>
    </row>
    <row r="53" spans="1:14" s="934" customFormat="1" ht="11.25">
      <c r="A53" s="951" t="s">
        <v>604</v>
      </c>
      <c r="B53" s="946">
        <v>0</v>
      </c>
      <c r="C53" s="946"/>
      <c r="D53" s="946">
        <f t="shared" si="1"/>
        <v>0</v>
      </c>
      <c r="E53" s="946">
        <v>0</v>
      </c>
      <c r="F53" s="946"/>
      <c r="G53" s="947">
        <f t="shared" si="0"/>
        <v>0</v>
      </c>
      <c r="H53" s="933"/>
      <c r="I53" s="941"/>
      <c r="J53" s="941"/>
      <c r="K53" s="941"/>
      <c r="L53" s="941"/>
      <c r="M53" s="941"/>
      <c r="N53" s="941"/>
    </row>
    <row r="54" spans="1:14" s="934" customFormat="1" ht="11.25">
      <c r="A54" s="951" t="s">
        <v>605</v>
      </c>
      <c r="B54" s="946">
        <v>0</v>
      </c>
      <c r="C54" s="946"/>
      <c r="D54" s="946">
        <f t="shared" si="1"/>
        <v>0</v>
      </c>
      <c r="E54" s="946">
        <v>0</v>
      </c>
      <c r="F54" s="946"/>
      <c r="G54" s="947">
        <f t="shared" si="0"/>
        <v>0</v>
      </c>
      <c r="H54" s="933"/>
      <c r="I54" s="941"/>
      <c r="J54" s="941"/>
      <c r="K54" s="941"/>
      <c r="L54" s="941"/>
      <c r="M54" s="941"/>
      <c r="N54" s="941"/>
    </row>
    <row r="55" spans="1:14" s="934" customFormat="1" ht="11.25">
      <c r="A55" s="951" t="s">
        <v>606</v>
      </c>
      <c r="B55" s="946">
        <v>0</v>
      </c>
      <c r="C55" s="946"/>
      <c r="D55" s="946">
        <f t="shared" si="1"/>
        <v>0</v>
      </c>
      <c r="E55" s="946">
        <v>0</v>
      </c>
      <c r="F55" s="946"/>
      <c r="G55" s="947">
        <f t="shared" si="0"/>
        <v>0</v>
      </c>
      <c r="H55" s="933"/>
      <c r="I55" s="941"/>
      <c r="J55" s="941"/>
      <c r="K55" s="941"/>
      <c r="L55" s="941"/>
      <c r="M55" s="941"/>
      <c r="N55" s="941"/>
    </row>
    <row r="56" spans="1:14" s="934" customFormat="1" ht="18.75" customHeight="1">
      <c r="A56" s="951" t="s">
        <v>1225</v>
      </c>
      <c r="B56" s="946">
        <v>0</v>
      </c>
      <c r="C56" s="946"/>
      <c r="D56" s="946">
        <f t="shared" si="1"/>
        <v>0</v>
      </c>
      <c r="E56" s="946">
        <v>0</v>
      </c>
      <c r="F56" s="946"/>
      <c r="G56" s="947">
        <f t="shared" si="0"/>
        <v>0</v>
      </c>
      <c r="H56" s="933"/>
      <c r="I56" s="941"/>
      <c r="J56" s="941"/>
      <c r="K56" s="941"/>
      <c r="L56" s="941"/>
      <c r="M56" s="941"/>
      <c r="N56" s="941"/>
    </row>
    <row r="57" spans="1:14" s="934" customFormat="1" ht="11.25">
      <c r="A57" s="951" t="s">
        <v>1226</v>
      </c>
      <c r="B57" s="946">
        <v>0</v>
      </c>
      <c r="C57" s="946"/>
      <c r="D57" s="946">
        <f t="shared" si="1"/>
        <v>0</v>
      </c>
      <c r="E57" s="946">
        <v>0</v>
      </c>
      <c r="F57" s="946"/>
      <c r="G57" s="947">
        <f t="shared" si="0"/>
        <v>0</v>
      </c>
      <c r="H57" s="933"/>
      <c r="I57" s="941"/>
      <c r="J57" s="941"/>
      <c r="K57" s="941"/>
      <c r="L57" s="941"/>
      <c r="M57" s="941"/>
      <c r="N57" s="941"/>
    </row>
    <row r="58" spans="1:14" s="934" customFormat="1" ht="10.5" customHeight="1">
      <c r="A58" s="957" t="s">
        <v>1227</v>
      </c>
      <c r="B58" s="958">
        <f>SUM(B63:B64)</f>
        <v>0</v>
      </c>
      <c r="C58" s="958">
        <f>SUM(C63:C64)</f>
        <v>0</v>
      </c>
      <c r="D58" s="958">
        <f t="shared" si="1"/>
        <v>0</v>
      </c>
      <c r="E58" s="958">
        <f>SUM(E63:E64)</f>
        <v>0</v>
      </c>
      <c r="F58" s="958">
        <f>SUM(F63:F64)</f>
        <v>0</v>
      </c>
      <c r="G58" s="959">
        <f>SUM(G63:G64)</f>
        <v>0</v>
      </c>
      <c r="H58" s="933"/>
      <c r="I58" s="941"/>
      <c r="J58" s="941"/>
      <c r="K58" s="941"/>
      <c r="L58" s="941"/>
      <c r="M58" s="941"/>
      <c r="N58" s="941"/>
    </row>
    <row r="59" spans="1:14" s="934" customFormat="1" ht="10.5" customHeight="1">
      <c r="A59" s="957" t="s">
        <v>607</v>
      </c>
      <c r="B59" s="1511">
        <v>0</v>
      </c>
      <c r="C59" s="958"/>
      <c r="D59" s="1511">
        <v>0</v>
      </c>
      <c r="E59" s="1511">
        <v>0</v>
      </c>
      <c r="F59" s="1511"/>
      <c r="G59" s="1513">
        <v>0</v>
      </c>
      <c r="H59" s="933"/>
      <c r="I59" s="941"/>
      <c r="J59" s="941"/>
      <c r="K59" s="941"/>
      <c r="L59" s="941"/>
      <c r="M59" s="941"/>
      <c r="N59" s="941"/>
    </row>
    <row r="60" spans="1:14" s="934" customFormat="1" ht="10.5" customHeight="1">
      <c r="A60" s="957" t="s">
        <v>608</v>
      </c>
      <c r="B60" s="1511">
        <v>0</v>
      </c>
      <c r="C60" s="958"/>
      <c r="D60" s="1511">
        <v>0</v>
      </c>
      <c r="E60" s="1511">
        <v>0</v>
      </c>
      <c r="F60" s="1511"/>
      <c r="G60" s="1513">
        <v>0</v>
      </c>
      <c r="H60" s="933"/>
      <c r="I60" s="941"/>
      <c r="J60" s="941"/>
      <c r="K60" s="941"/>
      <c r="L60" s="941"/>
      <c r="M60" s="941"/>
      <c r="N60" s="941"/>
    </row>
    <row r="61" spans="1:14" s="934" customFormat="1" ht="10.5" customHeight="1">
      <c r="A61" s="957" t="s">
        <v>609</v>
      </c>
      <c r="B61" s="1511">
        <v>0</v>
      </c>
      <c r="C61" s="958"/>
      <c r="D61" s="1511">
        <v>0</v>
      </c>
      <c r="E61" s="1511">
        <v>0</v>
      </c>
      <c r="F61" s="1511"/>
      <c r="G61" s="1513">
        <v>0</v>
      </c>
      <c r="H61" s="933"/>
      <c r="I61" s="941"/>
      <c r="J61" s="941"/>
      <c r="K61" s="941"/>
      <c r="L61" s="941"/>
      <c r="M61" s="941"/>
      <c r="N61" s="941"/>
    </row>
    <row r="62" spans="1:14" s="934" customFormat="1" ht="10.5" customHeight="1">
      <c r="A62" s="945" t="s">
        <v>1228</v>
      </c>
      <c r="B62" s="1511">
        <v>0</v>
      </c>
      <c r="C62" s="958"/>
      <c r="D62" s="1511">
        <v>0</v>
      </c>
      <c r="E62" s="1511">
        <v>0</v>
      </c>
      <c r="F62" s="1511"/>
      <c r="G62" s="1513">
        <v>0</v>
      </c>
      <c r="H62" s="933"/>
      <c r="I62" s="941"/>
      <c r="J62" s="941"/>
      <c r="K62" s="941"/>
      <c r="L62" s="941"/>
      <c r="M62" s="941"/>
      <c r="N62" s="941"/>
    </row>
    <row r="63" spans="1:14" s="934" customFormat="1" ht="20.25" customHeight="1">
      <c r="A63" s="951" t="s">
        <v>610</v>
      </c>
      <c r="B63" s="1512">
        <v>0</v>
      </c>
      <c r="C63" s="946"/>
      <c r="D63" s="1512">
        <v>0</v>
      </c>
      <c r="E63" s="1512">
        <v>0</v>
      </c>
      <c r="F63" s="1512"/>
      <c r="G63" s="1514">
        <v>0</v>
      </c>
      <c r="H63" s="933"/>
      <c r="I63" s="941"/>
      <c r="J63" s="941"/>
      <c r="K63" s="941"/>
      <c r="L63" s="941"/>
      <c r="M63" s="941"/>
      <c r="N63" s="941"/>
    </row>
    <row r="64" spans="1:14" s="934" customFormat="1" ht="24" customHeight="1">
      <c r="A64" s="951" t="s">
        <v>611</v>
      </c>
      <c r="B64" s="946">
        <v>0</v>
      </c>
      <c r="C64" s="946"/>
      <c r="D64" s="946">
        <v>0</v>
      </c>
      <c r="E64" s="946">
        <v>0</v>
      </c>
      <c r="F64" s="946"/>
      <c r="G64" s="947">
        <v>0</v>
      </c>
      <c r="H64" s="933"/>
      <c r="I64" s="941"/>
      <c r="J64" s="941"/>
      <c r="K64" s="941"/>
      <c r="L64" s="941"/>
      <c r="M64" s="941"/>
      <c r="N64" s="941"/>
    </row>
    <row r="65" spans="1:14" s="934" customFormat="1" ht="10.5" customHeight="1">
      <c r="A65" s="957" t="s">
        <v>1229</v>
      </c>
      <c r="B65" s="943">
        <f>SUM(B66:B69)</f>
        <v>1073336</v>
      </c>
      <c r="C65" s="943">
        <f>SUM(C66:C69)</f>
        <v>0</v>
      </c>
      <c r="D65" s="943">
        <f>SUM(B65:C65)</f>
        <v>1073336</v>
      </c>
      <c r="E65" s="943">
        <f>SUM(E66:E69)</f>
        <v>1113135</v>
      </c>
      <c r="F65" s="943">
        <f>SUM(F66:F69)</f>
        <v>0</v>
      </c>
      <c r="G65" s="944">
        <f>SUM(G66:G69)</f>
        <v>1113135</v>
      </c>
      <c r="H65" s="933"/>
      <c r="I65" s="941"/>
      <c r="J65" s="941"/>
      <c r="K65" s="941"/>
      <c r="L65" s="941"/>
      <c r="M65" s="941"/>
      <c r="N65" s="941"/>
    </row>
    <row r="66" spans="1:14" s="934" customFormat="1" ht="10.5" customHeight="1">
      <c r="A66" s="945" t="s">
        <v>1230</v>
      </c>
      <c r="B66" s="946">
        <v>0</v>
      </c>
      <c r="C66" s="946">
        <v>0</v>
      </c>
      <c r="D66" s="946">
        <f>SUM(B66:C66)</f>
        <v>0</v>
      </c>
      <c r="E66" s="946">
        <v>0</v>
      </c>
      <c r="F66" s="946"/>
      <c r="G66" s="947">
        <f>SUM(E66:F66)</f>
        <v>0</v>
      </c>
      <c r="H66" s="933"/>
      <c r="I66" s="941"/>
      <c r="J66" s="941"/>
      <c r="K66" s="941"/>
      <c r="L66" s="941"/>
      <c r="M66" s="941"/>
      <c r="N66" s="941"/>
    </row>
    <row r="67" spans="1:14" s="934" customFormat="1" ht="10.5" customHeight="1">
      <c r="A67" s="945" t="s">
        <v>613</v>
      </c>
      <c r="B67" s="946">
        <v>1073140</v>
      </c>
      <c r="C67" s="946"/>
      <c r="D67" s="946">
        <f>SUM(B67:C67)</f>
        <v>1073140</v>
      </c>
      <c r="E67" s="946">
        <v>1112677</v>
      </c>
      <c r="F67" s="946"/>
      <c r="G67" s="947">
        <f>SUM(E67:F67)</f>
        <v>1112677</v>
      </c>
      <c r="H67" s="933"/>
      <c r="I67" s="941"/>
      <c r="J67" s="941"/>
      <c r="K67" s="941"/>
      <c r="L67" s="941"/>
      <c r="M67" s="941"/>
      <c r="N67" s="941"/>
    </row>
    <row r="68" spans="1:14" s="934" customFormat="1" ht="10.5" customHeight="1">
      <c r="A68" s="945" t="s">
        <v>1231</v>
      </c>
      <c r="B68" s="946">
        <v>0</v>
      </c>
      <c r="C68" s="946"/>
      <c r="D68" s="946">
        <v>0</v>
      </c>
      <c r="E68" s="946">
        <v>0</v>
      </c>
      <c r="F68" s="946"/>
      <c r="G68" s="947">
        <v>0</v>
      </c>
      <c r="H68" s="933"/>
      <c r="I68" s="941"/>
      <c r="J68" s="941"/>
      <c r="K68" s="941"/>
      <c r="L68" s="941"/>
      <c r="M68" s="941"/>
      <c r="N68" s="941"/>
    </row>
    <row r="69" spans="1:14" s="934" customFormat="1" ht="10.5" customHeight="1">
      <c r="A69" s="945" t="s">
        <v>612</v>
      </c>
      <c r="B69" s="946">
        <v>196</v>
      </c>
      <c r="C69" s="946">
        <v>0</v>
      </c>
      <c r="D69" s="946">
        <f>SUM(B69:C69)</f>
        <v>196</v>
      </c>
      <c r="E69" s="946">
        <v>458</v>
      </c>
      <c r="F69" s="946"/>
      <c r="G69" s="947">
        <f>SUM(E69:F69)</f>
        <v>458</v>
      </c>
      <c r="H69" s="933"/>
      <c r="I69" s="941"/>
      <c r="J69" s="941"/>
      <c r="K69" s="941"/>
      <c r="L69" s="941"/>
      <c r="M69" s="941"/>
      <c r="N69" s="941"/>
    </row>
    <row r="70" spans="1:14" s="934" customFormat="1" ht="10.5" customHeight="1">
      <c r="A70" s="957" t="s">
        <v>1232</v>
      </c>
      <c r="B70" s="943">
        <f>SUM(B71:B74)</f>
        <v>95933</v>
      </c>
      <c r="C70" s="943">
        <f>SUM(C71:C74)</f>
        <v>0</v>
      </c>
      <c r="D70" s="943">
        <f>SUM(B70:C70)</f>
        <v>95933</v>
      </c>
      <c r="E70" s="943">
        <f>SUM(E71:E74)</f>
        <v>42276</v>
      </c>
      <c r="F70" s="943">
        <f>SUM(F71:F74)</f>
        <v>0</v>
      </c>
      <c r="G70" s="944">
        <f>SUM(G71:G74)</f>
        <v>42276</v>
      </c>
      <c r="H70" s="933"/>
      <c r="I70" s="941"/>
      <c r="J70" s="941"/>
      <c r="K70" s="941"/>
      <c r="L70" s="941"/>
      <c r="M70" s="941"/>
      <c r="N70" s="941"/>
    </row>
    <row r="71" spans="1:14" s="934" customFormat="1" ht="10.5" customHeight="1">
      <c r="A71" s="945" t="s">
        <v>1233</v>
      </c>
      <c r="B71" s="946">
        <v>28150</v>
      </c>
      <c r="C71" s="946"/>
      <c r="D71" s="946">
        <f>SUM(B71:C71)</f>
        <v>28150</v>
      </c>
      <c r="E71" s="946">
        <v>18012</v>
      </c>
      <c r="F71" s="946"/>
      <c r="G71" s="947">
        <f>SUM(E71:F71)</f>
        <v>18012</v>
      </c>
      <c r="H71" s="933"/>
      <c r="I71" s="941"/>
      <c r="J71" s="941"/>
      <c r="K71" s="941"/>
      <c r="L71" s="941"/>
      <c r="M71" s="941"/>
      <c r="N71" s="941"/>
    </row>
    <row r="72" spans="1:14" s="934" customFormat="1" ht="10.5" customHeight="1">
      <c r="A72" s="945" t="s">
        <v>1234</v>
      </c>
      <c r="B72" s="946">
        <v>67783</v>
      </c>
      <c r="C72" s="946"/>
      <c r="D72" s="946">
        <v>67783</v>
      </c>
      <c r="E72" s="946">
        <v>24264</v>
      </c>
      <c r="F72" s="946"/>
      <c r="G72" s="947">
        <f>SUM(E72:F72)</f>
        <v>24264</v>
      </c>
      <c r="H72" s="933"/>
      <c r="I72" s="941"/>
      <c r="J72" s="941"/>
      <c r="K72" s="941"/>
      <c r="L72" s="941"/>
      <c r="M72" s="941"/>
      <c r="N72" s="941"/>
    </row>
    <row r="73" spans="1:14" s="934" customFormat="1" ht="10.5" customHeight="1">
      <c r="A73" s="945" t="s">
        <v>1235</v>
      </c>
      <c r="B73" s="946">
        <v>0</v>
      </c>
      <c r="C73" s="946"/>
      <c r="D73" s="946">
        <v>0</v>
      </c>
      <c r="E73" s="946">
        <v>0</v>
      </c>
      <c r="F73" s="946"/>
      <c r="G73" s="947">
        <f>E73+F73</f>
        <v>0</v>
      </c>
      <c r="H73" s="933"/>
      <c r="I73" s="941"/>
      <c r="J73" s="941"/>
      <c r="K73" s="941"/>
      <c r="L73" s="941"/>
      <c r="M73" s="941"/>
      <c r="N73" s="941"/>
    </row>
    <row r="74" spans="1:14" s="934" customFormat="1" ht="10.5" customHeight="1" thickBot="1">
      <c r="A74" s="945" t="s">
        <v>1236</v>
      </c>
      <c r="B74" s="946">
        <v>0</v>
      </c>
      <c r="C74" s="946"/>
      <c r="D74" s="946">
        <v>0</v>
      </c>
      <c r="E74" s="946">
        <v>0</v>
      </c>
      <c r="F74" s="946"/>
      <c r="G74" s="947">
        <v>0</v>
      </c>
      <c r="H74" s="933"/>
      <c r="I74" s="941"/>
      <c r="J74" s="941"/>
      <c r="K74" s="941"/>
      <c r="L74" s="941"/>
      <c r="M74" s="941"/>
      <c r="N74" s="941"/>
    </row>
    <row r="75" spans="1:14" s="934" customFormat="1" ht="15" customHeight="1" thickBot="1" thickTop="1">
      <c r="A75" s="960" t="s">
        <v>311</v>
      </c>
      <c r="B75" s="961">
        <f>B8+B38</f>
        <v>8715511</v>
      </c>
      <c r="C75" s="961">
        <f>C8+C38</f>
        <v>0</v>
      </c>
      <c r="D75" s="961">
        <f>SUM(B75:C75)</f>
        <v>8715511</v>
      </c>
      <c r="E75" s="961">
        <f>E8+E38</f>
        <v>8627327</v>
      </c>
      <c r="F75" s="961">
        <f>F8+F38</f>
        <v>0</v>
      </c>
      <c r="G75" s="962">
        <f>G8+G38</f>
        <v>8627327</v>
      </c>
      <c r="H75" s="963"/>
      <c r="I75" s="964"/>
      <c r="J75" s="964"/>
      <c r="K75" s="964"/>
      <c r="L75" s="964"/>
      <c r="M75" s="964"/>
      <c r="N75" s="964"/>
    </row>
    <row r="76" spans="1:14" s="934" customFormat="1" ht="12" customHeight="1" thickBot="1" thickTop="1">
      <c r="A76" s="965"/>
      <c r="B76" s="950"/>
      <c r="D76" s="950"/>
      <c r="E76" s="950"/>
      <c r="F76" s="950"/>
      <c r="G76" s="931" t="s">
        <v>297</v>
      </c>
      <c r="H76" s="963"/>
      <c r="I76" s="964"/>
      <c r="J76" s="964"/>
      <c r="K76" s="964"/>
      <c r="L76" s="964"/>
      <c r="M76" s="964"/>
      <c r="N76" s="964"/>
    </row>
    <row r="77" spans="1:14" s="934" customFormat="1" ht="9.75" customHeight="1">
      <c r="A77" s="2282" t="s">
        <v>1284</v>
      </c>
      <c r="B77" s="2276" t="s">
        <v>972</v>
      </c>
      <c r="C77" s="2276" t="s">
        <v>973</v>
      </c>
      <c r="D77" s="2276" t="s">
        <v>990</v>
      </c>
      <c r="E77" s="2276" t="s">
        <v>975</v>
      </c>
      <c r="F77" s="2276" t="s">
        <v>976</v>
      </c>
      <c r="G77" s="2279" t="s">
        <v>991</v>
      </c>
      <c r="H77" s="932"/>
      <c r="I77" s="933"/>
      <c r="J77" s="933"/>
      <c r="K77" s="933"/>
      <c r="L77" s="933"/>
      <c r="M77" s="933"/>
      <c r="N77" s="933"/>
    </row>
    <row r="78" spans="1:14" s="934" customFormat="1" ht="9.75" customHeight="1">
      <c r="A78" s="2283"/>
      <c r="B78" s="2277"/>
      <c r="C78" s="2277"/>
      <c r="D78" s="2277"/>
      <c r="E78" s="2277"/>
      <c r="F78" s="2277"/>
      <c r="G78" s="2280"/>
      <c r="H78" s="935"/>
      <c r="I78" s="933"/>
      <c r="J78" s="933"/>
      <c r="K78" s="933"/>
      <c r="L78" s="933"/>
      <c r="M78" s="933"/>
      <c r="N78" s="933"/>
    </row>
    <row r="79" spans="1:14" s="934" customFormat="1" ht="9.75" customHeight="1">
      <c r="A79" s="2283"/>
      <c r="B79" s="2277"/>
      <c r="C79" s="2277"/>
      <c r="D79" s="2277"/>
      <c r="E79" s="2277"/>
      <c r="F79" s="2277"/>
      <c r="G79" s="2280"/>
      <c r="H79" s="935"/>
      <c r="I79" s="933"/>
      <c r="J79" s="933"/>
      <c r="K79" s="933"/>
      <c r="L79" s="933"/>
      <c r="M79" s="933"/>
      <c r="N79" s="933"/>
    </row>
    <row r="80" spans="1:14" s="934" customFormat="1" ht="10.5" customHeight="1" thickBot="1">
      <c r="A80" s="2284"/>
      <c r="B80" s="2278"/>
      <c r="C80" s="2278"/>
      <c r="D80" s="2278"/>
      <c r="E80" s="2278"/>
      <c r="F80" s="2278"/>
      <c r="G80" s="2281"/>
      <c r="H80" s="932"/>
      <c r="I80" s="933"/>
      <c r="J80" s="933"/>
      <c r="K80" s="933"/>
      <c r="L80" s="933"/>
      <c r="M80" s="933"/>
      <c r="N80" s="933"/>
    </row>
    <row r="81" spans="1:13" s="934" customFormat="1" ht="7.5" customHeight="1">
      <c r="A81" s="956"/>
      <c r="B81" s="966"/>
      <c r="C81" s="966"/>
      <c r="D81" s="966"/>
      <c r="E81" s="966"/>
      <c r="F81" s="966"/>
      <c r="G81" s="967"/>
      <c r="M81" s="932"/>
    </row>
    <row r="82" spans="1:13" s="934" customFormat="1" ht="10.5" customHeight="1">
      <c r="A82" s="940" t="s">
        <v>1237</v>
      </c>
      <c r="B82" s="968">
        <f>B84+B91</f>
        <v>7731367</v>
      </c>
      <c r="C82" s="954">
        <f>C84+C91</f>
        <v>0</v>
      </c>
      <c r="D82" s="954">
        <f>SUM(B82:C82)</f>
        <v>7731367</v>
      </c>
      <c r="E82" s="954">
        <f>E84+E91</f>
        <v>7914669</v>
      </c>
      <c r="F82" s="954">
        <f>F84+F91</f>
        <v>0</v>
      </c>
      <c r="G82" s="955">
        <f>G84+G91</f>
        <v>7914669</v>
      </c>
      <c r="M82" s="932"/>
    </row>
    <row r="83" spans="1:13" s="934" customFormat="1" ht="10.5" customHeight="1">
      <c r="A83" s="940"/>
      <c r="B83" s="954"/>
      <c r="C83" s="954"/>
      <c r="D83" s="954"/>
      <c r="E83" s="954"/>
      <c r="F83" s="954"/>
      <c r="G83" s="955"/>
      <c r="M83" s="932"/>
    </row>
    <row r="84" spans="1:14" s="934" customFormat="1" ht="11.25">
      <c r="A84" s="942" t="s">
        <v>1238</v>
      </c>
      <c r="B84" s="969">
        <f>SUM(B85:B88)</f>
        <v>3366344</v>
      </c>
      <c r="C84" s="969">
        <f>SUM(C85:C90)</f>
        <v>0</v>
      </c>
      <c r="D84" s="969">
        <f aca="true" t="shared" si="2" ref="D84:D98">SUM(B84:C84)</f>
        <v>3366344</v>
      </c>
      <c r="E84" s="969">
        <f>SUM(E85:E88)</f>
        <v>3439850</v>
      </c>
      <c r="F84" s="969">
        <f>SUM(F85:F90)</f>
        <v>0</v>
      </c>
      <c r="G84" s="970">
        <f aca="true" t="shared" si="3" ref="G84:G90">SUM(E84:F84)</f>
        <v>3439850</v>
      </c>
      <c r="H84" s="933"/>
      <c r="I84" s="941"/>
      <c r="J84" s="941"/>
      <c r="K84" s="941"/>
      <c r="L84" s="941"/>
      <c r="M84" s="941"/>
      <c r="N84" s="941"/>
    </row>
    <row r="85" spans="1:14" s="934" customFormat="1" ht="11.25">
      <c r="A85" s="945" t="s">
        <v>1239</v>
      </c>
      <c r="B85" s="971">
        <v>2343650</v>
      </c>
      <c r="C85" s="946">
        <v>0</v>
      </c>
      <c r="D85" s="946">
        <f t="shared" si="2"/>
        <v>2343650</v>
      </c>
      <c r="E85" s="971">
        <v>2407738</v>
      </c>
      <c r="F85" s="946">
        <v>0</v>
      </c>
      <c r="G85" s="947">
        <f t="shared" si="3"/>
        <v>2407738</v>
      </c>
      <c r="H85" s="933"/>
      <c r="I85" s="941"/>
      <c r="J85" s="941"/>
      <c r="K85" s="941"/>
      <c r="L85" s="941"/>
      <c r="M85" s="941"/>
      <c r="N85" s="941"/>
    </row>
    <row r="86" spans="1:14" s="934" customFormat="1" ht="11.25" customHeight="1">
      <c r="A86" s="945" t="s">
        <v>1240</v>
      </c>
      <c r="B86" s="946">
        <v>410954</v>
      </c>
      <c r="C86" s="946">
        <v>0</v>
      </c>
      <c r="D86" s="946">
        <f t="shared" si="2"/>
        <v>410954</v>
      </c>
      <c r="E86" s="946">
        <v>410728</v>
      </c>
      <c r="F86" s="946">
        <v>0</v>
      </c>
      <c r="G86" s="947">
        <f t="shared" si="3"/>
        <v>410728</v>
      </c>
      <c r="H86" s="933"/>
      <c r="I86" s="941"/>
      <c r="J86" s="941"/>
      <c r="K86" s="941"/>
      <c r="L86" s="941"/>
      <c r="M86" s="941"/>
      <c r="N86" s="941"/>
    </row>
    <row r="87" spans="1:7" s="934" customFormat="1" ht="15.75" customHeight="1">
      <c r="A87" s="945" t="s">
        <v>1265</v>
      </c>
      <c r="B87" s="972">
        <v>277744</v>
      </c>
      <c r="C87" s="972">
        <v>0</v>
      </c>
      <c r="D87" s="946">
        <f t="shared" si="2"/>
        <v>277744</v>
      </c>
      <c r="E87" s="972">
        <v>278863</v>
      </c>
      <c r="F87" s="972">
        <v>0</v>
      </c>
      <c r="G87" s="947">
        <f t="shared" si="3"/>
        <v>278863</v>
      </c>
    </row>
    <row r="88" spans="1:7" s="934" customFormat="1" ht="12.75" customHeight="1">
      <c r="A88" s="945" t="s">
        <v>1266</v>
      </c>
      <c r="B88" s="972">
        <v>333996</v>
      </c>
      <c r="C88" s="972">
        <v>0</v>
      </c>
      <c r="D88" s="946">
        <f t="shared" si="2"/>
        <v>333996</v>
      </c>
      <c r="E88" s="972">
        <v>342521</v>
      </c>
      <c r="F88" s="972">
        <v>0</v>
      </c>
      <c r="G88" s="947">
        <f t="shared" si="3"/>
        <v>342521</v>
      </c>
    </row>
    <row r="89" spans="1:7" s="934" customFormat="1" ht="11.25" customHeight="1">
      <c r="A89" s="945" t="s">
        <v>1267</v>
      </c>
      <c r="B89" s="972">
        <v>0</v>
      </c>
      <c r="C89" s="973">
        <v>0</v>
      </c>
      <c r="D89" s="946">
        <f t="shared" si="2"/>
        <v>0</v>
      </c>
      <c r="E89" s="972"/>
      <c r="F89" s="973">
        <v>0</v>
      </c>
      <c r="G89" s="947">
        <f t="shared" si="3"/>
        <v>0</v>
      </c>
    </row>
    <row r="90" spans="1:14" s="934" customFormat="1" ht="10.5" customHeight="1">
      <c r="A90" s="945" t="s">
        <v>1268</v>
      </c>
      <c r="B90" s="946">
        <v>0</v>
      </c>
      <c r="C90" s="946">
        <v>0</v>
      </c>
      <c r="D90" s="946">
        <f t="shared" si="2"/>
        <v>0</v>
      </c>
      <c r="E90" s="946">
        <v>0</v>
      </c>
      <c r="F90" s="946">
        <v>0</v>
      </c>
      <c r="G90" s="947">
        <f t="shared" si="3"/>
        <v>0</v>
      </c>
      <c r="H90" s="933"/>
      <c r="I90" s="941"/>
      <c r="J90" s="941"/>
      <c r="K90" s="941"/>
      <c r="L90" s="941"/>
      <c r="M90" s="941"/>
      <c r="N90" s="941"/>
    </row>
    <row r="91" spans="1:14" s="934" customFormat="1" ht="19.5" customHeight="1">
      <c r="A91" s="942" t="s">
        <v>1285</v>
      </c>
      <c r="B91" s="969">
        <f>SUM(B92:B98)</f>
        <v>4365023</v>
      </c>
      <c r="C91" s="969">
        <f>SUM(C92:C98)</f>
        <v>0</v>
      </c>
      <c r="D91" s="969">
        <f t="shared" si="2"/>
        <v>4365023</v>
      </c>
      <c r="E91" s="969">
        <f>SUM(E92:E98)</f>
        <v>4474819</v>
      </c>
      <c r="F91" s="969">
        <f>SUM(F92:F98)</f>
        <v>0</v>
      </c>
      <c r="G91" s="970">
        <f>SUM(G92:G98)</f>
        <v>4474819</v>
      </c>
      <c r="H91" s="933"/>
      <c r="I91" s="941"/>
      <c r="J91" s="941"/>
      <c r="K91" s="941"/>
      <c r="L91" s="941"/>
      <c r="M91" s="941"/>
      <c r="N91" s="941"/>
    </row>
    <row r="92" spans="1:14" s="934" customFormat="1" ht="14.25" customHeight="1">
      <c r="A92" s="945" t="s">
        <v>1269</v>
      </c>
      <c r="B92" s="946">
        <v>2402998</v>
      </c>
      <c r="C92" s="946">
        <v>0</v>
      </c>
      <c r="D92" s="946">
        <f t="shared" si="2"/>
        <v>2402998</v>
      </c>
      <c r="E92" s="946">
        <v>2421192</v>
      </c>
      <c r="F92" s="946">
        <v>0</v>
      </c>
      <c r="G92" s="947">
        <f aca="true" t="shared" si="4" ref="G92:G98">SUM(E92:F92)</f>
        <v>2421192</v>
      </c>
      <c r="H92" s="933"/>
      <c r="I92" s="941"/>
      <c r="J92" s="941"/>
      <c r="K92" s="941"/>
      <c r="L92" s="941"/>
      <c r="M92" s="941"/>
      <c r="N92" s="941"/>
    </row>
    <row r="93" spans="1:14" s="934" customFormat="1" ht="11.25" customHeight="1">
      <c r="A93" s="945" t="s">
        <v>1270</v>
      </c>
      <c r="B93" s="946">
        <v>46905</v>
      </c>
      <c r="C93" s="946">
        <v>0</v>
      </c>
      <c r="D93" s="946">
        <f t="shared" si="2"/>
        <v>46905</v>
      </c>
      <c r="E93" s="946">
        <v>56782</v>
      </c>
      <c r="F93" s="946">
        <v>0</v>
      </c>
      <c r="G93" s="947">
        <f t="shared" si="4"/>
        <v>56782</v>
      </c>
      <c r="H93" s="933"/>
      <c r="I93" s="941"/>
      <c r="J93" s="941"/>
      <c r="K93" s="941"/>
      <c r="L93" s="941"/>
      <c r="M93" s="941"/>
      <c r="N93" s="941"/>
    </row>
    <row r="94" spans="1:7" s="934" customFormat="1" ht="11.25" customHeight="1">
      <c r="A94" s="945" t="s">
        <v>1271</v>
      </c>
      <c r="B94" s="972">
        <v>238109</v>
      </c>
      <c r="C94" s="972">
        <v>0</v>
      </c>
      <c r="D94" s="972">
        <f t="shared" si="2"/>
        <v>238109</v>
      </c>
      <c r="E94" s="972">
        <v>242274</v>
      </c>
      <c r="F94" s="972">
        <v>0</v>
      </c>
      <c r="G94" s="974">
        <f t="shared" si="4"/>
        <v>242274</v>
      </c>
    </row>
    <row r="95" spans="1:7" s="934" customFormat="1" ht="10.5" customHeight="1">
      <c r="A95" s="945" t="s">
        <v>1272</v>
      </c>
      <c r="B95" s="972">
        <v>11864</v>
      </c>
      <c r="C95" s="972">
        <v>0</v>
      </c>
      <c r="D95" s="972">
        <f t="shared" si="2"/>
        <v>11864</v>
      </c>
      <c r="E95" s="972">
        <v>11864</v>
      </c>
      <c r="F95" s="972">
        <v>0</v>
      </c>
      <c r="G95" s="974">
        <f t="shared" si="4"/>
        <v>11864</v>
      </c>
    </row>
    <row r="96" spans="1:7" s="934" customFormat="1" ht="19.5" customHeight="1">
      <c r="A96" s="945" t="s">
        <v>1273</v>
      </c>
      <c r="B96" s="972">
        <v>1665147</v>
      </c>
      <c r="C96" s="973">
        <v>0</v>
      </c>
      <c r="D96" s="972">
        <f t="shared" si="2"/>
        <v>1665147</v>
      </c>
      <c r="E96" s="972">
        <v>1742707</v>
      </c>
      <c r="F96" s="973">
        <v>0</v>
      </c>
      <c r="G96" s="947">
        <f t="shared" si="4"/>
        <v>1742707</v>
      </c>
    </row>
    <row r="97" spans="1:14" s="934" customFormat="1" ht="19.5" customHeight="1">
      <c r="A97" s="951" t="s">
        <v>1274</v>
      </c>
      <c r="B97" s="946">
        <v>0</v>
      </c>
      <c r="C97" s="946">
        <v>0</v>
      </c>
      <c r="D97" s="972">
        <f t="shared" si="2"/>
        <v>0</v>
      </c>
      <c r="E97" s="946">
        <v>0</v>
      </c>
      <c r="F97" s="946">
        <v>0</v>
      </c>
      <c r="G97" s="947">
        <f t="shared" si="4"/>
        <v>0</v>
      </c>
      <c r="H97" s="933"/>
      <c r="I97" s="941"/>
      <c r="J97" s="941"/>
      <c r="K97" s="941"/>
      <c r="L97" s="941"/>
      <c r="M97" s="941"/>
      <c r="N97" s="941"/>
    </row>
    <row r="98" spans="1:14" s="934" customFormat="1" ht="19.5" customHeight="1">
      <c r="A98" s="951" t="s">
        <v>1275</v>
      </c>
      <c r="B98" s="946">
        <v>0</v>
      </c>
      <c r="C98" s="946">
        <v>0</v>
      </c>
      <c r="D98" s="972">
        <f t="shared" si="2"/>
        <v>0</v>
      </c>
      <c r="E98" s="946">
        <v>0</v>
      </c>
      <c r="F98" s="946">
        <v>0</v>
      </c>
      <c r="G98" s="947">
        <f t="shared" si="4"/>
        <v>0</v>
      </c>
      <c r="H98" s="933"/>
      <c r="I98" s="941"/>
      <c r="J98" s="941"/>
      <c r="K98" s="941"/>
      <c r="L98" s="941"/>
      <c r="M98" s="941"/>
      <c r="N98" s="941"/>
    </row>
    <row r="99" spans="1:7" s="934" customFormat="1" ht="21">
      <c r="A99" s="975" t="s">
        <v>1276</v>
      </c>
      <c r="B99" s="976">
        <f>SUM(B101:B102)</f>
        <v>523462</v>
      </c>
      <c r="C99" s="976">
        <f>SUM(C101:C102)</f>
        <v>0</v>
      </c>
      <c r="D99" s="976">
        <f>SUM(B99:C99)</f>
        <v>523462</v>
      </c>
      <c r="E99" s="976">
        <f>SUM(E101:E102)</f>
        <v>523505</v>
      </c>
      <c r="F99" s="976">
        <f>SUM(F101:F102)</f>
        <v>0</v>
      </c>
      <c r="G99" s="977">
        <f>SUM(G101:G102)</f>
        <v>523505</v>
      </c>
    </row>
    <row r="100" spans="1:7" s="934" customFormat="1" ht="10.5" customHeight="1">
      <c r="A100" s="957"/>
      <c r="B100" s="972"/>
      <c r="C100" s="972"/>
      <c r="D100" s="972"/>
      <c r="E100" s="972"/>
      <c r="F100" s="972"/>
      <c r="G100" s="974"/>
    </row>
    <row r="101" spans="1:7" s="934" customFormat="1" ht="22.5">
      <c r="A101" s="957" t="s">
        <v>1277</v>
      </c>
      <c r="B101" s="972">
        <v>523462</v>
      </c>
      <c r="C101" s="972"/>
      <c r="D101" s="972">
        <f>SUM(B101:C101)</f>
        <v>523462</v>
      </c>
      <c r="E101" s="972">
        <v>523505</v>
      </c>
      <c r="F101" s="972">
        <v>0</v>
      </c>
      <c r="G101" s="947">
        <f>SUM(E101:F101)</f>
        <v>523505</v>
      </c>
    </row>
    <row r="102" spans="1:14" s="934" customFormat="1" ht="23.25" thickBot="1">
      <c r="A102" s="957" t="s">
        <v>1278</v>
      </c>
      <c r="B102" s="946"/>
      <c r="C102" s="946"/>
      <c r="D102" s="946"/>
      <c r="E102" s="946"/>
      <c r="F102" s="946"/>
      <c r="G102" s="947"/>
      <c r="H102" s="933"/>
      <c r="I102" s="941"/>
      <c r="J102" s="941"/>
      <c r="K102" s="941"/>
      <c r="L102" s="941"/>
      <c r="M102" s="941"/>
      <c r="N102" s="941"/>
    </row>
    <row r="103" spans="1:14" s="934" customFormat="1" ht="15" customHeight="1" thickBot="1" thickTop="1">
      <c r="A103" s="960" t="s">
        <v>311</v>
      </c>
      <c r="B103" s="961">
        <f>B82+B99</f>
        <v>8254829</v>
      </c>
      <c r="C103" s="978">
        <f>C82+C99</f>
        <v>0</v>
      </c>
      <c r="D103" s="978">
        <f>SUM(B103:C103)</f>
        <v>8254829</v>
      </c>
      <c r="E103" s="978">
        <f>E82+E99</f>
        <v>8438174</v>
      </c>
      <c r="F103" s="978">
        <f>F82+F99</f>
        <v>0</v>
      </c>
      <c r="G103" s="979">
        <f>G82+G99</f>
        <v>8438174</v>
      </c>
      <c r="H103" s="963"/>
      <c r="I103" s="964"/>
      <c r="J103" s="964"/>
      <c r="K103" s="964"/>
      <c r="L103" s="964"/>
      <c r="M103" s="964"/>
      <c r="N103" s="964"/>
    </row>
    <row r="104" spans="1:2" ht="12" thickTop="1">
      <c r="A104" s="2292" t="s">
        <v>1279</v>
      </c>
      <c r="B104" s="2292"/>
    </row>
    <row r="105" spans="1:7" ht="12" thickBot="1">
      <c r="A105" s="980"/>
      <c r="G105" s="931" t="s">
        <v>297</v>
      </c>
    </row>
    <row r="106" spans="1:14" s="934" customFormat="1" ht="9.75" customHeight="1">
      <c r="A106" s="2282" t="s">
        <v>1280</v>
      </c>
      <c r="B106" s="2276" t="s">
        <v>972</v>
      </c>
      <c r="C106" s="2276" t="s">
        <v>973</v>
      </c>
      <c r="D106" s="2276" t="s">
        <v>990</v>
      </c>
      <c r="E106" s="2276" t="s">
        <v>975</v>
      </c>
      <c r="F106" s="2276" t="s">
        <v>976</v>
      </c>
      <c r="G106" s="2279" t="s">
        <v>991</v>
      </c>
      <c r="H106" s="932"/>
      <c r="I106" s="933"/>
      <c r="J106" s="933"/>
      <c r="K106" s="933"/>
      <c r="L106" s="933"/>
      <c r="M106" s="933"/>
      <c r="N106" s="933"/>
    </row>
    <row r="107" spans="1:14" s="934" customFormat="1" ht="9.75" customHeight="1">
      <c r="A107" s="2283"/>
      <c r="B107" s="2277"/>
      <c r="C107" s="2277"/>
      <c r="D107" s="2277"/>
      <c r="E107" s="2277"/>
      <c r="F107" s="2277"/>
      <c r="G107" s="2280"/>
      <c r="H107" s="935"/>
      <c r="I107" s="933"/>
      <c r="J107" s="933"/>
      <c r="K107" s="933"/>
      <c r="L107" s="933"/>
      <c r="M107" s="933"/>
      <c r="N107" s="933"/>
    </row>
    <row r="108" spans="1:14" s="934" customFormat="1" ht="9.75" customHeight="1">
      <c r="A108" s="2283"/>
      <c r="B108" s="2277"/>
      <c r="C108" s="2277"/>
      <c r="D108" s="2277"/>
      <c r="E108" s="2277"/>
      <c r="F108" s="2277"/>
      <c r="G108" s="2280"/>
      <c r="H108" s="935"/>
      <c r="I108" s="933"/>
      <c r="J108" s="933"/>
      <c r="K108" s="933"/>
      <c r="L108" s="933"/>
      <c r="M108" s="933"/>
      <c r="N108" s="933"/>
    </row>
    <row r="109" spans="1:14" s="934" customFormat="1" ht="10.5" customHeight="1" thickBot="1">
      <c r="A109" s="2284"/>
      <c r="B109" s="2278"/>
      <c r="C109" s="2278"/>
      <c r="D109" s="2278"/>
      <c r="E109" s="2278"/>
      <c r="F109" s="2278"/>
      <c r="G109" s="2281"/>
      <c r="H109" s="932"/>
      <c r="I109" s="933"/>
      <c r="J109" s="933"/>
      <c r="K109" s="933"/>
      <c r="L109" s="933"/>
      <c r="M109" s="933"/>
      <c r="N109" s="933"/>
    </row>
    <row r="110" spans="1:14" s="934" customFormat="1" ht="33.75">
      <c r="A110" s="957" t="s">
        <v>1281</v>
      </c>
      <c r="B110" s="946">
        <v>416776</v>
      </c>
      <c r="C110" s="946">
        <v>0</v>
      </c>
      <c r="D110" s="946">
        <f>SUM(B110:C110)</f>
        <v>416776</v>
      </c>
      <c r="E110" s="946">
        <v>455046</v>
      </c>
      <c r="F110" s="946">
        <v>0</v>
      </c>
      <c r="G110" s="944">
        <f>SUM(E110:F110)</f>
        <v>455046</v>
      </c>
      <c r="H110" s="933"/>
      <c r="I110" s="941"/>
      <c r="J110" s="941"/>
      <c r="K110" s="941"/>
      <c r="L110" s="941"/>
      <c r="M110" s="941"/>
      <c r="N110" s="941"/>
    </row>
    <row r="111" spans="1:14" s="934" customFormat="1" ht="66">
      <c r="A111" s="957" t="s">
        <v>1287</v>
      </c>
      <c r="B111" s="946">
        <v>0</v>
      </c>
      <c r="C111" s="946">
        <v>0</v>
      </c>
      <c r="D111" s="946">
        <f>SUM(B111:C111)</f>
        <v>0</v>
      </c>
      <c r="E111" s="946">
        <v>0</v>
      </c>
      <c r="F111" s="946">
        <v>0</v>
      </c>
      <c r="G111" s="944">
        <f>SUM(E111:F111)</f>
        <v>0</v>
      </c>
      <c r="H111" s="933"/>
      <c r="I111" s="941"/>
      <c r="J111" s="941"/>
      <c r="K111" s="941"/>
      <c r="L111" s="941"/>
      <c r="M111" s="941"/>
      <c r="N111" s="941"/>
    </row>
    <row r="112" spans="1:14" s="934" customFormat="1" ht="45">
      <c r="A112" s="957" t="s">
        <v>1282</v>
      </c>
      <c r="B112" s="946">
        <v>0</v>
      </c>
      <c r="C112" s="946">
        <v>0</v>
      </c>
      <c r="D112" s="946">
        <f>SUM(B112:C112)</f>
        <v>0</v>
      </c>
      <c r="E112" s="946">
        <v>0</v>
      </c>
      <c r="F112" s="946">
        <v>0</v>
      </c>
      <c r="G112" s="944">
        <f>SUM(E112:F112)</f>
        <v>0</v>
      </c>
      <c r="H112" s="933"/>
      <c r="I112" s="941"/>
      <c r="J112" s="941"/>
      <c r="K112" s="941"/>
      <c r="L112" s="941"/>
      <c r="M112" s="941"/>
      <c r="N112" s="941"/>
    </row>
    <row r="113" spans="1:14" s="934" customFormat="1" ht="12" thickBot="1">
      <c r="A113" s="981"/>
      <c r="B113" s="982"/>
      <c r="C113" s="982"/>
      <c r="D113" s="982"/>
      <c r="E113" s="982"/>
      <c r="F113" s="982"/>
      <c r="G113" s="983"/>
      <c r="H113" s="933"/>
      <c r="I113" s="941"/>
      <c r="J113" s="941"/>
      <c r="K113" s="941"/>
      <c r="L113" s="941"/>
      <c r="M113" s="941"/>
      <c r="N113" s="941"/>
    </row>
    <row r="114" spans="1:14" s="934" customFormat="1" ht="11.25">
      <c r="A114" s="984"/>
      <c r="B114" s="941"/>
      <c r="C114" s="941"/>
      <c r="D114" s="941"/>
      <c r="E114" s="941"/>
      <c r="F114" s="941"/>
      <c r="G114" s="985"/>
      <c r="H114" s="933"/>
      <c r="I114" s="941"/>
      <c r="J114" s="941"/>
      <c r="K114" s="941"/>
      <c r="L114" s="941"/>
      <c r="M114" s="941"/>
      <c r="N114" s="941"/>
    </row>
    <row r="115" spans="1:7" ht="11.25">
      <c r="A115" s="2293" t="s">
        <v>1003</v>
      </c>
      <c r="B115" s="2293"/>
      <c r="C115" s="2293"/>
      <c r="D115" s="2293"/>
      <c r="E115" s="2293"/>
      <c r="F115" s="2293"/>
      <c r="G115" s="2293"/>
    </row>
    <row r="116" spans="1:7" ht="11.25">
      <c r="A116" s="2294" t="s">
        <v>1004</v>
      </c>
      <c r="B116" s="2294"/>
      <c r="C116" s="2294"/>
      <c r="D116" s="2294"/>
      <c r="E116" s="2294"/>
      <c r="F116" s="2294"/>
      <c r="G116" s="2294"/>
    </row>
    <row r="117" ht="11.25">
      <c r="A117" s="980"/>
    </row>
    <row r="118" ht="11.25">
      <c r="A118" s="980"/>
    </row>
    <row r="119" ht="11.25">
      <c r="A119" s="980"/>
    </row>
    <row r="120" ht="11.25">
      <c r="A120" s="980"/>
    </row>
  </sheetData>
  <sheetProtection/>
  <mergeCells count="25">
    <mergeCell ref="A104:B104"/>
    <mergeCell ref="A115:G115"/>
    <mergeCell ref="A116:G116"/>
    <mergeCell ref="F4:F7"/>
    <mergeCell ref="G4:G7"/>
    <mergeCell ref="B77:B80"/>
    <mergeCell ref="C77:C80"/>
    <mergeCell ref="D77:D80"/>
    <mergeCell ref="E77:E80"/>
    <mergeCell ref="F77:F80"/>
    <mergeCell ref="G77:G80"/>
    <mergeCell ref="B2:G2"/>
    <mergeCell ref="A4:A7"/>
    <mergeCell ref="B4:B7"/>
    <mergeCell ref="C4:C7"/>
    <mergeCell ref="D4:D7"/>
    <mergeCell ref="E4:E7"/>
    <mergeCell ref="A77:A80"/>
    <mergeCell ref="E106:E109"/>
    <mergeCell ref="F106:F109"/>
    <mergeCell ref="G106:G109"/>
    <mergeCell ref="A106:A109"/>
    <mergeCell ref="B106:B109"/>
    <mergeCell ref="C106:C109"/>
    <mergeCell ref="D106:D10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rowBreaks count="1" manualBreakCount="1">
    <brk id="64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85" zoomScalePageLayoutView="0" workbookViewId="0" topLeftCell="A1">
      <selection activeCell="H20" sqref="H20"/>
    </sheetView>
  </sheetViews>
  <sheetFormatPr defaultColWidth="9.00390625" defaultRowHeight="12.75"/>
  <cols>
    <col min="1" max="1" width="5.75390625" style="67" bestFit="1" customWidth="1"/>
    <col min="2" max="2" width="27.625" style="67" customWidth="1"/>
    <col min="3" max="3" width="14.875" style="67" customWidth="1"/>
    <col min="4" max="4" width="16.00390625" style="67" customWidth="1"/>
    <col min="5" max="5" width="27.375" style="67" customWidth="1"/>
    <col min="6" max="6" width="12.125" style="67" customWidth="1"/>
    <col min="7" max="7" width="11.25390625" style="67" customWidth="1"/>
    <col min="8" max="8" width="16.00390625" style="88" customWidth="1"/>
    <col min="9" max="16384" width="9.125" style="67" customWidth="1"/>
  </cols>
  <sheetData>
    <row r="1" spans="1:8" ht="11.25">
      <c r="A1" s="63"/>
      <c r="B1" s="63"/>
      <c r="C1" s="63"/>
      <c r="D1" s="63"/>
      <c r="E1" s="63"/>
      <c r="F1" s="64"/>
      <c r="G1" s="65"/>
      <c r="H1" s="66"/>
    </row>
    <row r="2" spans="1:8" ht="11.25">
      <c r="A2" s="63"/>
      <c r="B2" s="63"/>
      <c r="C2" s="63"/>
      <c r="D2" s="63"/>
      <c r="E2" s="63"/>
      <c r="F2" s="64"/>
      <c r="G2" s="65"/>
      <c r="H2" s="68"/>
    </row>
    <row r="3" spans="1:8" ht="11.25">
      <c r="A3" s="63"/>
      <c r="B3" s="63"/>
      <c r="C3" s="63"/>
      <c r="D3" s="63"/>
      <c r="E3" s="63"/>
      <c r="F3" s="63" t="s">
        <v>465</v>
      </c>
      <c r="G3" s="63"/>
      <c r="H3" s="63"/>
    </row>
    <row r="4" spans="1:8" ht="11.25">
      <c r="A4" s="63"/>
      <c r="B4" s="63"/>
      <c r="C4" s="63"/>
      <c r="D4" s="63"/>
      <c r="E4" s="63"/>
      <c r="F4" s="63"/>
      <c r="G4" s="63"/>
      <c r="H4" s="63"/>
    </row>
    <row r="5" spans="1:8" ht="11.25">
      <c r="A5" s="63"/>
      <c r="B5" s="63"/>
      <c r="C5" s="63"/>
      <c r="D5" s="63"/>
      <c r="E5" s="63"/>
      <c r="F5" s="64"/>
      <c r="G5" s="65"/>
      <c r="H5" s="68"/>
    </row>
    <row r="6" spans="1:8" ht="11.25">
      <c r="A6" s="63"/>
      <c r="B6" s="63"/>
      <c r="C6" s="63"/>
      <c r="D6" s="63"/>
      <c r="E6" s="63"/>
      <c r="F6" s="64"/>
      <c r="G6" s="65"/>
      <c r="H6" s="68"/>
    </row>
    <row r="7" spans="1:8" ht="11.25">
      <c r="A7" s="63"/>
      <c r="B7" s="63"/>
      <c r="C7" s="63"/>
      <c r="D7" s="63"/>
      <c r="E7" s="63"/>
      <c r="F7" s="64"/>
      <c r="G7" s="65"/>
      <c r="H7" s="68"/>
    </row>
    <row r="8" spans="1:8" ht="11.25">
      <c r="A8" s="63"/>
      <c r="B8" s="63"/>
      <c r="C8" s="63"/>
      <c r="D8" s="63"/>
      <c r="E8" s="63"/>
      <c r="F8" s="64"/>
      <c r="G8" s="65"/>
      <c r="H8" s="68"/>
    </row>
    <row r="9" spans="1:8" ht="11.25">
      <c r="A9" s="63"/>
      <c r="B9" s="63"/>
      <c r="C9" s="63"/>
      <c r="D9" s="63"/>
      <c r="E9" s="63"/>
      <c r="F9" s="64"/>
      <c r="G9" s="65"/>
      <c r="H9" s="69"/>
    </row>
    <row r="10" spans="1:8" ht="12" thickBot="1">
      <c r="A10" s="63"/>
      <c r="B10" s="63"/>
      <c r="C10" s="63"/>
      <c r="D10" s="63"/>
      <c r="E10" s="63"/>
      <c r="F10" s="64"/>
      <c r="G10" s="65"/>
      <c r="H10" s="69" t="s">
        <v>466</v>
      </c>
    </row>
    <row r="11" spans="1:8" ht="51">
      <c r="A11" s="1615"/>
      <c r="B11" s="1616" t="s">
        <v>270</v>
      </c>
      <c r="C11" s="1617" t="s">
        <v>271</v>
      </c>
      <c r="D11" s="1617" t="s">
        <v>272</v>
      </c>
      <c r="E11" s="1618" t="s">
        <v>273</v>
      </c>
      <c r="F11" s="1618" t="s">
        <v>274</v>
      </c>
      <c r="G11" s="1618" t="s">
        <v>275</v>
      </c>
      <c r="H11" s="1618" t="s">
        <v>276</v>
      </c>
    </row>
    <row r="12" spans="1:8" ht="18" customHeight="1">
      <c r="A12" s="1619" t="s">
        <v>312</v>
      </c>
      <c r="B12" s="1620"/>
      <c r="C12" s="1621"/>
      <c r="D12" s="1622"/>
      <c r="E12" s="1622"/>
      <c r="F12" s="1623"/>
      <c r="G12" s="1623"/>
      <c r="H12" s="1623"/>
    </row>
    <row r="13" spans="1:8" ht="18" customHeight="1">
      <c r="A13" s="1619" t="s">
        <v>314</v>
      </c>
      <c r="B13" s="1620"/>
      <c r="C13" s="1621"/>
      <c r="D13" s="1622"/>
      <c r="E13" s="1622"/>
      <c r="F13" s="1623"/>
      <c r="G13" s="1623"/>
      <c r="H13" s="1623"/>
    </row>
    <row r="14" spans="1:8" ht="18" customHeight="1">
      <c r="A14" s="1619" t="s">
        <v>316</v>
      </c>
      <c r="B14" s="1620"/>
      <c r="C14" s="1621"/>
      <c r="D14" s="1622"/>
      <c r="E14" s="1622"/>
      <c r="F14" s="1623"/>
      <c r="G14" s="1623"/>
      <c r="H14" s="1623"/>
    </row>
    <row r="15" spans="1:8" ht="18" customHeight="1">
      <c r="A15" s="1619" t="s">
        <v>318</v>
      </c>
      <c r="B15" s="1620"/>
      <c r="C15" s="1621"/>
      <c r="D15" s="1622"/>
      <c r="E15" s="1622"/>
      <c r="F15" s="1623"/>
      <c r="G15" s="1623"/>
      <c r="H15" s="1623"/>
    </row>
    <row r="16" spans="1:8" ht="13.5" thickBot="1">
      <c r="A16" s="1624" t="s">
        <v>258</v>
      </c>
      <c r="B16" s="1625"/>
      <c r="C16" s="1626"/>
      <c r="D16" s="1627"/>
      <c r="E16" s="1627"/>
      <c r="F16" s="1628"/>
      <c r="G16" s="1628"/>
      <c r="H16" s="1628"/>
    </row>
    <row r="17" spans="1:8" ht="13.5" thickBot="1">
      <c r="A17" s="2298" t="s">
        <v>931</v>
      </c>
      <c r="B17" s="2299"/>
      <c r="C17" s="1629"/>
      <c r="D17" s="1630"/>
      <c r="E17" s="1631"/>
      <c r="F17" s="1632"/>
      <c r="G17" s="1632"/>
      <c r="H17" s="1633"/>
    </row>
  </sheetData>
  <sheetProtection/>
  <mergeCells count="1"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208"/>
  <sheetViews>
    <sheetView zoomScalePageLayoutView="0" workbookViewId="0" topLeftCell="A1">
      <selection activeCell="J47" sqref="J47"/>
    </sheetView>
  </sheetViews>
  <sheetFormatPr defaultColWidth="9.00390625" defaultRowHeight="12.75"/>
  <cols>
    <col min="1" max="1" width="5.375" style="1704" customWidth="1"/>
    <col min="2" max="2" width="3.00390625" style="993" customWidth="1"/>
    <col min="3" max="3" width="50.00390625" style="993" customWidth="1"/>
    <col min="4" max="4" width="9.375" style="1226" customWidth="1"/>
    <col min="5" max="5" width="7.25390625" style="1017" customWidth="1"/>
    <col min="6" max="6" width="7.875" style="1017" customWidth="1"/>
    <col min="7" max="7" width="5.375" style="1577" customWidth="1"/>
    <col min="8" max="8" width="7.00390625" style="1582" customWidth="1"/>
    <col min="9" max="9" width="9.75390625" style="999" bestFit="1" customWidth="1"/>
    <col min="10" max="16384" width="9.125" style="999" customWidth="1"/>
  </cols>
  <sheetData>
    <row r="1" ht="9.75" customHeight="1"/>
    <row r="3" ht="13.5" customHeight="1"/>
    <row r="4" ht="8.25" customHeight="1"/>
    <row r="5" spans="4:6" ht="13.5" thickBot="1">
      <c r="D5" s="1227"/>
      <c r="E5" s="1013"/>
      <c r="F5" s="1013" t="s">
        <v>458</v>
      </c>
    </row>
    <row r="6" spans="1:6" ht="17.25" customHeight="1">
      <c r="A6" s="1857" t="s">
        <v>1006</v>
      </c>
      <c r="B6" s="1858"/>
      <c r="C6" s="1858"/>
      <c r="D6" s="1018" t="s">
        <v>122</v>
      </c>
      <c r="E6" s="1018" t="s">
        <v>123</v>
      </c>
      <c r="F6" s="1019" t="s">
        <v>361</v>
      </c>
    </row>
    <row r="7" spans="1:6" ht="14.25" customHeight="1">
      <c r="A7" s="1865" t="s">
        <v>124</v>
      </c>
      <c r="B7" s="1826"/>
      <c r="C7" s="1826"/>
      <c r="D7" s="1826"/>
      <c r="E7" s="1826"/>
      <c r="F7" s="1866"/>
    </row>
    <row r="8" spans="1:6" ht="12.75">
      <c r="A8" s="1865" t="s">
        <v>125</v>
      </c>
      <c r="B8" s="1892"/>
      <c r="C8" s="1015" t="s">
        <v>376</v>
      </c>
      <c r="D8" s="1228"/>
      <c r="E8" s="1020"/>
      <c r="F8" s="1021"/>
    </row>
    <row r="9" spans="1:6" ht="12.75">
      <c r="A9" s="1881" t="s">
        <v>1115</v>
      </c>
      <c r="B9" s="1022" t="s">
        <v>126</v>
      </c>
      <c r="C9" s="1023" t="s">
        <v>127</v>
      </c>
      <c r="D9" s="1229">
        <f>SUM(D10:D31)</f>
        <v>1063770</v>
      </c>
      <c r="E9" s="1025">
        <f>SUM(E10:E31)</f>
        <v>401166</v>
      </c>
      <c r="F9" s="1026">
        <f>SUM(F10:F31)</f>
        <v>1464936</v>
      </c>
    </row>
    <row r="10" spans="1:9" ht="13.5" customHeight="1">
      <c r="A10" s="1882"/>
      <c r="B10" s="263">
        <v>1</v>
      </c>
      <c r="C10" s="264" t="s">
        <v>862</v>
      </c>
      <c r="D10" s="1230">
        <v>1007</v>
      </c>
      <c r="E10" s="1028">
        <v>0</v>
      </c>
      <c r="F10" s="1029">
        <f aca="true" t="shared" si="0" ref="F10:F31">D10+E10</f>
        <v>1007</v>
      </c>
      <c r="G10" s="1578"/>
      <c r="I10" s="1149"/>
    </row>
    <row r="11" spans="1:9" ht="13.5" customHeight="1">
      <c r="A11" s="1882"/>
      <c r="B11" s="1449">
        <v>2</v>
      </c>
      <c r="C11" s="1115" t="s">
        <v>850</v>
      </c>
      <c r="D11" s="1230">
        <v>2500</v>
      </c>
      <c r="E11" s="1028">
        <v>0</v>
      </c>
      <c r="F11" s="1029">
        <f t="shared" si="0"/>
        <v>2500</v>
      </c>
      <c r="I11" s="1149"/>
    </row>
    <row r="12" spans="1:9" ht="12.75">
      <c r="A12" s="1882"/>
      <c r="B12" s="1449">
        <v>3</v>
      </c>
      <c r="C12" s="1116" t="s">
        <v>861</v>
      </c>
      <c r="D12" s="1230">
        <v>2000</v>
      </c>
      <c r="E12" s="1028">
        <v>0</v>
      </c>
      <c r="F12" s="1029">
        <f t="shared" si="0"/>
        <v>2000</v>
      </c>
      <c r="I12" s="1149"/>
    </row>
    <row r="13" spans="1:13" ht="12.75">
      <c r="A13" s="1882"/>
      <c r="B13" s="263">
        <v>4</v>
      </c>
      <c r="C13" s="1117" t="s">
        <v>558</v>
      </c>
      <c r="D13" s="1230">
        <v>79900</v>
      </c>
      <c r="E13" s="1028">
        <v>0</v>
      </c>
      <c r="F13" s="1029">
        <f t="shared" si="0"/>
        <v>79900</v>
      </c>
      <c r="H13" s="1583"/>
      <c r="I13" s="1088"/>
      <c r="J13" s="1088"/>
      <c r="K13" s="1088"/>
      <c r="L13" s="1088"/>
      <c r="M13" s="1088"/>
    </row>
    <row r="14" spans="1:15" ht="12.75">
      <c r="A14" s="1882"/>
      <c r="B14" s="1449">
        <v>5</v>
      </c>
      <c r="C14" s="1116" t="s">
        <v>852</v>
      </c>
      <c r="D14" s="1230">
        <v>355150</v>
      </c>
      <c r="E14" s="1028">
        <v>0</v>
      </c>
      <c r="F14" s="1029">
        <f t="shared" si="0"/>
        <v>355150</v>
      </c>
      <c r="G14" s="1578"/>
      <c r="H14" s="1584"/>
      <c r="I14" s="1149"/>
      <c r="L14" s="1149"/>
      <c r="M14" s="1149"/>
      <c r="O14" s="1149"/>
    </row>
    <row r="15" spans="1:15" ht="12.75">
      <c r="A15" s="1882"/>
      <c r="B15" s="1449">
        <v>6</v>
      </c>
      <c r="C15" s="1116" t="s">
        <v>863</v>
      </c>
      <c r="D15" s="1230">
        <v>68273</v>
      </c>
      <c r="E15" s="1028">
        <f>133863-D15-78</f>
        <v>65512</v>
      </c>
      <c r="F15" s="1029">
        <f t="shared" si="0"/>
        <v>133785</v>
      </c>
      <c r="G15" s="1578"/>
      <c r="H15" s="1584"/>
      <c r="L15" s="1149"/>
      <c r="M15" s="1149"/>
      <c r="O15" s="1149"/>
    </row>
    <row r="16" spans="1:13" ht="14.25" customHeight="1">
      <c r="A16" s="1882"/>
      <c r="B16" s="263">
        <v>7</v>
      </c>
      <c r="C16" s="1117" t="s">
        <v>743</v>
      </c>
      <c r="D16" s="1230">
        <v>0</v>
      </c>
      <c r="E16" s="1028">
        <v>5210</v>
      </c>
      <c r="F16" s="1029">
        <f t="shared" si="0"/>
        <v>5210</v>
      </c>
      <c r="G16" s="1578"/>
      <c r="H16" s="1584"/>
      <c r="M16" s="1149"/>
    </row>
    <row r="17" spans="1:15" ht="27.75" customHeight="1">
      <c r="A17" s="1883"/>
      <c r="B17" s="1449">
        <v>8</v>
      </c>
      <c r="C17" s="1450" t="s">
        <v>864</v>
      </c>
      <c r="D17" s="1230">
        <v>0</v>
      </c>
      <c r="E17" s="1028">
        <f>446452-187330-5087</f>
        <v>254035</v>
      </c>
      <c r="F17" s="1029">
        <f t="shared" si="0"/>
        <v>254035</v>
      </c>
      <c r="H17" s="1584"/>
      <c r="I17" s="1149"/>
      <c r="J17" s="1149"/>
      <c r="K17" s="1149"/>
      <c r="L17" s="1149"/>
      <c r="M17" s="1149"/>
      <c r="N17" s="1149"/>
      <c r="O17" s="1149"/>
    </row>
    <row r="18" spans="1:9" ht="48">
      <c r="A18" s="1705" t="s">
        <v>1114</v>
      </c>
      <c r="B18" s="1449">
        <v>9</v>
      </c>
      <c r="C18" s="1700" t="s">
        <v>1112</v>
      </c>
      <c r="D18" s="1230">
        <v>131986</v>
      </c>
      <c r="E18" s="1028">
        <f>149329-131986-12425</f>
        <v>4918</v>
      </c>
      <c r="F18" s="1029">
        <f t="shared" si="0"/>
        <v>136904</v>
      </c>
      <c r="H18" s="1584"/>
      <c r="I18" s="1149"/>
    </row>
    <row r="19" spans="1:6" ht="63" customHeight="1">
      <c r="A19" s="1705" t="s">
        <v>1116</v>
      </c>
      <c r="B19" s="263">
        <v>10</v>
      </c>
      <c r="C19" s="1717" t="s">
        <v>1113</v>
      </c>
      <c r="D19" s="1230">
        <v>12946</v>
      </c>
      <c r="E19" s="1028">
        <f>29985-12946-2325</f>
        <v>14714</v>
      </c>
      <c r="F19" s="1029">
        <f t="shared" si="0"/>
        <v>27660</v>
      </c>
    </row>
    <row r="20" spans="1:6" ht="12.75">
      <c r="A20" s="1897" t="s">
        <v>1115</v>
      </c>
      <c r="B20" s="1449">
        <v>11</v>
      </c>
      <c r="C20" s="1115" t="s">
        <v>853</v>
      </c>
      <c r="D20" s="1230">
        <v>500</v>
      </c>
      <c r="E20" s="1028">
        <v>0</v>
      </c>
      <c r="F20" s="1029">
        <f t="shared" si="0"/>
        <v>500</v>
      </c>
    </row>
    <row r="21" spans="1:6" ht="12.75">
      <c r="A21" s="1898"/>
      <c r="B21" s="1449">
        <v>12</v>
      </c>
      <c r="C21" s="1115" t="s">
        <v>559</v>
      </c>
      <c r="D21" s="1230">
        <v>1513</v>
      </c>
      <c r="E21" s="1028">
        <v>0</v>
      </c>
      <c r="F21" s="1029">
        <f t="shared" si="0"/>
        <v>1513</v>
      </c>
    </row>
    <row r="22" spans="1:8" s="1088" customFormat="1" ht="13.5" customHeight="1">
      <c r="A22" s="1898"/>
      <c r="B22" s="263">
        <v>13</v>
      </c>
      <c r="C22" s="1115" t="s">
        <v>865</v>
      </c>
      <c r="D22" s="1230">
        <f>49775+10567+4951</f>
        <v>65293</v>
      </c>
      <c r="E22" s="1028">
        <v>0</v>
      </c>
      <c r="F22" s="1029">
        <f t="shared" si="0"/>
        <v>65293</v>
      </c>
      <c r="G22" s="1578"/>
      <c r="H22" s="1583"/>
    </row>
    <row r="23" spans="1:6" ht="25.5" customHeight="1">
      <c r="A23" s="1898"/>
      <c r="B23" s="1449">
        <v>14</v>
      </c>
      <c r="C23" s="1451" t="s">
        <v>866</v>
      </c>
      <c r="D23" s="1230">
        <v>14404</v>
      </c>
      <c r="E23" s="1028">
        <v>0</v>
      </c>
      <c r="F23" s="1029">
        <f t="shared" si="0"/>
        <v>14404</v>
      </c>
    </row>
    <row r="24" spans="1:6" ht="12.75">
      <c r="A24" s="1898"/>
      <c r="B24" s="1449">
        <v>15</v>
      </c>
      <c r="C24" s="1115" t="s">
        <v>856</v>
      </c>
      <c r="D24" s="1230">
        <v>0</v>
      </c>
      <c r="E24" s="1028">
        <v>3284</v>
      </c>
      <c r="F24" s="1029">
        <f t="shared" si="0"/>
        <v>3284</v>
      </c>
    </row>
    <row r="25" spans="1:6" ht="12.75">
      <c r="A25" s="1898"/>
      <c r="B25" s="263">
        <v>16</v>
      </c>
      <c r="C25" s="1117" t="s">
        <v>857</v>
      </c>
      <c r="D25" s="1230">
        <v>25879</v>
      </c>
      <c r="E25" s="1028">
        <f>26900-25879</f>
        <v>1021</v>
      </c>
      <c r="F25" s="1029">
        <f t="shared" si="0"/>
        <v>26900</v>
      </c>
    </row>
    <row r="26" spans="1:9" ht="12.75">
      <c r="A26" s="1898"/>
      <c r="B26" s="1449">
        <v>17</v>
      </c>
      <c r="C26" s="1116" t="s">
        <v>802</v>
      </c>
      <c r="D26" s="1230">
        <v>1219</v>
      </c>
      <c r="E26" s="1028">
        <v>0</v>
      </c>
      <c r="F26" s="1029">
        <f t="shared" si="0"/>
        <v>1219</v>
      </c>
      <c r="I26" s="1149"/>
    </row>
    <row r="27" spans="1:6" ht="12.75">
      <c r="A27" s="1898"/>
      <c r="B27" s="1449">
        <v>18</v>
      </c>
      <c r="C27" s="1116" t="s">
        <v>860</v>
      </c>
      <c r="D27" s="1230">
        <v>0</v>
      </c>
      <c r="E27" s="1028">
        <f>8076-190</f>
        <v>7886</v>
      </c>
      <c r="F27" s="1029">
        <f t="shared" si="0"/>
        <v>7886</v>
      </c>
    </row>
    <row r="28" spans="1:9" ht="12.75">
      <c r="A28" s="1898"/>
      <c r="B28" s="263">
        <v>19</v>
      </c>
      <c r="C28" s="1117" t="s">
        <v>803</v>
      </c>
      <c r="D28" s="1230">
        <v>1200</v>
      </c>
      <c r="E28" s="1028">
        <v>0</v>
      </c>
      <c r="F28" s="1029">
        <f t="shared" si="0"/>
        <v>1200</v>
      </c>
      <c r="I28" s="1149"/>
    </row>
    <row r="29" spans="1:6" ht="25.5">
      <c r="A29" s="1898"/>
      <c r="B29" s="1449">
        <v>20</v>
      </c>
      <c r="C29" s="1117" t="s">
        <v>868</v>
      </c>
      <c r="D29" s="1230">
        <v>0</v>
      </c>
      <c r="E29" s="1028">
        <v>23086</v>
      </c>
      <c r="F29" s="1029">
        <f t="shared" si="0"/>
        <v>23086</v>
      </c>
    </row>
    <row r="30" spans="1:6" ht="12.75">
      <c r="A30" s="1898"/>
      <c r="B30" s="1449">
        <v>21</v>
      </c>
      <c r="C30" s="1116" t="s">
        <v>869</v>
      </c>
      <c r="D30" s="1230">
        <v>0</v>
      </c>
      <c r="E30" s="1028">
        <v>21500</v>
      </c>
      <c r="F30" s="1029">
        <f t="shared" si="0"/>
        <v>21500</v>
      </c>
    </row>
    <row r="31" spans="1:6" ht="12.75">
      <c r="A31" s="1899"/>
      <c r="B31" s="263">
        <v>22</v>
      </c>
      <c r="C31" s="1032" t="s">
        <v>128</v>
      </c>
      <c r="D31" s="1230">
        <v>300000</v>
      </c>
      <c r="E31" s="1028">
        <v>0</v>
      </c>
      <c r="F31" s="1029">
        <f t="shared" si="0"/>
        <v>300000</v>
      </c>
    </row>
    <row r="32" spans="1:6" ht="6.75" customHeight="1">
      <c r="A32" s="1703"/>
      <c r="B32" s="1030"/>
      <c r="C32" s="1032"/>
      <c r="D32" s="1231"/>
      <c r="E32" s="1033"/>
      <c r="F32" s="1034"/>
    </row>
    <row r="33" spans="1:6" ht="12.75">
      <c r="A33" s="1706"/>
      <c r="B33" s="1035" t="s">
        <v>129</v>
      </c>
      <c r="C33" s="1036" t="s">
        <v>130</v>
      </c>
      <c r="D33" s="1229">
        <f>SUM(D34:D34)</f>
        <v>0</v>
      </c>
      <c r="E33" s="1024">
        <f>SUM(E34:E34)</f>
        <v>50</v>
      </c>
      <c r="F33" s="1037">
        <f>D33+E33</f>
        <v>50</v>
      </c>
    </row>
    <row r="34" spans="1:7" ht="12.75">
      <c r="A34" s="1702"/>
      <c r="B34" s="1027" t="s">
        <v>312</v>
      </c>
      <c r="C34" s="1115" t="s">
        <v>52</v>
      </c>
      <c r="D34" s="1232">
        <v>0</v>
      </c>
      <c r="E34" s="1028">
        <v>50</v>
      </c>
      <c r="F34" s="1029">
        <v>50</v>
      </c>
      <c r="G34" s="1578"/>
    </row>
    <row r="35" spans="1:6" ht="12.75">
      <c r="A35" s="1867" t="s">
        <v>131</v>
      </c>
      <c r="B35" s="1868"/>
      <c r="C35" s="1868"/>
      <c r="D35" s="1233">
        <f>D9+D33</f>
        <v>1063770</v>
      </c>
      <c r="E35" s="1025">
        <f>E9+E33</f>
        <v>401216</v>
      </c>
      <c r="F35" s="1037">
        <f>F9+F33</f>
        <v>1464986</v>
      </c>
    </row>
    <row r="36" spans="1:6" ht="6.75" customHeight="1">
      <c r="A36" s="1707"/>
      <c r="B36" s="1039"/>
      <c r="C36" s="1039"/>
      <c r="D36" s="1234"/>
      <c r="E36" s="1040"/>
      <c r="F36" s="1041"/>
    </row>
    <row r="37" spans="1:6" ht="12.75">
      <c r="A37" s="1890" t="s">
        <v>132</v>
      </c>
      <c r="B37" s="1891"/>
      <c r="C37" s="1023" t="s">
        <v>377</v>
      </c>
      <c r="D37" s="1235"/>
      <c r="E37" s="1033"/>
      <c r="F37" s="1034"/>
    </row>
    <row r="38" spans="1:6" ht="9" customHeight="1">
      <c r="A38" s="1701"/>
      <c r="B38" s="1031"/>
      <c r="C38" s="1042"/>
      <c r="D38" s="1235"/>
      <c r="E38" s="1033"/>
      <c r="F38" s="1034"/>
    </row>
    <row r="39" spans="1:6" ht="12.75">
      <c r="A39" s="1701"/>
      <c r="B39" s="1022" t="s">
        <v>126</v>
      </c>
      <c r="C39" s="1023" t="s">
        <v>460</v>
      </c>
      <c r="D39" s="1233">
        <f>SUM(D40:D44)</f>
        <v>31026</v>
      </c>
      <c r="E39" s="1025">
        <f>SUM(E40:E44)</f>
        <v>114335</v>
      </c>
      <c r="F39" s="1037">
        <f>SUM(F40:F44)</f>
        <v>145361</v>
      </c>
    </row>
    <row r="40" spans="1:6" ht="12.75">
      <c r="A40" s="1900" t="s">
        <v>1115</v>
      </c>
      <c r="B40" s="263">
        <v>1</v>
      </c>
      <c r="C40" s="264" t="s">
        <v>567</v>
      </c>
      <c r="D40" s="1232">
        <v>6771</v>
      </c>
      <c r="E40" s="1028">
        <v>0</v>
      </c>
      <c r="F40" s="1029">
        <f>D40+E40</f>
        <v>6771</v>
      </c>
    </row>
    <row r="41" spans="1:6" ht="12.75">
      <c r="A41" s="1901"/>
      <c r="B41" s="1449">
        <v>2</v>
      </c>
      <c r="C41" s="1116" t="s">
        <v>841</v>
      </c>
      <c r="D41" s="1232">
        <v>24255</v>
      </c>
      <c r="E41" s="1028">
        <f>124400-24255</f>
        <v>100145</v>
      </c>
      <c r="F41" s="1029">
        <f>D41+E41</f>
        <v>124400</v>
      </c>
    </row>
    <row r="42" spans="1:6" ht="25.5">
      <c r="A42" s="1901"/>
      <c r="B42" s="1449">
        <v>3</v>
      </c>
      <c r="C42" s="1450" t="s">
        <v>842</v>
      </c>
      <c r="D42" s="1232">
        <v>0</v>
      </c>
      <c r="E42" s="1028">
        <v>9962</v>
      </c>
      <c r="F42" s="1029">
        <f>D42+E42</f>
        <v>9962</v>
      </c>
    </row>
    <row r="43" spans="1:6" ht="12.75">
      <c r="A43" s="1901"/>
      <c r="B43" s="1449">
        <v>4</v>
      </c>
      <c r="C43" s="1116" t="s">
        <v>843</v>
      </c>
      <c r="D43" s="1232">
        <v>0</v>
      </c>
      <c r="E43" s="1028">
        <v>1728</v>
      </c>
      <c r="F43" s="1029">
        <f>D43+E43</f>
        <v>1728</v>
      </c>
    </row>
    <row r="44" spans="1:6" ht="14.25" customHeight="1">
      <c r="A44" s="1902"/>
      <c r="B44" s="1449">
        <v>5</v>
      </c>
      <c r="C44" s="1116" t="s">
        <v>846</v>
      </c>
      <c r="D44" s="1232">
        <v>0</v>
      </c>
      <c r="E44" s="1028">
        <v>2500</v>
      </c>
      <c r="F44" s="1029">
        <f>D44+E44</f>
        <v>2500</v>
      </c>
    </row>
    <row r="45" spans="1:6" ht="8.25" customHeight="1">
      <c r="A45" s="1702"/>
      <c r="B45" s="1043"/>
      <c r="C45" s="1044"/>
      <c r="D45" s="1232"/>
      <c r="E45" s="1028"/>
      <c r="F45" s="1029"/>
    </row>
    <row r="46" spans="1:8" s="1016" customFormat="1" ht="10.5" customHeight="1">
      <c r="A46" s="1708"/>
      <c r="B46" s="1035" t="s">
        <v>129</v>
      </c>
      <c r="C46" s="1453" t="s">
        <v>462</v>
      </c>
      <c r="D46" s="1233">
        <f>D47</f>
        <v>397</v>
      </c>
      <c r="E46" s="1025">
        <f>E47</f>
        <v>3</v>
      </c>
      <c r="F46" s="1037">
        <f>D46+E46</f>
        <v>400</v>
      </c>
      <c r="G46" s="1579"/>
      <c r="H46" s="1585"/>
    </row>
    <row r="47" spans="1:7" ht="23.25" customHeight="1">
      <c r="A47" s="1709" t="s">
        <v>1115</v>
      </c>
      <c r="B47" s="1030" t="s">
        <v>312</v>
      </c>
      <c r="C47" s="1452" t="s">
        <v>46</v>
      </c>
      <c r="D47" s="1232">
        <v>397</v>
      </c>
      <c r="E47" s="1028">
        <v>3</v>
      </c>
      <c r="F47" s="1029">
        <v>400</v>
      </c>
      <c r="G47" s="1578"/>
    </row>
    <row r="48" spans="1:6" ht="12.75">
      <c r="A48" s="1869" t="s">
        <v>47</v>
      </c>
      <c r="B48" s="1870"/>
      <c r="C48" s="1871"/>
      <c r="D48" s="1233">
        <f>D39+D46</f>
        <v>31423</v>
      </c>
      <c r="E48" s="1025">
        <f>E39+E46</f>
        <v>114338</v>
      </c>
      <c r="F48" s="1037">
        <f>+F39+F46</f>
        <v>145761</v>
      </c>
    </row>
    <row r="49" spans="1:6" ht="7.5" customHeight="1">
      <c r="A49" s="1710"/>
      <c r="B49" s="1045"/>
      <c r="C49" s="1045"/>
      <c r="D49" s="1234"/>
      <c r="E49" s="1040"/>
      <c r="F49" s="1041"/>
    </row>
    <row r="50" spans="1:6" ht="12.75">
      <c r="A50" s="1893" t="s">
        <v>133</v>
      </c>
      <c r="B50" s="1894"/>
      <c r="C50" s="1023" t="s">
        <v>134</v>
      </c>
      <c r="D50" s="1236"/>
      <c r="E50" s="1033"/>
      <c r="F50" s="1034"/>
    </row>
    <row r="51" spans="1:6" ht="9" customHeight="1">
      <c r="A51" s="1701"/>
      <c r="B51" s="1031"/>
      <c r="C51" s="1042"/>
      <c r="D51" s="1236"/>
      <c r="E51" s="1033"/>
      <c r="F51" s="1034"/>
    </row>
    <row r="52" spans="1:9" ht="12.75">
      <c r="A52" s="1701"/>
      <c r="B52" s="1022" t="s">
        <v>135</v>
      </c>
      <c r="C52" s="1023" t="s">
        <v>460</v>
      </c>
      <c r="D52" s="1233">
        <f>SUM(D53:D59)</f>
        <v>33858</v>
      </c>
      <c r="E52" s="1025">
        <f>SUM(E53:E59)</f>
        <v>544</v>
      </c>
      <c r="F52" s="1037">
        <f>SUM(F53:F59)</f>
        <v>34402</v>
      </c>
      <c r="I52" s="1149"/>
    </row>
    <row r="53" spans="1:9" ht="12.75">
      <c r="A53" s="1900" t="s">
        <v>1115</v>
      </c>
      <c r="B53" s="1449" t="s">
        <v>312</v>
      </c>
      <c r="C53" s="1118" t="s">
        <v>527</v>
      </c>
      <c r="D53" s="1232">
        <v>3529</v>
      </c>
      <c r="E53" s="1028">
        <f>4073-3529</f>
        <v>544</v>
      </c>
      <c r="F53" s="1029">
        <f aca="true" t="shared" si="1" ref="F53:F59">D53+E53</f>
        <v>4073</v>
      </c>
      <c r="I53" s="1149"/>
    </row>
    <row r="54" spans="1:9" ht="16.5" customHeight="1">
      <c r="A54" s="1901"/>
      <c r="B54" s="1449" t="s">
        <v>314</v>
      </c>
      <c r="C54" s="1118" t="s">
        <v>812</v>
      </c>
      <c r="D54" s="1232">
        <v>2000</v>
      </c>
      <c r="E54" s="1028">
        <v>0</v>
      </c>
      <c r="F54" s="1029">
        <f t="shared" si="1"/>
        <v>2000</v>
      </c>
      <c r="I54" s="1149"/>
    </row>
    <row r="55" spans="1:6" ht="12.75">
      <c r="A55" s="1901"/>
      <c r="B55" s="1449" t="s">
        <v>316</v>
      </c>
      <c r="C55" s="1118" t="s">
        <v>833</v>
      </c>
      <c r="D55" s="1232">
        <v>0</v>
      </c>
      <c r="E55" s="1028">
        <v>0</v>
      </c>
      <c r="F55" s="1029">
        <v>0</v>
      </c>
    </row>
    <row r="56" spans="1:6" ht="12.75">
      <c r="A56" s="1901"/>
      <c r="B56" s="1449" t="s">
        <v>318</v>
      </c>
      <c r="C56" s="1118" t="s">
        <v>834</v>
      </c>
      <c r="D56" s="1232">
        <v>0</v>
      </c>
      <c r="E56" s="1028">
        <v>0</v>
      </c>
      <c r="F56" s="1029">
        <f t="shared" si="1"/>
        <v>0</v>
      </c>
    </row>
    <row r="57" spans="1:6" ht="12.75">
      <c r="A57" s="1901"/>
      <c r="B57" s="1449" t="s">
        <v>320</v>
      </c>
      <c r="C57" s="1451" t="s">
        <v>1245</v>
      </c>
      <c r="D57" s="1232">
        <v>3850</v>
      </c>
      <c r="E57" s="1028">
        <v>0</v>
      </c>
      <c r="F57" s="1029">
        <f t="shared" si="1"/>
        <v>3850</v>
      </c>
    </row>
    <row r="58" spans="1:9" ht="12.75">
      <c r="A58" s="1901"/>
      <c r="B58" s="1449" t="s">
        <v>322</v>
      </c>
      <c r="C58" s="1451" t="s">
        <v>1244</v>
      </c>
      <c r="D58" s="1232">
        <v>3540</v>
      </c>
      <c r="E58" s="1028">
        <v>0</v>
      </c>
      <c r="F58" s="1029">
        <f t="shared" si="1"/>
        <v>3540</v>
      </c>
      <c r="I58" s="1149"/>
    </row>
    <row r="59" spans="1:9" ht="25.5">
      <c r="A59" s="1902"/>
      <c r="B59" s="1449" t="s">
        <v>346</v>
      </c>
      <c r="C59" s="1118" t="s">
        <v>838</v>
      </c>
      <c r="D59" s="1232">
        <v>20939</v>
      </c>
      <c r="E59" s="1028">
        <v>0</v>
      </c>
      <c r="F59" s="1029">
        <f t="shared" si="1"/>
        <v>20939</v>
      </c>
      <c r="I59" s="1149"/>
    </row>
    <row r="60" spans="1:6" ht="9.75" customHeight="1">
      <c r="A60" s="1711"/>
      <c r="B60" s="1047"/>
      <c r="C60" s="1048"/>
      <c r="D60" s="1237"/>
      <c r="E60" s="1038"/>
      <c r="F60" s="1049"/>
    </row>
    <row r="61" spans="1:10" ht="13.5" thickBot="1">
      <c r="A61" s="1872" t="s">
        <v>136</v>
      </c>
      <c r="B61" s="1873"/>
      <c r="C61" s="1874"/>
      <c r="D61" s="1238">
        <f>D52</f>
        <v>33858</v>
      </c>
      <c r="E61" s="1050">
        <f>E52</f>
        <v>544</v>
      </c>
      <c r="F61" s="1051">
        <f>F52</f>
        <v>34402</v>
      </c>
      <c r="J61" s="1149"/>
    </row>
    <row r="62" spans="1:6" ht="11.25" customHeight="1" thickTop="1">
      <c r="A62" s="1875" t="s">
        <v>137</v>
      </c>
      <c r="B62" s="1876"/>
      <c r="C62" s="1877"/>
      <c r="D62" s="1859">
        <f>D61+D48+D35</f>
        <v>1129051</v>
      </c>
      <c r="E62" s="1861">
        <f>E61+E48+E35</f>
        <v>516098</v>
      </c>
      <c r="F62" s="1863">
        <f>F61+F48+F35</f>
        <v>1645149</v>
      </c>
    </row>
    <row r="63" spans="1:11" ht="15" customHeight="1" thickBot="1">
      <c r="A63" s="1878"/>
      <c r="B63" s="1879"/>
      <c r="C63" s="1880"/>
      <c r="D63" s="1860"/>
      <c r="E63" s="1862"/>
      <c r="F63" s="1864"/>
      <c r="H63" s="1584"/>
      <c r="I63" s="1149"/>
      <c r="J63" s="1149"/>
      <c r="K63" s="1149"/>
    </row>
    <row r="64" spans="1:6" ht="13.5" thickTop="1">
      <c r="A64" s="1884" t="s">
        <v>138</v>
      </c>
      <c r="B64" s="1885"/>
      <c r="C64" s="1885"/>
      <c r="D64" s="1885"/>
      <c r="E64" s="1885"/>
      <c r="F64" s="1886"/>
    </row>
    <row r="65" spans="1:6" ht="12.75">
      <c r="A65" s="1865" t="s">
        <v>139</v>
      </c>
      <c r="B65" s="1892"/>
      <c r="C65" s="1052" t="s">
        <v>462</v>
      </c>
      <c r="D65" s="1239"/>
      <c r="E65" s="1053"/>
      <c r="F65" s="1054"/>
    </row>
    <row r="66" spans="1:8" s="1016" customFormat="1" ht="12.75">
      <c r="A66" s="1063"/>
      <c r="B66" s="1055" t="s">
        <v>312</v>
      </c>
      <c r="C66" s="1015" t="s">
        <v>489</v>
      </c>
      <c r="D66" s="1228"/>
      <c r="E66" s="1020"/>
      <c r="F66" s="1056"/>
      <c r="G66" s="1579"/>
      <c r="H66" s="1585"/>
    </row>
    <row r="67" spans="1:6" ht="12.75">
      <c r="A67" s="1059"/>
      <c r="B67" s="1003"/>
      <c r="C67" s="1003" t="s">
        <v>353</v>
      </c>
      <c r="D67" s="1240">
        <v>0</v>
      </c>
      <c r="E67" s="1057">
        <v>5</v>
      </c>
      <c r="F67" s="1058">
        <f>D67+E67</f>
        <v>5</v>
      </c>
    </row>
    <row r="68" spans="1:6" ht="12.75">
      <c r="A68" s="1059"/>
      <c r="B68" s="1003"/>
      <c r="C68" s="1003" t="s">
        <v>354</v>
      </c>
      <c r="D68" s="1240">
        <v>0</v>
      </c>
      <c r="E68" s="1057">
        <v>1</v>
      </c>
      <c r="F68" s="1058">
        <f>D68+E68</f>
        <v>1</v>
      </c>
    </row>
    <row r="69" spans="1:6" ht="12.75">
      <c r="A69" s="1059"/>
      <c r="B69" s="1003"/>
      <c r="C69" s="1003" t="s">
        <v>355</v>
      </c>
      <c r="D69" s="1240">
        <v>0</v>
      </c>
      <c r="E69" s="1057">
        <v>-6</v>
      </c>
      <c r="F69" s="1058">
        <f>D69+E69</f>
        <v>-6</v>
      </c>
    </row>
    <row r="70" spans="1:6" ht="12.75">
      <c r="A70" s="1059"/>
      <c r="B70" s="1003"/>
      <c r="C70" s="1003" t="s">
        <v>1286</v>
      </c>
      <c r="D70" s="1240">
        <v>0</v>
      </c>
      <c r="E70" s="1057">
        <v>0</v>
      </c>
      <c r="F70" s="1058">
        <f>D70+E70</f>
        <v>0</v>
      </c>
    </row>
    <row r="71" spans="1:8" s="1062" customFormat="1" ht="12.75">
      <c r="A71" s="1059"/>
      <c r="B71" s="1060"/>
      <c r="C71" s="1015" t="s">
        <v>361</v>
      </c>
      <c r="D71" s="1241">
        <f>SUM(D67:D70)</f>
        <v>0</v>
      </c>
      <c r="E71" s="1011">
        <f>SUM(E67:E70)</f>
        <v>0</v>
      </c>
      <c r="F71" s="1061">
        <f>SUM(F67:F70)</f>
        <v>0</v>
      </c>
      <c r="G71" s="1577"/>
      <c r="H71" s="1582"/>
    </row>
    <row r="72" spans="1:8" s="1016" customFormat="1" ht="12.75">
      <c r="A72" s="1063"/>
      <c r="B72" s="1055" t="s">
        <v>314</v>
      </c>
      <c r="C72" s="1015" t="s">
        <v>41</v>
      </c>
      <c r="D72" s="1241"/>
      <c r="E72" s="1011"/>
      <c r="F72" s="1061"/>
      <c r="G72" s="1579"/>
      <c r="H72" s="1585"/>
    </row>
    <row r="73" spans="1:6" ht="12.75">
      <c r="A73" s="1059"/>
      <c r="B73" s="1003"/>
      <c r="C73" s="1003" t="s">
        <v>353</v>
      </c>
      <c r="D73" s="1240">
        <v>0</v>
      </c>
      <c r="E73" s="1057">
        <v>1260</v>
      </c>
      <c r="F73" s="1058">
        <f>SUM(D73:E73)</f>
        <v>1260</v>
      </c>
    </row>
    <row r="74" spans="1:6" ht="12.75">
      <c r="A74" s="1059"/>
      <c r="B74" s="1003"/>
      <c r="C74" s="1003" t="s">
        <v>354</v>
      </c>
      <c r="D74" s="1240">
        <v>0</v>
      </c>
      <c r="E74" s="1057">
        <v>458</v>
      </c>
      <c r="F74" s="1058">
        <f>SUM(D74:E74)</f>
        <v>458</v>
      </c>
    </row>
    <row r="75" spans="1:6" ht="12.75">
      <c r="A75" s="1059"/>
      <c r="B75" s="1003"/>
      <c r="C75" s="1003" t="s">
        <v>355</v>
      </c>
      <c r="D75" s="1240">
        <v>305</v>
      </c>
      <c r="E75" s="1057">
        <f>-305+2836</f>
        <v>2531</v>
      </c>
      <c r="F75" s="1058">
        <f>SUM(D75:E75)</f>
        <v>2836</v>
      </c>
    </row>
    <row r="76" spans="1:6" ht="12.75">
      <c r="A76" s="1059"/>
      <c r="B76" s="1003"/>
      <c r="C76" s="1003" t="s">
        <v>140</v>
      </c>
      <c r="D76" s="1240">
        <v>0</v>
      </c>
      <c r="E76" s="1057">
        <v>1755</v>
      </c>
      <c r="F76" s="1058">
        <f>SUM(D76:E76)</f>
        <v>1755</v>
      </c>
    </row>
    <row r="77" spans="1:8" s="1064" customFormat="1" ht="12.75">
      <c r="A77" s="1063"/>
      <c r="B77" s="1015"/>
      <c r="C77" s="1015" t="s">
        <v>361</v>
      </c>
      <c r="D77" s="1241">
        <f>SUM(D73:D76)</f>
        <v>305</v>
      </c>
      <c r="E77" s="1011">
        <f>SUM(E73:E76)</f>
        <v>6004</v>
      </c>
      <c r="F77" s="1061">
        <f>SUM(F73:F76)</f>
        <v>6309</v>
      </c>
      <c r="G77" s="1579"/>
      <c r="H77" s="1585"/>
    </row>
    <row r="78" spans="1:8" s="1064" customFormat="1" ht="12.75">
      <c r="A78" s="1063"/>
      <c r="B78" s="1015" t="s">
        <v>316</v>
      </c>
      <c r="C78" s="1015" t="s">
        <v>141</v>
      </c>
      <c r="D78" s="1228"/>
      <c r="E78" s="1020"/>
      <c r="F78" s="1056"/>
      <c r="G78" s="1579"/>
      <c r="H78" s="1585"/>
    </row>
    <row r="79" spans="1:6" ht="12.75">
      <c r="A79" s="1059"/>
      <c r="B79" s="1003"/>
      <c r="C79" s="1003" t="s">
        <v>353</v>
      </c>
      <c r="D79" s="1240">
        <v>557</v>
      </c>
      <c r="E79" s="1057">
        <f>-557+5035</f>
        <v>4478</v>
      </c>
      <c r="F79" s="1058">
        <f>SUM(D79:E79)</f>
        <v>5035</v>
      </c>
    </row>
    <row r="80" spans="1:6" ht="12.75">
      <c r="A80" s="1059"/>
      <c r="B80" s="1003"/>
      <c r="C80" s="1003" t="s">
        <v>354</v>
      </c>
      <c r="D80" s="1240">
        <v>150</v>
      </c>
      <c r="E80" s="1057">
        <f>-150+990</f>
        <v>840</v>
      </c>
      <c r="F80" s="1058">
        <f>SUM(D80:E80)</f>
        <v>990</v>
      </c>
    </row>
    <row r="81" spans="1:6" ht="12.75">
      <c r="A81" s="1059"/>
      <c r="B81" s="1003"/>
      <c r="C81" s="1003" t="s">
        <v>355</v>
      </c>
      <c r="D81" s="1240">
        <v>49</v>
      </c>
      <c r="E81" s="1057">
        <f>-49+2329</f>
        <v>2280</v>
      </c>
      <c r="F81" s="1058">
        <f>SUM(D81:E81)</f>
        <v>2329</v>
      </c>
    </row>
    <row r="82" spans="1:6" ht="12.75">
      <c r="A82" s="1059"/>
      <c r="B82" s="1003"/>
      <c r="C82" s="1003" t="s">
        <v>140</v>
      </c>
      <c r="D82" s="1240">
        <v>0</v>
      </c>
      <c r="E82" s="1057">
        <v>189</v>
      </c>
      <c r="F82" s="1058">
        <f>SUM(D82:E82)</f>
        <v>189</v>
      </c>
    </row>
    <row r="83" spans="1:8" s="1064" customFormat="1" ht="12.75">
      <c r="A83" s="1063"/>
      <c r="B83" s="1015"/>
      <c r="C83" s="1015" t="s">
        <v>361</v>
      </c>
      <c r="D83" s="1241">
        <f>SUM(D79:D82)</f>
        <v>756</v>
      </c>
      <c r="E83" s="1011">
        <f>SUM(E79:E82)</f>
        <v>7787</v>
      </c>
      <c r="F83" s="1061">
        <f>SUM(F79:F82)</f>
        <v>8543</v>
      </c>
      <c r="G83" s="1579"/>
      <c r="H83" s="1585"/>
    </row>
    <row r="84" spans="1:8" s="1064" customFormat="1" ht="12.75">
      <c r="A84" s="1063"/>
      <c r="B84" s="1015" t="s">
        <v>318</v>
      </c>
      <c r="C84" s="1015" t="s">
        <v>523</v>
      </c>
      <c r="D84" s="1228"/>
      <c r="E84" s="1020"/>
      <c r="F84" s="1056"/>
      <c r="G84" s="1579"/>
      <c r="H84" s="1585"/>
    </row>
    <row r="85" spans="1:6" ht="12.75">
      <c r="A85" s="1059"/>
      <c r="B85" s="1003"/>
      <c r="C85" s="1003" t="s">
        <v>353</v>
      </c>
      <c r="D85" s="1240">
        <v>0</v>
      </c>
      <c r="E85" s="1057">
        <v>679</v>
      </c>
      <c r="F85" s="1058">
        <f>SUM(D85:E85)</f>
        <v>679</v>
      </c>
    </row>
    <row r="86" spans="1:6" ht="12.75">
      <c r="A86" s="1059"/>
      <c r="B86" s="1003"/>
      <c r="C86" s="1003" t="s">
        <v>354</v>
      </c>
      <c r="D86" s="1240">
        <v>0</v>
      </c>
      <c r="E86" s="1057">
        <v>185</v>
      </c>
      <c r="F86" s="1058">
        <f>SUM(D86:E86)</f>
        <v>185</v>
      </c>
    </row>
    <row r="87" spans="1:6" ht="12.75">
      <c r="A87" s="1059"/>
      <c r="B87" s="1003"/>
      <c r="C87" s="1003" t="s">
        <v>355</v>
      </c>
      <c r="D87" s="1240">
        <v>705</v>
      </c>
      <c r="E87" s="1057">
        <f>-705+1212</f>
        <v>507</v>
      </c>
      <c r="F87" s="1058">
        <f>SUM(D87:E87)</f>
        <v>1212</v>
      </c>
    </row>
    <row r="88" spans="1:6" ht="12.75">
      <c r="A88" s="1059"/>
      <c r="B88" s="1003"/>
      <c r="C88" s="1003" t="s">
        <v>1286</v>
      </c>
      <c r="D88" s="1240"/>
      <c r="E88" s="1057">
        <v>-248</v>
      </c>
      <c r="F88" s="1058">
        <f>SUM(D88:E88)</f>
        <v>-248</v>
      </c>
    </row>
    <row r="89" spans="1:8" s="1064" customFormat="1" ht="12.75">
      <c r="A89" s="1063"/>
      <c r="B89" s="1015"/>
      <c r="C89" s="1015" t="s">
        <v>361</v>
      </c>
      <c r="D89" s="1241">
        <f>SUM(D85:D88)</f>
        <v>705</v>
      </c>
      <c r="E89" s="1011">
        <f>SUM(E85:E88)</f>
        <v>1123</v>
      </c>
      <c r="F89" s="1061">
        <f>SUM(D89:E89)</f>
        <v>1828</v>
      </c>
      <c r="G89" s="1579"/>
      <c r="H89" s="1585"/>
    </row>
    <row r="90" spans="1:8" s="1064" customFormat="1" ht="12.75">
      <c r="A90" s="1063"/>
      <c r="B90" s="1015" t="s">
        <v>320</v>
      </c>
      <c r="C90" s="1015" t="s">
        <v>516</v>
      </c>
      <c r="D90" s="1228"/>
      <c r="E90" s="1020"/>
      <c r="F90" s="1056"/>
      <c r="G90" s="1579"/>
      <c r="H90" s="1585"/>
    </row>
    <row r="91" spans="1:6" ht="12.75">
      <c r="A91" s="1059"/>
      <c r="B91" s="1003"/>
      <c r="C91" s="1003" t="s">
        <v>353</v>
      </c>
      <c r="D91" s="1240">
        <v>301</v>
      </c>
      <c r="E91" s="1057">
        <f>-301+534</f>
        <v>233</v>
      </c>
      <c r="F91" s="1058">
        <f>SUM(D91:E91)</f>
        <v>534</v>
      </c>
    </row>
    <row r="92" spans="1:6" ht="12.75">
      <c r="A92" s="1059"/>
      <c r="B92" s="1003"/>
      <c r="C92" s="1003" t="s">
        <v>354</v>
      </c>
      <c r="D92" s="1240">
        <v>81</v>
      </c>
      <c r="E92" s="1057">
        <f>-81+180</f>
        <v>99</v>
      </c>
      <c r="F92" s="1058">
        <f>SUM(D92:E92)</f>
        <v>180</v>
      </c>
    </row>
    <row r="93" spans="1:6" ht="12.75">
      <c r="A93" s="1059"/>
      <c r="B93" s="1003"/>
      <c r="C93" s="1003" t="s">
        <v>355</v>
      </c>
      <c r="D93" s="1240">
        <v>264</v>
      </c>
      <c r="E93" s="1057">
        <f>-264+488</f>
        <v>224</v>
      </c>
      <c r="F93" s="1058">
        <f>SUM(D93:E93)</f>
        <v>488</v>
      </c>
    </row>
    <row r="94" spans="1:6" ht="12.75">
      <c r="A94" s="1059"/>
      <c r="B94" s="1003"/>
      <c r="C94" s="1003" t="s">
        <v>1286</v>
      </c>
      <c r="D94" s="1240">
        <v>0</v>
      </c>
      <c r="E94" s="1057">
        <v>-51</v>
      </c>
      <c r="F94" s="1058">
        <f>SUM(D94:E94)</f>
        <v>-51</v>
      </c>
    </row>
    <row r="95" spans="1:8" s="1064" customFormat="1" ht="12.75">
      <c r="A95" s="1063"/>
      <c r="B95" s="1015"/>
      <c r="C95" s="1015" t="s">
        <v>361</v>
      </c>
      <c r="D95" s="1241">
        <f>SUM(D91:D94)</f>
        <v>646</v>
      </c>
      <c r="E95" s="1011">
        <f>SUM(E91:E94)</f>
        <v>505</v>
      </c>
      <c r="F95" s="1061">
        <f>SUM(D95:E95)</f>
        <v>1151</v>
      </c>
      <c r="G95" s="1579"/>
      <c r="H95" s="1585"/>
    </row>
    <row r="96" spans="1:8" s="1064" customFormat="1" ht="12.75">
      <c r="A96" s="1063"/>
      <c r="B96" s="1015" t="s">
        <v>322</v>
      </c>
      <c r="C96" s="1015" t="s">
        <v>556</v>
      </c>
      <c r="D96" s="1228"/>
      <c r="E96" s="1020"/>
      <c r="F96" s="1056"/>
      <c r="G96" s="1579"/>
      <c r="H96" s="1585"/>
    </row>
    <row r="97" spans="1:6" ht="12.75">
      <c r="A97" s="1059"/>
      <c r="B97" s="1003"/>
      <c r="C97" s="1003" t="s">
        <v>353</v>
      </c>
      <c r="D97" s="1240">
        <v>0</v>
      </c>
      <c r="E97" s="1057">
        <v>257</v>
      </c>
      <c r="F97" s="1058">
        <f>SUM(D97:E97)</f>
        <v>257</v>
      </c>
    </row>
    <row r="98" spans="1:6" ht="12.75">
      <c r="A98" s="1059"/>
      <c r="B98" s="1003"/>
      <c r="C98" s="1003" t="s">
        <v>354</v>
      </c>
      <c r="D98" s="1240">
        <v>0</v>
      </c>
      <c r="E98" s="1057">
        <v>119</v>
      </c>
      <c r="F98" s="1058">
        <f>SUM(D98:E98)</f>
        <v>119</v>
      </c>
    </row>
    <row r="99" spans="1:6" ht="12.75">
      <c r="A99" s="1059"/>
      <c r="B99" s="1003"/>
      <c r="C99" s="1003" t="s">
        <v>355</v>
      </c>
      <c r="D99" s="1240">
        <v>1036</v>
      </c>
      <c r="E99" s="1057">
        <f>-1036+1043</f>
        <v>7</v>
      </c>
      <c r="F99" s="1058">
        <f>SUM(D99:E99)</f>
        <v>1043</v>
      </c>
    </row>
    <row r="100" spans="1:6" ht="12.75">
      <c r="A100" s="1059"/>
      <c r="B100" s="1003"/>
      <c r="C100" s="1003" t="s">
        <v>45</v>
      </c>
      <c r="D100" s="1240">
        <v>0</v>
      </c>
      <c r="E100" s="1057">
        <v>1084</v>
      </c>
      <c r="F100" s="1058">
        <f>SUM(D100:E100)</f>
        <v>1084</v>
      </c>
    </row>
    <row r="101" spans="1:8" s="1064" customFormat="1" ht="12.75">
      <c r="A101" s="1063"/>
      <c r="B101" s="1015"/>
      <c r="C101" s="1015" t="s">
        <v>361</v>
      </c>
      <c r="D101" s="1241">
        <f>SUM(D97:D100)</f>
        <v>1036</v>
      </c>
      <c r="E101" s="1011">
        <f>SUM(E97:E100)</f>
        <v>1467</v>
      </c>
      <c r="F101" s="1061">
        <f>SUM(D101:E101)</f>
        <v>2503</v>
      </c>
      <c r="G101" s="1579"/>
      <c r="H101" s="1585"/>
    </row>
    <row r="102" spans="1:8" s="1064" customFormat="1" ht="12.75">
      <c r="A102" s="1063"/>
      <c r="B102" s="1015" t="s">
        <v>346</v>
      </c>
      <c r="C102" s="1015" t="s">
        <v>971</v>
      </c>
      <c r="D102" s="1228"/>
      <c r="E102" s="1020"/>
      <c r="F102" s="1056"/>
      <c r="G102" s="1579"/>
      <c r="H102" s="1585"/>
    </row>
    <row r="103" spans="1:6" ht="12.75">
      <c r="A103" s="1059"/>
      <c r="B103" s="1003"/>
      <c r="C103" s="1003" t="s">
        <v>353</v>
      </c>
      <c r="D103" s="1240">
        <v>452</v>
      </c>
      <c r="E103" s="1057">
        <v>943</v>
      </c>
      <c r="F103" s="1058">
        <f>SUM(D103:E103)</f>
        <v>1395</v>
      </c>
    </row>
    <row r="104" spans="1:6" ht="12.75">
      <c r="A104" s="1059"/>
      <c r="B104" s="1003"/>
      <c r="C104" s="1003" t="s">
        <v>354</v>
      </c>
      <c r="D104" s="1240">
        <v>0</v>
      </c>
      <c r="E104" s="1057">
        <v>539</v>
      </c>
      <c r="F104" s="1058">
        <f>SUM(D104:E104)</f>
        <v>539</v>
      </c>
    </row>
    <row r="105" spans="1:6" ht="12.75">
      <c r="A105" s="1059"/>
      <c r="B105" s="1003"/>
      <c r="C105" s="1003" t="s">
        <v>355</v>
      </c>
      <c r="D105" s="1240">
        <f>54+704</f>
        <v>758</v>
      </c>
      <c r="E105" s="1057">
        <v>40</v>
      </c>
      <c r="F105" s="1058">
        <f>SUM(D105:E105)</f>
        <v>798</v>
      </c>
    </row>
    <row r="106" spans="1:6" ht="12.75">
      <c r="A106" s="1059"/>
      <c r="B106" s="1003"/>
      <c r="C106" s="1003" t="s">
        <v>140</v>
      </c>
      <c r="D106" s="1240">
        <v>0</v>
      </c>
      <c r="E106" s="1057">
        <v>139</v>
      </c>
      <c r="F106" s="1058">
        <f>SUM(D106:E106)</f>
        <v>139</v>
      </c>
    </row>
    <row r="107" spans="1:8" s="1062" customFormat="1" ht="12.75">
      <c r="A107" s="1059"/>
      <c r="B107" s="1060"/>
      <c r="C107" s="1015" t="s">
        <v>361</v>
      </c>
      <c r="D107" s="1241">
        <f>SUM(D103:D106)</f>
        <v>1210</v>
      </c>
      <c r="E107" s="1011">
        <f>SUM(E103:E106)</f>
        <v>1661</v>
      </c>
      <c r="F107" s="1061">
        <f>SUM(D107:E107)</f>
        <v>2871</v>
      </c>
      <c r="G107" s="1577"/>
      <c r="H107" s="1582"/>
    </row>
    <row r="108" spans="1:9" s="1062" customFormat="1" ht="12.75">
      <c r="A108" s="1065"/>
      <c r="B108" s="1066"/>
      <c r="C108" s="1015" t="s">
        <v>142</v>
      </c>
      <c r="D108" s="1242">
        <f aca="true" t="shared" si="2" ref="D108:F111">D67+D73+D79+D85+D91+D97+D103</f>
        <v>1310</v>
      </c>
      <c r="E108" s="1067">
        <f t="shared" si="2"/>
        <v>7855</v>
      </c>
      <c r="F108" s="1068">
        <f t="shared" si="2"/>
        <v>9165</v>
      </c>
      <c r="G108" s="1577"/>
      <c r="H108" s="1584"/>
      <c r="I108" s="1477"/>
    </row>
    <row r="109" spans="1:9" s="1062" customFormat="1" ht="12.75">
      <c r="A109" s="1065"/>
      <c r="B109" s="1066"/>
      <c r="C109" s="1015" t="s">
        <v>143</v>
      </c>
      <c r="D109" s="1242">
        <f t="shared" si="2"/>
        <v>231</v>
      </c>
      <c r="E109" s="1067">
        <f t="shared" si="2"/>
        <v>2241</v>
      </c>
      <c r="F109" s="1068">
        <f t="shared" si="2"/>
        <v>2472</v>
      </c>
      <c r="G109" s="1577"/>
      <c r="H109" s="1582"/>
      <c r="I109" s="1477"/>
    </row>
    <row r="110" spans="1:8" s="1062" customFormat="1" ht="12.75">
      <c r="A110" s="1065"/>
      <c r="B110" s="1066"/>
      <c r="C110" s="1015" t="s">
        <v>144</v>
      </c>
      <c r="D110" s="1242">
        <f t="shared" si="2"/>
        <v>3117</v>
      </c>
      <c r="E110" s="1067">
        <f t="shared" si="2"/>
        <v>5583</v>
      </c>
      <c r="F110" s="1068">
        <f t="shared" si="2"/>
        <v>8700</v>
      </c>
      <c r="G110" s="1580"/>
      <c r="H110" s="1582"/>
    </row>
    <row r="111" spans="1:8" s="1062" customFormat="1" ht="13.5" thickBot="1">
      <c r="A111" s="1065"/>
      <c r="B111" s="1066"/>
      <c r="C111" s="1069" t="s">
        <v>145</v>
      </c>
      <c r="D111" s="1242">
        <f t="shared" si="2"/>
        <v>0</v>
      </c>
      <c r="E111" s="1067">
        <f>E70+E76+E82+E88+E94+E100+E106</f>
        <v>2868</v>
      </c>
      <c r="F111" s="1070">
        <f t="shared" si="2"/>
        <v>2868</v>
      </c>
      <c r="G111" s="1577"/>
      <c r="H111" s="1582"/>
    </row>
    <row r="112" spans="1:8" s="1075" customFormat="1" ht="14.25" thickBot="1" thickTop="1">
      <c r="A112" s="1071"/>
      <c r="B112" s="1072"/>
      <c r="C112" s="1072" t="s">
        <v>146</v>
      </c>
      <c r="D112" s="1243">
        <f>SUM(D108:D111)</f>
        <v>4658</v>
      </c>
      <c r="E112" s="1073">
        <f>SUM(E108:E111)</f>
        <v>18547</v>
      </c>
      <c r="F112" s="1074">
        <f>SUM(F108:F111)</f>
        <v>23205</v>
      </c>
      <c r="G112" s="1581"/>
      <c r="H112" s="1586"/>
    </row>
    <row r="113" spans="1:6" ht="13.5" thickTop="1">
      <c r="A113" s="1895" t="s">
        <v>147</v>
      </c>
      <c r="B113" s="1896"/>
      <c r="C113" s="1076" t="s">
        <v>148</v>
      </c>
      <c r="D113" s="1244"/>
      <c r="E113" s="1077"/>
      <c r="F113" s="1078"/>
    </row>
    <row r="114" spans="1:6" ht="12.75">
      <c r="A114" s="1059"/>
      <c r="B114" s="1003">
        <v>1</v>
      </c>
      <c r="C114" s="1046" t="s">
        <v>289</v>
      </c>
      <c r="D114" s="1240"/>
      <c r="E114" s="1057">
        <v>932</v>
      </c>
      <c r="F114" s="1058">
        <f aca="true" t="shared" si="3" ref="F114:F145">SUM(D114:E114)</f>
        <v>932</v>
      </c>
    </row>
    <row r="115" spans="1:6" ht="12.75">
      <c r="A115" s="1059"/>
      <c r="B115" s="1003">
        <v>2</v>
      </c>
      <c r="C115" s="1003" t="s">
        <v>781</v>
      </c>
      <c r="D115" s="1240"/>
      <c r="E115" s="1057">
        <v>3</v>
      </c>
      <c r="F115" s="1058">
        <f t="shared" si="3"/>
        <v>3</v>
      </c>
    </row>
    <row r="116" spans="1:6" ht="12.75">
      <c r="A116" s="1059"/>
      <c r="B116" s="1003">
        <v>3</v>
      </c>
      <c r="C116" s="1003" t="s">
        <v>162</v>
      </c>
      <c r="D116" s="1246"/>
      <c r="E116" s="1057">
        <v>4</v>
      </c>
      <c r="F116" s="1058">
        <f t="shared" si="3"/>
        <v>4</v>
      </c>
    </row>
    <row r="117" spans="1:6" ht="12.75">
      <c r="A117" s="1059"/>
      <c r="B117" s="1003">
        <v>4</v>
      </c>
      <c r="C117" s="1003" t="s">
        <v>791</v>
      </c>
      <c r="D117" s="1246"/>
      <c r="E117" s="1057">
        <v>6</v>
      </c>
      <c r="F117" s="1058">
        <f t="shared" si="3"/>
        <v>6</v>
      </c>
    </row>
    <row r="118" spans="1:6" ht="12.75">
      <c r="A118" s="1059"/>
      <c r="B118" s="1003">
        <v>5</v>
      </c>
      <c r="C118" s="1003" t="s">
        <v>792</v>
      </c>
      <c r="D118" s="1246"/>
      <c r="E118" s="1057">
        <v>31</v>
      </c>
      <c r="F118" s="1058">
        <f t="shared" si="3"/>
        <v>31</v>
      </c>
    </row>
    <row r="119" spans="1:6" ht="12.75">
      <c r="A119" s="1059"/>
      <c r="B119" s="1003">
        <v>6</v>
      </c>
      <c r="C119" s="1003" t="s">
        <v>193</v>
      </c>
      <c r="D119" s="1240"/>
      <c r="E119" s="1057">
        <v>40</v>
      </c>
      <c r="F119" s="1058">
        <f t="shared" si="3"/>
        <v>40</v>
      </c>
    </row>
    <row r="120" spans="1:6" ht="12.75">
      <c r="A120" s="1059"/>
      <c r="B120" s="1003">
        <v>7</v>
      </c>
      <c r="C120" s="1003" t="s">
        <v>501</v>
      </c>
      <c r="D120" s="1240"/>
      <c r="E120" s="1057">
        <v>46</v>
      </c>
      <c r="F120" s="1058">
        <f t="shared" si="3"/>
        <v>46</v>
      </c>
    </row>
    <row r="121" spans="1:7" ht="12.75">
      <c r="A121" s="1059"/>
      <c r="B121" s="1003">
        <v>8</v>
      </c>
      <c r="C121" s="1003" t="s">
        <v>785</v>
      </c>
      <c r="D121" s="1240">
        <v>44</v>
      </c>
      <c r="E121" s="1057">
        <f>-44+56</f>
        <v>12</v>
      </c>
      <c r="F121" s="1058">
        <f t="shared" si="3"/>
        <v>56</v>
      </c>
      <c r="G121" s="1578"/>
    </row>
    <row r="122" spans="1:6" ht="12.75">
      <c r="A122" s="1059"/>
      <c r="B122" s="1003">
        <v>9</v>
      </c>
      <c r="C122" s="1003" t="s">
        <v>502</v>
      </c>
      <c r="D122" s="1240"/>
      <c r="E122" s="1057">
        <v>90</v>
      </c>
      <c r="F122" s="1058">
        <f t="shared" si="3"/>
        <v>90</v>
      </c>
    </row>
    <row r="123" spans="1:6" ht="12.75">
      <c r="A123" s="1059"/>
      <c r="B123" s="1003">
        <v>10</v>
      </c>
      <c r="C123" s="1046" t="s">
        <v>496</v>
      </c>
      <c r="D123" s="1245"/>
      <c r="E123" s="1482">
        <v>100</v>
      </c>
      <c r="F123" s="1058">
        <f t="shared" si="3"/>
        <v>100</v>
      </c>
    </row>
    <row r="124" spans="1:6" ht="12.75">
      <c r="A124" s="1059"/>
      <c r="B124" s="1003">
        <v>11</v>
      </c>
      <c r="C124" s="1046" t="s">
        <v>149</v>
      </c>
      <c r="D124" s="1240"/>
      <c r="E124" s="1057">
        <v>115</v>
      </c>
      <c r="F124" s="1058">
        <f t="shared" si="3"/>
        <v>115</v>
      </c>
    </row>
    <row r="125" spans="1:6" ht="12.75">
      <c r="A125" s="1059"/>
      <c r="B125" s="1003">
        <v>12</v>
      </c>
      <c r="C125" s="1046" t="s">
        <v>253</v>
      </c>
      <c r="D125" s="1240"/>
      <c r="E125" s="1057">
        <v>124</v>
      </c>
      <c r="F125" s="1058">
        <f t="shared" si="3"/>
        <v>124</v>
      </c>
    </row>
    <row r="126" spans="1:6" ht="12.75">
      <c r="A126" s="1059"/>
      <c r="B126" s="1003">
        <v>13</v>
      </c>
      <c r="C126" s="1003" t="s">
        <v>218</v>
      </c>
      <c r="D126" s="1240"/>
      <c r="E126" s="1057">
        <v>127</v>
      </c>
      <c r="F126" s="1058">
        <f t="shared" si="3"/>
        <v>127</v>
      </c>
    </row>
    <row r="127" spans="1:6" ht="12.75">
      <c r="A127" s="1059"/>
      <c r="B127" s="1003">
        <v>14</v>
      </c>
      <c r="C127" s="1080" t="s">
        <v>286</v>
      </c>
      <c r="D127" s="1245"/>
      <c r="E127" s="1482">
        <v>130</v>
      </c>
      <c r="F127" s="1058">
        <f t="shared" si="3"/>
        <v>130</v>
      </c>
    </row>
    <row r="128" spans="1:7" ht="12.75">
      <c r="A128" s="1059"/>
      <c r="B128" s="1003">
        <v>15</v>
      </c>
      <c r="C128" s="1003" t="s">
        <v>783</v>
      </c>
      <c r="D128" s="1240">
        <v>147</v>
      </c>
      <c r="E128" s="1057">
        <v>0</v>
      </c>
      <c r="F128" s="1058">
        <f t="shared" si="3"/>
        <v>147</v>
      </c>
      <c r="G128" s="1578"/>
    </row>
    <row r="129" spans="1:6" ht="12.75" customHeight="1">
      <c r="A129" s="1059"/>
      <c r="B129" s="1003">
        <v>16</v>
      </c>
      <c r="C129" s="1081" t="s">
        <v>790</v>
      </c>
      <c r="D129" s="1245"/>
      <c r="E129" s="1482">
        <v>150</v>
      </c>
      <c r="F129" s="1058">
        <f t="shared" si="3"/>
        <v>150</v>
      </c>
    </row>
    <row r="130" spans="1:6" ht="12.75">
      <c r="A130" s="1059"/>
      <c r="B130" s="1003">
        <v>17</v>
      </c>
      <c r="C130" s="1003" t="s">
        <v>7</v>
      </c>
      <c r="D130" s="1240">
        <v>0</v>
      </c>
      <c r="E130" s="1057">
        <v>166</v>
      </c>
      <c r="F130" s="1058">
        <f t="shared" si="3"/>
        <v>166</v>
      </c>
    </row>
    <row r="131" spans="1:6" ht="12.75">
      <c r="A131" s="1059"/>
      <c r="B131" s="1003">
        <v>18</v>
      </c>
      <c r="C131" s="1003" t="s">
        <v>284</v>
      </c>
      <c r="D131" s="1240"/>
      <c r="E131" s="1057">
        <v>176</v>
      </c>
      <c r="F131" s="1058">
        <f t="shared" si="3"/>
        <v>176</v>
      </c>
    </row>
    <row r="132" spans="1:6" ht="12.75">
      <c r="A132" s="1059"/>
      <c r="B132" s="1003">
        <v>19</v>
      </c>
      <c r="C132" s="1003" t="s">
        <v>490</v>
      </c>
      <c r="D132" s="1240">
        <v>0</v>
      </c>
      <c r="E132" s="1057">
        <v>190</v>
      </c>
      <c r="F132" s="1058">
        <f t="shared" si="3"/>
        <v>190</v>
      </c>
    </row>
    <row r="133" spans="1:6" ht="12.75">
      <c r="A133" s="1059"/>
      <c r="B133" s="1003">
        <v>20</v>
      </c>
      <c r="C133" s="1003" t="s">
        <v>76</v>
      </c>
      <c r="D133" s="1240"/>
      <c r="E133" s="1057">
        <v>500</v>
      </c>
      <c r="F133" s="1058">
        <f t="shared" si="3"/>
        <v>500</v>
      </c>
    </row>
    <row r="134" spans="1:6" ht="12.75">
      <c r="A134" s="1059"/>
      <c r="B134" s="1003">
        <v>21</v>
      </c>
      <c r="C134" s="1003" t="s">
        <v>504</v>
      </c>
      <c r="D134" s="1240"/>
      <c r="E134" s="1057">
        <v>220</v>
      </c>
      <c r="F134" s="1058">
        <f t="shared" si="3"/>
        <v>220</v>
      </c>
    </row>
    <row r="135" spans="1:6" ht="12.75">
      <c r="A135" s="1059"/>
      <c r="B135" s="1003">
        <v>22</v>
      </c>
      <c r="C135" s="1080" t="s">
        <v>192</v>
      </c>
      <c r="D135" s="1245"/>
      <c r="E135" s="1482">
        <v>228</v>
      </c>
      <c r="F135" s="1058">
        <f t="shared" si="3"/>
        <v>228</v>
      </c>
    </row>
    <row r="136" spans="1:7" ht="12.75">
      <c r="A136" s="1059"/>
      <c r="B136" s="1003">
        <v>23</v>
      </c>
      <c r="C136" s="1082" t="s">
        <v>194</v>
      </c>
      <c r="D136" s="1240">
        <v>228</v>
      </c>
      <c r="E136" s="1057">
        <f>-228+293</f>
        <v>65</v>
      </c>
      <c r="F136" s="1058">
        <f t="shared" si="3"/>
        <v>293</v>
      </c>
      <c r="G136" s="1578"/>
    </row>
    <row r="137" spans="1:6" ht="12.75">
      <c r="A137" s="1059"/>
      <c r="B137" s="1003">
        <v>24</v>
      </c>
      <c r="C137" s="1082" t="s">
        <v>793</v>
      </c>
      <c r="D137" s="1240"/>
      <c r="E137" s="1057">
        <v>300</v>
      </c>
      <c r="F137" s="1058">
        <f t="shared" si="3"/>
        <v>300</v>
      </c>
    </row>
    <row r="138" spans="1:6" ht="12.75">
      <c r="A138" s="1059"/>
      <c r="B138" s="1003">
        <v>25</v>
      </c>
      <c r="C138" s="1082" t="s">
        <v>174</v>
      </c>
      <c r="D138" s="1240"/>
      <c r="E138" s="1057">
        <v>316</v>
      </c>
      <c r="F138" s="1058">
        <f t="shared" si="3"/>
        <v>316</v>
      </c>
    </row>
    <row r="139" spans="1:7" ht="12.75">
      <c r="A139" s="1059"/>
      <c r="B139" s="1003">
        <v>26</v>
      </c>
      <c r="C139" s="1003" t="s">
        <v>151</v>
      </c>
      <c r="D139" s="1240">
        <v>326</v>
      </c>
      <c r="E139" s="1057">
        <v>0</v>
      </c>
      <c r="F139" s="1058">
        <f t="shared" si="3"/>
        <v>326</v>
      </c>
      <c r="G139" s="1578"/>
    </row>
    <row r="140" spans="1:7" ht="12.75">
      <c r="A140" s="1059"/>
      <c r="B140" s="1003">
        <v>27</v>
      </c>
      <c r="C140" s="1003" t="s">
        <v>188</v>
      </c>
      <c r="D140" s="1240">
        <v>55</v>
      </c>
      <c r="E140" s="1057">
        <f>-55+331</f>
        <v>276</v>
      </c>
      <c r="F140" s="1058">
        <f t="shared" si="3"/>
        <v>331</v>
      </c>
      <c r="G140" s="1578"/>
    </row>
    <row r="141" spans="1:6" ht="12.75">
      <c r="A141" s="1059"/>
      <c r="B141" s="1003">
        <v>28</v>
      </c>
      <c r="C141" s="1003" t="s">
        <v>782</v>
      </c>
      <c r="D141" s="1240"/>
      <c r="E141" s="1057">
        <v>420</v>
      </c>
      <c r="F141" s="1058">
        <f t="shared" si="3"/>
        <v>420</v>
      </c>
    </row>
    <row r="142" spans="1:6" ht="12.75">
      <c r="A142" s="1059"/>
      <c r="B142" s="1003">
        <v>29</v>
      </c>
      <c r="C142" s="1083" t="s">
        <v>177</v>
      </c>
      <c r="D142" s="1240"/>
      <c r="E142" s="1057">
        <v>422</v>
      </c>
      <c r="F142" s="1058">
        <f t="shared" si="3"/>
        <v>422</v>
      </c>
    </row>
    <row r="143" spans="1:6" ht="12.75" customHeight="1">
      <c r="A143" s="1059"/>
      <c r="B143" s="1003">
        <v>30</v>
      </c>
      <c r="C143" s="1083" t="s">
        <v>786</v>
      </c>
      <c r="D143" s="1240"/>
      <c r="E143" s="1057">
        <v>423</v>
      </c>
      <c r="F143" s="1058">
        <f t="shared" si="3"/>
        <v>423</v>
      </c>
    </row>
    <row r="144" spans="1:6" ht="12.75" customHeight="1">
      <c r="A144" s="1059"/>
      <c r="B144" s="1003">
        <v>31</v>
      </c>
      <c r="C144" s="1083" t="s">
        <v>499</v>
      </c>
      <c r="D144" s="1240"/>
      <c r="E144" s="1057">
        <v>434</v>
      </c>
      <c r="F144" s="1058">
        <f t="shared" si="3"/>
        <v>434</v>
      </c>
    </row>
    <row r="145" spans="1:6" ht="12.75" customHeight="1">
      <c r="A145" s="1059"/>
      <c r="B145" s="1003">
        <v>32</v>
      </c>
      <c r="C145" s="1083" t="s">
        <v>902</v>
      </c>
      <c r="D145" s="1240"/>
      <c r="E145" s="1057">
        <v>450</v>
      </c>
      <c r="F145" s="1058">
        <f t="shared" si="3"/>
        <v>450</v>
      </c>
    </row>
    <row r="146" spans="1:6" ht="12.75" customHeight="1">
      <c r="A146" s="1059"/>
      <c r="B146" s="1003">
        <v>33</v>
      </c>
      <c r="C146" s="1084" t="s">
        <v>411</v>
      </c>
      <c r="D146" s="1240"/>
      <c r="E146" s="1057">
        <v>458</v>
      </c>
      <c r="F146" s="1058">
        <f aca="true" t="shared" si="4" ref="F146:F177">SUM(D146:E146)</f>
        <v>458</v>
      </c>
    </row>
    <row r="147" spans="1:6" ht="12.75" customHeight="1">
      <c r="A147" s="1059"/>
      <c r="B147" s="1003">
        <v>34</v>
      </c>
      <c r="C147" s="1003" t="s">
        <v>491</v>
      </c>
      <c r="D147" s="1240"/>
      <c r="E147" s="1057">
        <v>475</v>
      </c>
      <c r="F147" s="1058">
        <f t="shared" si="4"/>
        <v>475</v>
      </c>
    </row>
    <row r="148" spans="1:7" ht="12.75" customHeight="1">
      <c r="A148" s="1059"/>
      <c r="B148" s="1003">
        <v>35</v>
      </c>
      <c r="C148" s="1085" t="s">
        <v>788</v>
      </c>
      <c r="D148" s="1240">
        <v>485</v>
      </c>
      <c r="E148" s="1057">
        <v>0</v>
      </c>
      <c r="F148" s="1058">
        <f t="shared" si="4"/>
        <v>485</v>
      </c>
      <c r="G148" s="1578"/>
    </row>
    <row r="149" spans="1:6" ht="12.75" customHeight="1">
      <c r="A149" s="1059"/>
      <c r="B149" s="1003">
        <v>36</v>
      </c>
      <c r="C149" s="1478" t="s">
        <v>73</v>
      </c>
      <c r="D149" s="1240"/>
      <c r="E149" s="1057">
        <v>498</v>
      </c>
      <c r="F149" s="1058">
        <f t="shared" si="4"/>
        <v>498</v>
      </c>
    </row>
    <row r="150" spans="1:6" ht="12.75" customHeight="1">
      <c r="A150" s="1059"/>
      <c r="B150" s="1003">
        <v>37</v>
      </c>
      <c r="C150" s="1086" t="s">
        <v>171</v>
      </c>
      <c r="D150" s="1240"/>
      <c r="E150" s="1057">
        <v>500</v>
      </c>
      <c r="F150" s="1058">
        <f t="shared" si="4"/>
        <v>500</v>
      </c>
    </row>
    <row r="151" spans="1:6" ht="12.75" customHeight="1">
      <c r="A151" s="1059"/>
      <c r="B151" s="1003">
        <v>38</v>
      </c>
      <c r="C151" s="1086" t="s">
        <v>492</v>
      </c>
      <c r="D151" s="1240"/>
      <c r="E151" s="1057">
        <v>500</v>
      </c>
      <c r="F151" s="1058">
        <f t="shared" si="4"/>
        <v>500</v>
      </c>
    </row>
    <row r="152" spans="1:7" ht="12.75" customHeight="1">
      <c r="A152" s="1059"/>
      <c r="B152" s="1003">
        <v>39</v>
      </c>
      <c r="C152" s="1003" t="s">
        <v>168</v>
      </c>
      <c r="D152" s="1240">
        <v>509</v>
      </c>
      <c r="E152" s="1057">
        <v>0</v>
      </c>
      <c r="F152" s="1058">
        <f t="shared" si="4"/>
        <v>509</v>
      </c>
      <c r="G152" s="1578"/>
    </row>
    <row r="153" spans="1:6" ht="12.75" customHeight="1">
      <c r="A153" s="1059"/>
      <c r="B153" s="1003">
        <v>40</v>
      </c>
      <c r="C153" s="1003" t="s">
        <v>161</v>
      </c>
      <c r="D153" s="1240"/>
      <c r="E153" s="1057">
        <v>529</v>
      </c>
      <c r="F153" s="1058">
        <f t="shared" si="4"/>
        <v>529</v>
      </c>
    </row>
    <row r="154" spans="1:6" ht="12.75" customHeight="1">
      <c r="A154" s="1059"/>
      <c r="B154" s="1003">
        <v>41</v>
      </c>
      <c r="C154" s="1003" t="s">
        <v>150</v>
      </c>
      <c r="D154" s="1240"/>
      <c r="E154" s="1057">
        <v>580</v>
      </c>
      <c r="F154" s="1058">
        <f t="shared" si="4"/>
        <v>580</v>
      </c>
    </row>
    <row r="155" spans="1:6" ht="12.75" customHeight="1">
      <c r="A155" s="1059"/>
      <c r="B155" s="1003">
        <v>42</v>
      </c>
      <c r="C155" s="1003" t="s">
        <v>481</v>
      </c>
      <c r="D155" s="1240"/>
      <c r="E155" s="1057">
        <v>600</v>
      </c>
      <c r="F155" s="1058">
        <f t="shared" si="4"/>
        <v>600</v>
      </c>
    </row>
    <row r="156" spans="1:7" ht="12.75">
      <c r="A156" s="1059"/>
      <c r="B156" s="1003">
        <v>43</v>
      </c>
      <c r="C156" s="1003" t="s">
        <v>166</v>
      </c>
      <c r="D156" s="1240">
        <v>620</v>
      </c>
      <c r="E156" s="1057">
        <v>0</v>
      </c>
      <c r="F156" s="1058">
        <f t="shared" si="4"/>
        <v>620</v>
      </c>
      <c r="G156" s="1578"/>
    </row>
    <row r="157" spans="1:7" ht="12.75">
      <c r="A157" s="1059"/>
      <c r="B157" s="1003">
        <v>44</v>
      </c>
      <c r="C157" s="1003" t="s">
        <v>172</v>
      </c>
      <c r="D157" s="1240">
        <v>637</v>
      </c>
      <c r="E157" s="1057">
        <v>0</v>
      </c>
      <c r="F157" s="1058">
        <f t="shared" si="4"/>
        <v>637</v>
      </c>
      <c r="G157" s="1578"/>
    </row>
    <row r="158" spans="1:6" ht="12.75">
      <c r="A158" s="1059"/>
      <c r="B158" s="1003">
        <v>45</v>
      </c>
      <c r="C158" s="988" t="s">
        <v>175</v>
      </c>
      <c r="D158" s="1240"/>
      <c r="E158" s="1057">
        <v>687</v>
      </c>
      <c r="F158" s="1058">
        <f t="shared" si="4"/>
        <v>687</v>
      </c>
    </row>
    <row r="159" spans="1:6" ht="12.75">
      <c r="A159" s="1059"/>
      <c r="B159" s="1003">
        <v>46</v>
      </c>
      <c r="C159" s="1003" t="s">
        <v>784</v>
      </c>
      <c r="D159" s="1240"/>
      <c r="E159" s="1057">
        <v>705</v>
      </c>
      <c r="F159" s="1058">
        <f t="shared" si="4"/>
        <v>705</v>
      </c>
    </row>
    <row r="160" spans="1:7" ht="12.75">
      <c r="A160" s="1059"/>
      <c r="B160" s="1003">
        <v>47</v>
      </c>
      <c r="C160" s="1003" t="s">
        <v>153</v>
      </c>
      <c r="D160" s="1240">
        <v>64</v>
      </c>
      <c r="E160" s="1057">
        <f>-64+730</f>
        <v>666</v>
      </c>
      <c r="F160" s="1058">
        <f t="shared" si="4"/>
        <v>730</v>
      </c>
      <c r="G160" s="1578"/>
    </row>
    <row r="161" spans="1:7" ht="12.75">
      <c r="A161" s="1059"/>
      <c r="B161" s="1003">
        <v>48</v>
      </c>
      <c r="C161" s="1003" t="s">
        <v>165</v>
      </c>
      <c r="D161" s="1240">
        <v>6</v>
      </c>
      <c r="E161" s="1057">
        <f>-6+784</f>
        <v>778</v>
      </c>
      <c r="F161" s="1058">
        <f t="shared" si="4"/>
        <v>784</v>
      </c>
      <c r="G161" s="1578"/>
    </row>
    <row r="162" spans="1:6" ht="12.75">
      <c r="A162" s="1059"/>
      <c r="B162" s="1003">
        <v>49</v>
      </c>
      <c r="C162" s="1003" t="s">
        <v>84</v>
      </c>
      <c r="D162" s="1240"/>
      <c r="E162" s="1057">
        <v>800</v>
      </c>
      <c r="F162" s="1058">
        <f t="shared" si="4"/>
        <v>800</v>
      </c>
    </row>
    <row r="163" spans="1:6" ht="12.75">
      <c r="A163" s="1059"/>
      <c r="B163" s="1003">
        <v>50</v>
      </c>
      <c r="C163" s="1046" t="s">
        <v>186</v>
      </c>
      <c r="D163" s="1240"/>
      <c r="E163" s="1057">
        <v>847</v>
      </c>
      <c r="F163" s="1058">
        <f t="shared" si="4"/>
        <v>847</v>
      </c>
    </row>
    <row r="164" spans="1:6" ht="12.75">
      <c r="A164" s="1059"/>
      <c r="B164" s="1003">
        <v>51</v>
      </c>
      <c r="C164" s="1003" t="s">
        <v>505</v>
      </c>
      <c r="D164" s="1240"/>
      <c r="E164" s="1057">
        <v>882</v>
      </c>
      <c r="F164" s="1058">
        <f t="shared" si="4"/>
        <v>882</v>
      </c>
    </row>
    <row r="165" spans="1:6" ht="12.75">
      <c r="A165" s="1059"/>
      <c r="B165" s="1003">
        <v>52</v>
      </c>
      <c r="C165" s="1003" t="s">
        <v>903</v>
      </c>
      <c r="D165" s="1240"/>
      <c r="E165" s="1057">
        <v>1316</v>
      </c>
      <c r="F165" s="1058">
        <f t="shared" si="4"/>
        <v>1316</v>
      </c>
    </row>
    <row r="166" spans="1:6" ht="12.75">
      <c r="A166" s="1059"/>
      <c r="B166" s="1003">
        <v>53</v>
      </c>
      <c r="C166" s="1003" t="s">
        <v>190</v>
      </c>
      <c r="D166" s="1240"/>
      <c r="E166" s="1057">
        <v>950</v>
      </c>
      <c r="F166" s="1058">
        <f t="shared" si="4"/>
        <v>950</v>
      </c>
    </row>
    <row r="167" spans="1:6" ht="12.75">
      <c r="A167" s="1059"/>
      <c r="B167" s="1003">
        <v>54</v>
      </c>
      <c r="C167" s="1046" t="s">
        <v>169</v>
      </c>
      <c r="D167" s="1240"/>
      <c r="E167" s="1057">
        <v>1028</v>
      </c>
      <c r="F167" s="1058">
        <f t="shared" si="4"/>
        <v>1028</v>
      </c>
    </row>
    <row r="168" spans="1:6" ht="12.75">
      <c r="A168" s="1059"/>
      <c r="B168" s="1003">
        <v>55</v>
      </c>
      <c r="C168" s="1003" t="s">
        <v>480</v>
      </c>
      <c r="D168" s="1240"/>
      <c r="E168" s="1057">
        <v>1276</v>
      </c>
      <c r="F168" s="1058">
        <f t="shared" si="4"/>
        <v>1276</v>
      </c>
    </row>
    <row r="169" spans="1:6" ht="12.75">
      <c r="A169" s="1059"/>
      <c r="B169" s="1003">
        <v>56</v>
      </c>
      <c r="C169" s="1003" t="s">
        <v>157</v>
      </c>
      <c r="D169" s="1240"/>
      <c r="E169" s="1057">
        <v>1281</v>
      </c>
      <c r="F169" s="1058">
        <f t="shared" si="4"/>
        <v>1281</v>
      </c>
    </row>
    <row r="170" spans="1:6" ht="13.5" customHeight="1">
      <c r="A170" s="1059"/>
      <c r="B170" s="1003">
        <v>57</v>
      </c>
      <c r="C170" s="1087" t="s">
        <v>2</v>
      </c>
      <c r="D170" s="1245"/>
      <c r="E170" s="1482">
        <v>1620</v>
      </c>
      <c r="F170" s="1058">
        <f t="shared" si="4"/>
        <v>1620</v>
      </c>
    </row>
    <row r="171" spans="1:7" ht="13.5" customHeight="1">
      <c r="A171" s="1059"/>
      <c r="B171" s="1003">
        <v>58</v>
      </c>
      <c r="C171" s="1003" t="s">
        <v>160</v>
      </c>
      <c r="D171" s="1240">
        <v>5</v>
      </c>
      <c r="E171" s="1057">
        <f>-5+1684</f>
        <v>1679</v>
      </c>
      <c r="F171" s="1058">
        <f t="shared" si="4"/>
        <v>1684</v>
      </c>
      <c r="G171" s="1578"/>
    </row>
    <row r="172" spans="1:6" ht="13.5" customHeight="1">
      <c r="A172" s="1059"/>
      <c r="B172" s="1003">
        <v>59</v>
      </c>
      <c r="C172" s="1080" t="s">
        <v>163</v>
      </c>
      <c r="D172" s="1247"/>
      <c r="E172" s="1481">
        <v>1761</v>
      </c>
      <c r="F172" s="1058">
        <f t="shared" si="4"/>
        <v>1761</v>
      </c>
    </row>
    <row r="173" spans="1:6" ht="12.75">
      <c r="A173" s="1059"/>
      <c r="B173" s="1003">
        <v>60</v>
      </c>
      <c r="C173" s="1003" t="s">
        <v>176</v>
      </c>
      <c r="D173" s="1240">
        <v>25</v>
      </c>
      <c r="E173" s="1057">
        <f>-25+1767</f>
        <v>1742</v>
      </c>
      <c r="F173" s="1058">
        <f t="shared" si="4"/>
        <v>1767</v>
      </c>
    </row>
    <row r="174" spans="1:7" ht="12.75">
      <c r="A174" s="1059"/>
      <c r="B174" s="1003">
        <v>61</v>
      </c>
      <c r="C174" s="1003" t="s">
        <v>796</v>
      </c>
      <c r="D174" s="1240">
        <f>1835+496</f>
        <v>2331</v>
      </c>
      <c r="E174" s="1057">
        <v>0</v>
      </c>
      <c r="F174" s="1058">
        <f t="shared" si="4"/>
        <v>2331</v>
      </c>
      <c r="G174" s="1578"/>
    </row>
    <row r="175" spans="1:6" ht="12.75">
      <c r="A175" s="1059"/>
      <c r="B175" s="1003">
        <v>62</v>
      </c>
      <c r="C175" s="1003" t="s">
        <v>159</v>
      </c>
      <c r="D175" s="1240"/>
      <c r="E175" s="1057">
        <v>2183</v>
      </c>
      <c r="F175" s="1058">
        <f t="shared" si="4"/>
        <v>2183</v>
      </c>
    </row>
    <row r="176" spans="1:7" ht="12.75">
      <c r="A176" s="1059"/>
      <c r="B176" s="1003">
        <v>63</v>
      </c>
      <c r="C176" s="1003" t="s">
        <v>1243</v>
      </c>
      <c r="D176" s="1240">
        <v>66</v>
      </c>
      <c r="E176" s="1057">
        <f>-66+2637</f>
        <v>2571</v>
      </c>
      <c r="F176" s="1058">
        <f t="shared" si="4"/>
        <v>2637</v>
      </c>
      <c r="G176" s="1578"/>
    </row>
    <row r="177" spans="1:8" ht="12.75">
      <c r="A177" s="1059"/>
      <c r="B177" s="1003">
        <v>64</v>
      </c>
      <c r="C177" s="1003" t="s">
        <v>164</v>
      </c>
      <c r="D177" s="1240"/>
      <c r="E177" s="1057">
        <v>2932</v>
      </c>
      <c r="F177" s="1058">
        <f t="shared" si="4"/>
        <v>2932</v>
      </c>
      <c r="H177" s="1583"/>
    </row>
    <row r="178" spans="1:6" ht="12.75">
      <c r="A178" s="1059"/>
      <c r="B178" s="1003">
        <v>65</v>
      </c>
      <c r="C178" s="1003" t="s">
        <v>154</v>
      </c>
      <c r="D178" s="1240"/>
      <c r="E178" s="1057">
        <v>2945</v>
      </c>
      <c r="F178" s="1058">
        <f aca="true" t="shared" si="5" ref="F178:F196">SUM(D178:E178)</f>
        <v>2945</v>
      </c>
    </row>
    <row r="179" spans="1:8" ht="12.75">
      <c r="A179" s="1059"/>
      <c r="B179" s="1003">
        <v>66</v>
      </c>
      <c r="C179" s="1003" t="s">
        <v>167</v>
      </c>
      <c r="D179" s="1240">
        <v>140</v>
      </c>
      <c r="E179" s="1057">
        <f>3203-140</f>
        <v>3063</v>
      </c>
      <c r="F179" s="1058">
        <f t="shared" si="5"/>
        <v>3203</v>
      </c>
      <c r="G179" s="1578"/>
      <c r="H179" s="1583"/>
    </row>
    <row r="180" spans="1:8" ht="12.75">
      <c r="A180" s="1059"/>
      <c r="B180" s="1003">
        <v>67</v>
      </c>
      <c r="C180" s="1003" t="s">
        <v>72</v>
      </c>
      <c r="D180" s="1240"/>
      <c r="E180" s="1057">
        <v>3220</v>
      </c>
      <c r="F180" s="1058">
        <f t="shared" si="5"/>
        <v>3220</v>
      </c>
      <c r="H180" s="1583"/>
    </row>
    <row r="181" spans="1:9" ht="12.75">
      <c r="A181" s="1059"/>
      <c r="B181" s="1003">
        <v>68</v>
      </c>
      <c r="C181" s="1479" t="s">
        <v>170</v>
      </c>
      <c r="D181" s="1240"/>
      <c r="E181" s="1057">
        <v>3280</v>
      </c>
      <c r="F181" s="1058">
        <f t="shared" si="5"/>
        <v>3280</v>
      </c>
      <c r="H181" s="1583"/>
      <c r="I181" s="1149"/>
    </row>
    <row r="182" spans="1:9" ht="12.75">
      <c r="A182" s="1059"/>
      <c r="B182" s="1003">
        <v>69</v>
      </c>
      <c r="C182" s="1080" t="s">
        <v>173</v>
      </c>
      <c r="D182" s="1245"/>
      <c r="E182" s="1482">
        <v>3467</v>
      </c>
      <c r="F182" s="1058">
        <f t="shared" si="5"/>
        <v>3467</v>
      </c>
      <c r="H182" s="1583"/>
      <c r="I182" s="1149"/>
    </row>
    <row r="183" spans="1:9" ht="12.75">
      <c r="A183" s="1059"/>
      <c r="B183" s="1003">
        <v>70</v>
      </c>
      <c r="C183" s="1003" t="s">
        <v>156</v>
      </c>
      <c r="D183" s="1240">
        <v>3113</v>
      </c>
      <c r="E183" s="1057">
        <f>-3113+3611</f>
        <v>498</v>
      </c>
      <c r="F183" s="1058">
        <f t="shared" si="5"/>
        <v>3611</v>
      </c>
      <c r="H183" s="1583"/>
      <c r="I183" s="1149"/>
    </row>
    <row r="184" spans="1:7" ht="12.75">
      <c r="A184" s="1059"/>
      <c r="B184" s="1003">
        <v>71</v>
      </c>
      <c r="C184" s="1079" t="s">
        <v>189</v>
      </c>
      <c r="D184" s="1240">
        <v>107</v>
      </c>
      <c r="E184" s="1057">
        <f>-107+3696</f>
        <v>3589</v>
      </c>
      <c r="F184" s="1058">
        <f t="shared" si="5"/>
        <v>3696</v>
      </c>
      <c r="G184" s="1578"/>
    </row>
    <row r="185" spans="1:6" ht="12.75">
      <c r="A185" s="1059"/>
      <c r="B185" s="1003">
        <v>72</v>
      </c>
      <c r="C185" s="1003" t="s">
        <v>789</v>
      </c>
      <c r="D185" s="1240"/>
      <c r="E185" s="1057">
        <v>4068</v>
      </c>
      <c r="F185" s="1058">
        <f t="shared" si="5"/>
        <v>4068</v>
      </c>
    </row>
    <row r="186" spans="1:7" ht="12.75">
      <c r="A186" s="1059"/>
      <c r="B186" s="1003">
        <v>73</v>
      </c>
      <c r="C186" s="1480" t="s">
        <v>187</v>
      </c>
      <c r="D186" s="1240">
        <v>72</v>
      </c>
      <c r="E186" s="1057">
        <f>-72+4095</f>
        <v>4023</v>
      </c>
      <c r="F186" s="1058">
        <f t="shared" si="5"/>
        <v>4095</v>
      </c>
      <c r="G186" s="1578"/>
    </row>
    <row r="187" spans="1:6" ht="12.75">
      <c r="A187" s="1059"/>
      <c r="B187" s="1003">
        <v>74</v>
      </c>
      <c r="C187" s="1087" t="s">
        <v>506</v>
      </c>
      <c r="D187" s="1245"/>
      <c r="E187" s="1482">
        <v>5000</v>
      </c>
      <c r="F187" s="1058">
        <f t="shared" si="5"/>
        <v>5000</v>
      </c>
    </row>
    <row r="188" spans="1:7" ht="12.75">
      <c r="A188" s="1059"/>
      <c r="B188" s="1003">
        <v>75</v>
      </c>
      <c r="C188" s="1079" t="s">
        <v>191</v>
      </c>
      <c r="D188" s="1240">
        <v>9</v>
      </c>
      <c r="E188" s="1057">
        <f>5511-9</f>
        <v>5502</v>
      </c>
      <c r="F188" s="1058">
        <f t="shared" si="5"/>
        <v>5511</v>
      </c>
      <c r="G188" s="1578"/>
    </row>
    <row r="189" spans="1:7" ht="12.75">
      <c r="A189" s="1059"/>
      <c r="B189" s="1003">
        <v>76</v>
      </c>
      <c r="C189" s="988" t="s">
        <v>152</v>
      </c>
      <c r="D189" s="1240">
        <v>8193</v>
      </c>
      <c r="E189" s="1057">
        <v>0</v>
      </c>
      <c r="F189" s="1058">
        <f t="shared" si="5"/>
        <v>8193</v>
      </c>
      <c r="G189" s="1578"/>
    </row>
    <row r="190" spans="1:7" ht="12.75">
      <c r="A190" s="1059"/>
      <c r="B190" s="1003">
        <v>77</v>
      </c>
      <c r="C190" s="1003" t="s">
        <v>410</v>
      </c>
      <c r="D190" s="1240">
        <f>20+31</f>
        <v>51</v>
      </c>
      <c r="E190" s="1057">
        <f>-31-20+8280</f>
        <v>8229</v>
      </c>
      <c r="F190" s="1058">
        <f t="shared" si="5"/>
        <v>8280</v>
      </c>
      <c r="G190" s="1578"/>
    </row>
    <row r="191" spans="1:6" ht="12.75">
      <c r="A191" s="1059"/>
      <c r="B191" s="1003">
        <v>78</v>
      </c>
      <c r="C191" s="1003" t="s">
        <v>577</v>
      </c>
      <c r="D191" s="1240"/>
      <c r="E191" s="1057">
        <v>8919</v>
      </c>
      <c r="F191" s="1058">
        <f t="shared" si="5"/>
        <v>8919</v>
      </c>
    </row>
    <row r="192" spans="1:6" ht="12.75">
      <c r="A192" s="1059"/>
      <c r="B192" s="1003">
        <v>79</v>
      </c>
      <c r="C192" s="1003" t="s">
        <v>357</v>
      </c>
      <c r="D192" s="1240"/>
      <c r="E192" s="1057">
        <v>15667</v>
      </c>
      <c r="F192" s="1058">
        <f t="shared" si="5"/>
        <v>15667</v>
      </c>
    </row>
    <row r="193" spans="1:7" ht="12.75">
      <c r="A193" s="1059"/>
      <c r="B193" s="1003">
        <v>80</v>
      </c>
      <c r="C193" s="1046" t="s">
        <v>787</v>
      </c>
      <c r="D193" s="1240">
        <v>19</v>
      </c>
      <c r="E193" s="1057">
        <f>-19+22683</f>
        <v>22664</v>
      </c>
      <c r="F193" s="1058">
        <f t="shared" si="5"/>
        <v>22683</v>
      </c>
      <c r="G193" s="1578"/>
    </row>
    <row r="194" spans="1:7" ht="12.75">
      <c r="A194" s="1059"/>
      <c r="B194" s="1003">
        <v>81</v>
      </c>
      <c r="C194" s="1003" t="s">
        <v>155</v>
      </c>
      <c r="D194" s="1240">
        <v>211</v>
      </c>
      <c r="E194" s="1057">
        <f>-211+22849-927-396</f>
        <v>21315</v>
      </c>
      <c r="F194" s="1058">
        <f t="shared" si="5"/>
        <v>21526</v>
      </c>
      <c r="G194" s="1578"/>
    </row>
    <row r="195" spans="1:7" ht="12.75">
      <c r="A195" s="1059"/>
      <c r="B195" s="1003">
        <v>82</v>
      </c>
      <c r="C195" s="1046" t="s">
        <v>158</v>
      </c>
      <c r="D195" s="1240">
        <v>157</v>
      </c>
      <c r="E195" s="1057">
        <f>-157+22952</f>
        <v>22795</v>
      </c>
      <c r="F195" s="1058">
        <f t="shared" si="5"/>
        <v>22952</v>
      </c>
      <c r="G195" s="1578"/>
    </row>
    <row r="196" spans="1:6" ht="13.5" thickBot="1">
      <c r="A196" s="1059"/>
      <c r="B196" s="1003">
        <v>83</v>
      </c>
      <c r="C196" s="1046" t="s">
        <v>913</v>
      </c>
      <c r="D196" s="1240"/>
      <c r="E196" s="1057">
        <v>0</v>
      </c>
      <c r="F196" s="1058">
        <f t="shared" si="5"/>
        <v>0</v>
      </c>
    </row>
    <row r="197" spans="1:9" ht="14.25" thickBot="1" thickTop="1">
      <c r="A197" s="1712"/>
      <c r="B197" s="1089"/>
      <c r="C197" s="1072" t="s">
        <v>178</v>
      </c>
      <c r="D197" s="1243">
        <f>SUM(D114:D196)</f>
        <v>17620</v>
      </c>
      <c r="E197" s="1073">
        <f>SUM(E114:E196)</f>
        <v>174584</v>
      </c>
      <c r="F197" s="1074">
        <f>SUM(F114:F196)</f>
        <v>192204</v>
      </c>
      <c r="I197" s="1149"/>
    </row>
    <row r="198" spans="1:9" ht="14.25" thickBot="1" thickTop="1">
      <c r="A198" s="1713"/>
      <c r="B198" s="1090"/>
      <c r="C198" s="1091"/>
      <c r="D198" s="1248"/>
      <c r="E198" s="1092"/>
      <c r="F198" s="1093"/>
      <c r="I198" s="1149"/>
    </row>
    <row r="199" spans="1:9" ht="14.25" thickBot="1" thickTop="1">
      <c r="A199" s="1887" t="s">
        <v>179</v>
      </c>
      <c r="B199" s="1888"/>
      <c r="C199" s="1889"/>
      <c r="D199" s="1249">
        <f>D197+D112</f>
        <v>22278</v>
      </c>
      <c r="E199" s="1094">
        <f>E197+E112-E111</f>
        <v>190263</v>
      </c>
      <c r="F199" s="1095">
        <f>F197+F112-F111</f>
        <v>212541</v>
      </c>
      <c r="I199" s="1149"/>
    </row>
    <row r="200" spans="1:9" ht="30" customHeight="1" thickTop="1">
      <c r="A200" s="1714"/>
      <c r="B200" s="1096"/>
      <c r="C200" s="1097" t="s">
        <v>180</v>
      </c>
      <c r="D200" s="1250">
        <f>'15'!H44</f>
        <v>164390</v>
      </c>
      <c r="E200" s="1098"/>
      <c r="F200" s="1099"/>
      <c r="I200" s="1149"/>
    </row>
    <row r="201" spans="1:6" ht="25.5">
      <c r="A201" s="1059"/>
      <c r="B201" s="1003"/>
      <c r="C201" s="1100" t="s">
        <v>181</v>
      </c>
      <c r="D201" s="1251">
        <f>'15'!H21</f>
        <v>986939</v>
      </c>
      <c r="E201" s="1101"/>
      <c r="F201" s="1102"/>
    </row>
    <row r="202" spans="1:6" ht="13.5" thickBot="1">
      <c r="A202" s="1715"/>
      <c r="B202" s="1103"/>
      <c r="C202" s="1104" t="s">
        <v>182</v>
      </c>
      <c r="D202" s="1252">
        <f>D200+D201</f>
        <v>1151329</v>
      </c>
      <c r="E202" s="1105"/>
      <c r="F202" s="1106"/>
    </row>
    <row r="203" spans="1:8" ht="18" customHeight="1" thickTop="1">
      <c r="A203" s="1714"/>
      <c r="B203" s="1096"/>
      <c r="C203" s="1107" t="s">
        <v>183</v>
      </c>
      <c r="D203" s="1253"/>
      <c r="E203" s="1098"/>
      <c r="F203" s="1099"/>
      <c r="H203" s="1584"/>
    </row>
    <row r="204" spans="1:6" ht="12.75">
      <c r="A204" s="1716"/>
      <c r="B204" s="1082"/>
      <c r="C204" s="1108" t="s">
        <v>184</v>
      </c>
      <c r="D204" s="1254">
        <f>'15'!F45</f>
        <v>22278</v>
      </c>
      <c r="E204" s="1077"/>
      <c r="F204" s="1078"/>
    </row>
    <row r="205" spans="1:8" ht="12.75">
      <c r="A205" s="1059"/>
      <c r="B205" s="1003"/>
      <c r="C205" s="1109" t="s">
        <v>185</v>
      </c>
      <c r="D205" s="1251">
        <f>D202-D204</f>
        <v>1129051</v>
      </c>
      <c r="E205" s="1101"/>
      <c r="F205" s="1102"/>
      <c r="H205" s="1584"/>
    </row>
    <row r="206" spans="1:9" ht="13.5" thickBot="1">
      <c r="A206" s="1715"/>
      <c r="B206" s="1103"/>
      <c r="C206" s="1104" t="s">
        <v>182</v>
      </c>
      <c r="D206" s="1252">
        <f>D204+D205</f>
        <v>1151329</v>
      </c>
      <c r="E206" s="1110"/>
      <c r="F206" s="1111"/>
      <c r="I206" s="1149"/>
    </row>
    <row r="207" spans="1:6" ht="19.5" customHeight="1" thickTop="1">
      <c r="A207" s="1714"/>
      <c r="B207" s="1096"/>
      <c r="C207" s="1107" t="s">
        <v>42</v>
      </c>
      <c r="D207" s="1253">
        <v>31403</v>
      </c>
      <c r="E207" s="1112"/>
      <c r="F207" s="1113"/>
    </row>
    <row r="208" spans="1:6" ht="13.5" thickBot="1">
      <c r="A208" s="1715"/>
      <c r="B208" s="1103"/>
      <c r="C208" s="1114" t="s">
        <v>43</v>
      </c>
      <c r="D208" s="1255">
        <f>D207-D183</f>
        <v>28290</v>
      </c>
      <c r="E208" s="1105"/>
      <c r="F208" s="1106"/>
    </row>
    <row r="209" ht="13.5" thickTop="1"/>
  </sheetData>
  <sheetProtection/>
  <mergeCells count="20">
    <mergeCell ref="A64:F64"/>
    <mergeCell ref="A199:C199"/>
    <mergeCell ref="A37:B37"/>
    <mergeCell ref="A8:B8"/>
    <mergeCell ref="A50:B50"/>
    <mergeCell ref="A65:B65"/>
    <mergeCell ref="A113:B113"/>
    <mergeCell ref="A20:A31"/>
    <mergeCell ref="A40:A44"/>
    <mergeCell ref="A53:A59"/>
    <mergeCell ref="A6:C6"/>
    <mergeCell ref="D62:D63"/>
    <mergeCell ref="E62:E63"/>
    <mergeCell ref="F62:F63"/>
    <mergeCell ref="A7:F7"/>
    <mergeCell ref="A35:C35"/>
    <mergeCell ref="A48:C48"/>
    <mergeCell ref="A61:C61"/>
    <mergeCell ref="A62:C63"/>
    <mergeCell ref="A9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67.125" style="1403" customWidth="1"/>
    <col min="2" max="2" width="9.875" style="1403" customWidth="1"/>
    <col min="3" max="3" width="7.125" style="1403" customWidth="1"/>
    <col min="4" max="4" width="6.25390625" style="1403" customWidth="1"/>
    <col min="5" max="5" width="7.00390625" style="1403" customWidth="1"/>
    <col min="6" max="6" width="6.25390625" style="1403" customWidth="1"/>
    <col min="7" max="7" width="6.00390625" style="1403" customWidth="1"/>
    <col min="8" max="9" width="9.25390625" style="1403" customWidth="1"/>
    <col min="10" max="10" width="12.75390625" style="1403" customWidth="1"/>
    <col min="11" max="16384" width="9.125" style="1403" customWidth="1"/>
  </cols>
  <sheetData>
    <row r="1" spans="1:10" ht="12.75">
      <c r="A1" s="1402"/>
      <c r="B1" s="1402"/>
      <c r="C1" s="1402"/>
      <c r="D1" s="1402"/>
      <c r="E1" s="1402"/>
      <c r="F1" s="1402"/>
      <c r="G1" s="1402"/>
      <c r="H1" s="1402"/>
      <c r="I1" s="1402"/>
      <c r="J1" s="1402"/>
    </row>
    <row r="2" spans="1:10" ht="9.75" customHeight="1">
      <c r="A2" s="1402"/>
      <c r="B2" s="1402"/>
      <c r="C2" s="1402"/>
      <c r="D2" s="1402"/>
      <c r="E2" s="1402"/>
      <c r="F2" s="1402"/>
      <c r="G2" s="1402"/>
      <c r="H2" s="1402"/>
      <c r="I2" s="1402"/>
      <c r="J2" s="1402"/>
    </row>
    <row r="3" spans="1:10" ht="10.5" customHeight="1">
      <c r="A3" s="1402"/>
      <c r="B3" s="1402"/>
      <c r="C3" s="1402"/>
      <c r="D3" s="1402"/>
      <c r="E3" s="1402"/>
      <c r="F3" s="1402"/>
      <c r="G3" s="1402"/>
      <c r="H3" s="1402"/>
      <c r="I3" s="1402"/>
      <c r="J3" s="1404"/>
    </row>
    <row r="4" spans="1:10" ht="9" customHeight="1" thickBot="1">
      <c r="A4" s="1402"/>
      <c r="B4" s="1402"/>
      <c r="C4" s="1402"/>
      <c r="D4" s="1402"/>
      <c r="E4" s="1402"/>
      <c r="F4" s="1402"/>
      <c r="G4" s="1402"/>
      <c r="H4" s="1402"/>
      <c r="I4" s="1402"/>
      <c r="J4" s="1402"/>
    </row>
    <row r="5" spans="1:11" ht="24.75" customHeight="1" thickBot="1">
      <c r="A5" s="1928" t="s">
        <v>1006</v>
      </c>
      <c r="B5" s="1929"/>
      <c r="C5" s="1929"/>
      <c r="D5" s="1929"/>
      <c r="E5" s="1929"/>
      <c r="F5" s="1929"/>
      <c r="G5" s="1930"/>
      <c r="H5" s="1405" t="s">
        <v>694</v>
      </c>
      <c r="I5" s="1406" t="s">
        <v>695</v>
      </c>
      <c r="J5" s="1407"/>
      <c r="K5" s="1408"/>
    </row>
    <row r="6" spans="1:11" ht="13.5" thickBot="1">
      <c r="A6" s="1931" t="s">
        <v>696</v>
      </c>
      <c r="B6" s="1932"/>
      <c r="C6" s="1932"/>
      <c r="D6" s="1932"/>
      <c r="E6" s="1932"/>
      <c r="F6" s="1932"/>
      <c r="G6" s="1932"/>
      <c r="H6" s="1409">
        <v>7000</v>
      </c>
      <c r="I6" s="1410">
        <f>B49</f>
        <v>4000</v>
      </c>
      <c r="J6" s="1407"/>
      <c r="K6" s="1411"/>
    </row>
    <row r="7" spans="1:11" ht="13.5" thickBot="1">
      <c r="A7" s="1931" t="s">
        <v>431</v>
      </c>
      <c r="B7" s="1932"/>
      <c r="C7" s="1932"/>
      <c r="D7" s="1932"/>
      <c r="E7" s="1932"/>
      <c r="F7" s="1932"/>
      <c r="G7" s="1932"/>
      <c r="H7" s="1409">
        <f>H8+H9+H10+H11+H12+H13+H14</f>
        <v>15447</v>
      </c>
      <c r="I7" s="1412">
        <f>I8+I9+I10+I11+I12+I13+I14</f>
        <v>11667</v>
      </c>
      <c r="J7" s="1407"/>
      <c r="K7" s="1411"/>
    </row>
    <row r="8" spans="1:11" ht="12.75">
      <c r="A8" s="1933" t="s">
        <v>697</v>
      </c>
      <c r="B8" s="1934"/>
      <c r="C8" s="1934"/>
      <c r="D8" s="1934"/>
      <c r="E8" s="1934"/>
      <c r="F8" s="1934"/>
      <c r="G8" s="1934"/>
      <c r="H8" s="1413">
        <v>800</v>
      </c>
      <c r="I8" s="1414">
        <f>C49</f>
        <v>800</v>
      </c>
      <c r="J8" s="1407"/>
      <c r="K8" s="1415"/>
    </row>
    <row r="9" spans="1:11" ht="24" customHeight="1">
      <c r="A9" s="1925" t="s">
        <v>698</v>
      </c>
      <c r="B9" s="1926"/>
      <c r="C9" s="1926"/>
      <c r="D9" s="1926"/>
      <c r="E9" s="1926"/>
      <c r="F9" s="1926"/>
      <c r="G9" s="1927"/>
      <c r="H9" s="1416">
        <v>2000</v>
      </c>
      <c r="I9" s="1417">
        <f>D49</f>
        <v>2000</v>
      </c>
      <c r="J9" s="1407"/>
      <c r="K9" s="1418"/>
    </row>
    <row r="10" spans="1:11" ht="12.75">
      <c r="A10" s="1903" t="s">
        <v>699</v>
      </c>
      <c r="B10" s="1904"/>
      <c r="C10" s="1904"/>
      <c r="D10" s="1904"/>
      <c r="E10" s="1904"/>
      <c r="F10" s="1904"/>
      <c r="G10" s="1904"/>
      <c r="H10" s="1416">
        <v>3000</v>
      </c>
      <c r="I10" s="1417">
        <f>E49</f>
        <v>300</v>
      </c>
      <c r="J10" s="1407"/>
      <c r="K10" s="1418"/>
    </row>
    <row r="11" spans="1:11" ht="12.75">
      <c r="A11" s="1903" t="s">
        <v>700</v>
      </c>
      <c r="B11" s="1904"/>
      <c r="C11" s="1904"/>
      <c r="D11" s="1904"/>
      <c r="E11" s="1904"/>
      <c r="F11" s="1904"/>
      <c r="G11" s="1904"/>
      <c r="H11" s="1416">
        <v>250</v>
      </c>
      <c r="I11" s="1417">
        <f>F49</f>
        <v>180</v>
      </c>
      <c r="J11" s="1407"/>
      <c r="K11" s="1418"/>
    </row>
    <row r="12" spans="1:11" ht="12" customHeight="1">
      <c r="A12" s="1925" t="s">
        <v>36</v>
      </c>
      <c r="B12" s="1926"/>
      <c r="C12" s="1926"/>
      <c r="D12" s="1926"/>
      <c r="E12" s="1926"/>
      <c r="F12" s="1926"/>
      <c r="G12" s="1927"/>
      <c r="H12" s="1416">
        <v>900</v>
      </c>
      <c r="I12" s="1417">
        <f>G49</f>
        <v>30</v>
      </c>
      <c r="J12" s="1407"/>
      <c r="K12" s="1418"/>
    </row>
    <row r="13" spans="1:11" ht="12.75">
      <c r="A13" s="1903" t="s">
        <v>701</v>
      </c>
      <c r="B13" s="1904"/>
      <c r="C13" s="1904"/>
      <c r="D13" s="1904"/>
      <c r="E13" s="1904"/>
      <c r="F13" s="1904"/>
      <c r="G13" s="1904"/>
      <c r="H13" s="1416">
        <v>250</v>
      </c>
      <c r="I13" s="1417">
        <f>H49</f>
        <v>110</v>
      </c>
      <c r="J13" s="1407"/>
      <c r="K13" s="1418"/>
    </row>
    <row r="14" spans="1:11" ht="22.5" customHeight="1" thickBot="1">
      <c r="A14" s="1913" t="s">
        <v>702</v>
      </c>
      <c r="B14" s="1914"/>
      <c r="C14" s="1914"/>
      <c r="D14" s="1914"/>
      <c r="E14" s="1914"/>
      <c r="F14" s="1914"/>
      <c r="G14" s="1915"/>
      <c r="H14" s="1419">
        <v>8247</v>
      </c>
      <c r="I14" s="1420">
        <f>I49</f>
        <v>8247</v>
      </c>
      <c r="J14" s="1421"/>
      <c r="K14" s="1418"/>
    </row>
    <row r="15" spans="1:10" ht="11.25" customHeight="1" thickBot="1">
      <c r="A15" s="1402"/>
      <c r="B15" s="1402"/>
      <c r="C15" s="1402"/>
      <c r="D15" s="1402"/>
      <c r="E15" s="1402"/>
      <c r="F15" s="1402"/>
      <c r="G15" s="1402"/>
      <c r="H15" s="1402"/>
      <c r="I15" s="1402"/>
      <c r="J15" s="1422"/>
    </row>
    <row r="16" spans="1:10" s="1423" customFormat="1" ht="12">
      <c r="A16" s="1907" t="s">
        <v>705</v>
      </c>
      <c r="B16" s="1910" t="s">
        <v>706</v>
      </c>
      <c r="C16" s="1916" t="s">
        <v>707</v>
      </c>
      <c r="D16" s="1917"/>
      <c r="E16" s="1917"/>
      <c r="F16" s="1917"/>
      <c r="G16" s="1917"/>
      <c r="H16" s="1917"/>
      <c r="I16" s="1918"/>
      <c r="J16" s="1905" t="s">
        <v>708</v>
      </c>
    </row>
    <row r="17" spans="1:10" s="1423" customFormat="1" ht="9" customHeight="1">
      <c r="A17" s="1908"/>
      <c r="B17" s="1911"/>
      <c r="C17" s="1919"/>
      <c r="D17" s="1920"/>
      <c r="E17" s="1920"/>
      <c r="F17" s="1920"/>
      <c r="G17" s="1920"/>
      <c r="H17" s="1920"/>
      <c r="I17" s="1921"/>
      <c r="J17" s="1906"/>
    </row>
    <row r="18" spans="1:10" s="1423" customFormat="1" ht="9" customHeight="1">
      <c r="A18" s="1908"/>
      <c r="B18" s="1911"/>
      <c r="C18" s="1922"/>
      <c r="D18" s="1923"/>
      <c r="E18" s="1923"/>
      <c r="F18" s="1923"/>
      <c r="G18" s="1923"/>
      <c r="H18" s="1923"/>
      <c r="I18" s="1924"/>
      <c r="J18" s="1906"/>
    </row>
    <row r="19" spans="1:10" s="1423" customFormat="1" ht="12.75" thickBot="1">
      <c r="A19" s="1909"/>
      <c r="B19" s="1912"/>
      <c r="C19" s="1424" t="s">
        <v>709</v>
      </c>
      <c r="D19" s="1424" t="s">
        <v>710</v>
      </c>
      <c r="E19" s="1424" t="s">
        <v>711</v>
      </c>
      <c r="F19" s="1424" t="s">
        <v>712</v>
      </c>
      <c r="G19" s="1424" t="s">
        <v>713</v>
      </c>
      <c r="H19" s="1425" t="s">
        <v>714</v>
      </c>
      <c r="I19" s="1426" t="s">
        <v>715</v>
      </c>
      <c r="J19" s="1427"/>
    </row>
    <row r="20" spans="1:10" s="1423" customFormat="1" ht="12.75" thickBot="1">
      <c r="A20" s="1428" t="s">
        <v>716</v>
      </c>
      <c r="B20" s="1772">
        <f>H6</f>
        <v>7000</v>
      </c>
      <c r="C20" s="1772">
        <f>H8</f>
        <v>800</v>
      </c>
      <c r="D20" s="1772">
        <f>H9</f>
        <v>2000</v>
      </c>
      <c r="E20" s="1772">
        <f>H10</f>
        <v>3000</v>
      </c>
      <c r="F20" s="1772">
        <f>H11</f>
        <v>250</v>
      </c>
      <c r="G20" s="1772">
        <f>H12</f>
        <v>900</v>
      </c>
      <c r="H20" s="1773">
        <f>H13</f>
        <v>250</v>
      </c>
      <c r="I20" s="1774">
        <f>H14</f>
        <v>8247</v>
      </c>
      <c r="J20" s="1775">
        <f>SUM(B20:I20)</f>
        <v>22447</v>
      </c>
    </row>
    <row r="21" spans="1:10" s="1423" customFormat="1" ht="12">
      <c r="A21" s="1429" t="s">
        <v>11</v>
      </c>
      <c r="B21" s="1776">
        <v>-3000</v>
      </c>
      <c r="C21" s="1776"/>
      <c r="D21" s="1777"/>
      <c r="E21" s="1777"/>
      <c r="F21" s="1777"/>
      <c r="G21" s="1777"/>
      <c r="H21" s="1778"/>
      <c r="I21" s="1779"/>
      <c r="J21" s="1430">
        <f>SUM(B21:I21)</f>
        <v>-3000</v>
      </c>
    </row>
    <row r="22" spans="1:10" s="1423" customFormat="1" ht="12">
      <c r="A22" s="1431" t="s">
        <v>12</v>
      </c>
      <c r="B22" s="1432"/>
      <c r="C22" s="1432"/>
      <c r="D22" s="1432"/>
      <c r="E22" s="1432">
        <v>-100</v>
      </c>
      <c r="F22" s="1432"/>
      <c r="G22" s="1432"/>
      <c r="H22" s="1433"/>
      <c r="I22" s="1434"/>
      <c r="J22" s="1430">
        <f aca="true" t="shared" si="0" ref="J22:J27">SUM(C22:I22)</f>
        <v>-100</v>
      </c>
    </row>
    <row r="23" spans="1:10" s="1423" customFormat="1" ht="12">
      <c r="A23" s="1431" t="s">
        <v>13</v>
      </c>
      <c r="B23" s="1432"/>
      <c r="C23" s="1432"/>
      <c r="D23" s="1432"/>
      <c r="E23" s="1432">
        <v>-150</v>
      </c>
      <c r="F23" s="1432"/>
      <c r="G23" s="1432"/>
      <c r="H23" s="1433"/>
      <c r="I23" s="1434"/>
      <c r="J23" s="1430">
        <f t="shared" si="0"/>
        <v>-150</v>
      </c>
    </row>
    <row r="24" spans="1:10" s="1423" customFormat="1" ht="12.75" customHeight="1">
      <c r="A24" s="1435" t="s">
        <v>11</v>
      </c>
      <c r="B24" s="1432"/>
      <c r="C24" s="1432"/>
      <c r="D24" s="1432"/>
      <c r="E24" s="1432">
        <v>-2450</v>
      </c>
      <c r="F24" s="1432"/>
      <c r="G24" s="1432"/>
      <c r="H24" s="1433"/>
      <c r="I24" s="1434"/>
      <c r="J24" s="1430">
        <f t="shared" si="0"/>
        <v>-2450</v>
      </c>
    </row>
    <row r="25" spans="1:10" s="1423" customFormat="1" ht="12">
      <c r="A25" s="1431" t="s">
        <v>14</v>
      </c>
      <c r="B25" s="1432"/>
      <c r="C25" s="1432"/>
      <c r="D25" s="1432"/>
      <c r="E25" s="1432">
        <v>-300</v>
      </c>
      <c r="F25" s="1432"/>
      <c r="G25" s="1432"/>
      <c r="H25" s="1433"/>
      <c r="I25" s="1434"/>
      <c r="J25" s="1430">
        <f t="shared" si="0"/>
        <v>-300</v>
      </c>
    </row>
    <row r="26" spans="1:10" s="1423" customFormat="1" ht="12">
      <c r="A26" s="1436" t="s">
        <v>15</v>
      </c>
      <c r="B26" s="1437"/>
      <c r="C26" s="1437"/>
      <c r="D26" s="1437"/>
      <c r="E26" s="1437">
        <v>300</v>
      </c>
      <c r="F26" s="1437"/>
      <c r="G26" s="1437"/>
      <c r="H26" s="1438"/>
      <c r="I26" s="1434"/>
      <c r="J26" s="1430">
        <f t="shared" si="0"/>
        <v>300</v>
      </c>
    </row>
    <row r="27" spans="1:10" s="1423" customFormat="1" ht="12">
      <c r="A27" s="1436" t="s">
        <v>16</v>
      </c>
      <c r="B27" s="1437"/>
      <c r="C27" s="1437"/>
      <c r="D27" s="1437"/>
      <c r="E27" s="1437"/>
      <c r="F27" s="1437">
        <v>-30</v>
      </c>
      <c r="G27" s="1437"/>
      <c r="H27" s="1438"/>
      <c r="I27" s="1434"/>
      <c r="J27" s="1430">
        <f t="shared" si="0"/>
        <v>-30</v>
      </c>
    </row>
    <row r="28" spans="1:10" s="1423" customFormat="1" ht="15" customHeight="1">
      <c r="A28" s="1436" t="s">
        <v>17</v>
      </c>
      <c r="B28" s="1437"/>
      <c r="C28" s="1437"/>
      <c r="D28" s="1437"/>
      <c r="E28" s="1437"/>
      <c r="F28" s="1437">
        <v>-40</v>
      </c>
      <c r="G28" s="1437"/>
      <c r="H28" s="1438"/>
      <c r="I28" s="1434"/>
      <c r="J28" s="1430"/>
    </row>
    <row r="29" spans="1:10" s="1439" customFormat="1" ht="11.25">
      <c r="A29" s="1436" t="s">
        <v>18</v>
      </c>
      <c r="B29" s="1437"/>
      <c r="C29" s="1437"/>
      <c r="D29" s="1437"/>
      <c r="E29" s="1437"/>
      <c r="F29" s="1437"/>
      <c r="G29" s="1437">
        <v>-50</v>
      </c>
      <c r="H29" s="1438"/>
      <c r="I29" s="1434"/>
      <c r="J29" s="1430">
        <f aca="true" t="shared" si="1" ref="J29:J47">SUM(C29:I29)</f>
        <v>-50</v>
      </c>
    </row>
    <row r="30" spans="1:10" s="1439" customFormat="1" ht="11.25">
      <c r="A30" s="1436" t="s">
        <v>19</v>
      </c>
      <c r="B30" s="1437"/>
      <c r="C30" s="1437"/>
      <c r="D30" s="1437"/>
      <c r="E30" s="1437"/>
      <c r="F30" s="1437"/>
      <c r="G30" s="1437">
        <v>-10</v>
      </c>
      <c r="H30" s="1438"/>
      <c r="I30" s="1434"/>
      <c r="J30" s="1430">
        <f t="shared" si="1"/>
        <v>-10</v>
      </c>
    </row>
    <row r="31" spans="1:11" ht="13.5" customHeight="1">
      <c r="A31" s="1440" t="s">
        <v>20</v>
      </c>
      <c r="B31" s="1437"/>
      <c r="C31" s="1441"/>
      <c r="D31" s="1441"/>
      <c r="E31" s="1441"/>
      <c r="F31" s="1441"/>
      <c r="G31" s="1441">
        <v>-50</v>
      </c>
      <c r="H31" s="1441"/>
      <c r="I31" s="1442"/>
      <c r="J31" s="1430">
        <f t="shared" si="1"/>
        <v>-50</v>
      </c>
      <c r="K31" s="1443"/>
    </row>
    <row r="32" spans="1:11" ht="13.5" customHeight="1">
      <c r="A32" s="1440" t="s">
        <v>21</v>
      </c>
      <c r="B32" s="1437"/>
      <c r="C32" s="1441"/>
      <c r="D32" s="1441"/>
      <c r="E32" s="1441"/>
      <c r="F32" s="1441"/>
      <c r="G32" s="1441">
        <v>-25</v>
      </c>
      <c r="H32" s="1441"/>
      <c r="I32" s="1442"/>
      <c r="J32" s="1430">
        <f t="shared" si="1"/>
        <v>-25</v>
      </c>
      <c r="K32" s="1443"/>
    </row>
    <row r="33" spans="1:11" ht="13.5" customHeight="1">
      <c r="A33" s="1440" t="s">
        <v>22</v>
      </c>
      <c r="B33" s="1437"/>
      <c r="C33" s="1441"/>
      <c r="D33" s="1441"/>
      <c r="E33" s="1441"/>
      <c r="F33" s="1441"/>
      <c r="G33" s="1441">
        <v>-40</v>
      </c>
      <c r="H33" s="1441"/>
      <c r="I33" s="1442"/>
      <c r="J33" s="1430">
        <f t="shared" si="1"/>
        <v>-40</v>
      </c>
      <c r="K33" s="1443"/>
    </row>
    <row r="34" spans="1:11" ht="13.5" customHeight="1">
      <c r="A34" s="1440" t="s">
        <v>23</v>
      </c>
      <c r="B34" s="1437"/>
      <c r="C34" s="1441"/>
      <c r="D34" s="1441"/>
      <c r="E34" s="1441"/>
      <c r="F34" s="1441"/>
      <c r="G34" s="1441">
        <v>-204</v>
      </c>
      <c r="H34" s="1441"/>
      <c r="I34" s="1442"/>
      <c r="J34" s="1430">
        <f t="shared" si="1"/>
        <v>-204</v>
      </c>
      <c r="K34" s="1443"/>
    </row>
    <row r="35" spans="1:11" ht="12.75" customHeight="1">
      <c r="A35" s="1440" t="s">
        <v>24</v>
      </c>
      <c r="B35" s="1437"/>
      <c r="C35" s="1441"/>
      <c r="D35" s="1441"/>
      <c r="E35" s="1441"/>
      <c r="F35" s="1441"/>
      <c r="G35" s="1441">
        <v>-50</v>
      </c>
      <c r="H35" s="1441"/>
      <c r="I35" s="1442"/>
      <c r="J35" s="1430">
        <f t="shared" si="1"/>
        <v>-50</v>
      </c>
      <c r="K35" s="1443"/>
    </row>
    <row r="36" spans="1:11" ht="12.75" customHeight="1">
      <c r="A36" s="1440" t="s">
        <v>25</v>
      </c>
      <c r="B36" s="1437"/>
      <c r="C36" s="1441"/>
      <c r="D36" s="1441"/>
      <c r="E36" s="1441"/>
      <c r="F36" s="1441"/>
      <c r="G36" s="1441">
        <v>-50</v>
      </c>
      <c r="H36" s="1441"/>
      <c r="I36" s="1442"/>
      <c r="J36" s="1430">
        <f t="shared" si="1"/>
        <v>-50</v>
      </c>
      <c r="K36" s="1443"/>
    </row>
    <row r="37" spans="1:11" ht="12.75" customHeight="1">
      <c r="A37" s="1440" t="s">
        <v>26</v>
      </c>
      <c r="B37" s="1437"/>
      <c r="C37" s="1441"/>
      <c r="D37" s="1441"/>
      <c r="E37" s="1441"/>
      <c r="F37" s="1441"/>
      <c r="G37" s="1441">
        <v>-25</v>
      </c>
      <c r="H37" s="1441"/>
      <c r="I37" s="1442"/>
      <c r="J37" s="1430">
        <f t="shared" si="1"/>
        <v>-25</v>
      </c>
      <c r="K37" s="1443"/>
    </row>
    <row r="38" spans="1:11" ht="12.75" customHeight="1">
      <c r="A38" s="1440" t="s">
        <v>27</v>
      </c>
      <c r="B38" s="1437"/>
      <c r="C38" s="1441"/>
      <c r="D38" s="1441"/>
      <c r="E38" s="1441"/>
      <c r="F38" s="1441"/>
      <c r="G38" s="1441">
        <v>-25</v>
      </c>
      <c r="H38" s="1441"/>
      <c r="I38" s="1442"/>
      <c r="J38" s="1430">
        <f t="shared" si="1"/>
        <v>-25</v>
      </c>
      <c r="K38" s="1443"/>
    </row>
    <row r="39" spans="1:11" ht="12.75" customHeight="1">
      <c r="A39" s="1440" t="s">
        <v>17</v>
      </c>
      <c r="B39" s="1437"/>
      <c r="C39" s="1441"/>
      <c r="D39" s="1441"/>
      <c r="E39" s="1441"/>
      <c r="F39" s="1441"/>
      <c r="G39" s="1441">
        <v>-50</v>
      </c>
      <c r="H39" s="1441"/>
      <c r="I39" s="1442"/>
      <c r="J39" s="1430">
        <f t="shared" si="1"/>
        <v>-50</v>
      </c>
      <c r="K39" s="1443"/>
    </row>
    <row r="40" spans="1:11" ht="12.75" customHeight="1">
      <c r="A40" s="1440" t="s">
        <v>28</v>
      </c>
      <c r="B40" s="1437"/>
      <c r="C40" s="1441"/>
      <c r="D40" s="1441"/>
      <c r="E40" s="1441"/>
      <c r="F40" s="1441"/>
      <c r="G40" s="1441">
        <v>92</v>
      </c>
      <c r="H40" s="1441"/>
      <c r="I40" s="1442"/>
      <c r="J40" s="1430">
        <f t="shared" si="1"/>
        <v>92</v>
      </c>
      <c r="K40" s="1443"/>
    </row>
    <row r="41" spans="1:11" ht="12.75" customHeight="1">
      <c r="A41" s="1440" t="s">
        <v>29</v>
      </c>
      <c r="B41" s="1437"/>
      <c r="C41" s="1441"/>
      <c r="D41" s="1441"/>
      <c r="E41" s="1441"/>
      <c r="F41" s="1441"/>
      <c r="G41" s="1441">
        <v>-60</v>
      </c>
      <c r="H41" s="1441"/>
      <c r="I41" s="1442"/>
      <c r="J41" s="1430">
        <f t="shared" si="1"/>
        <v>-60</v>
      </c>
      <c r="K41" s="1443"/>
    </row>
    <row r="42" spans="1:11" ht="12.75" customHeight="1">
      <c r="A42" s="1440" t="s">
        <v>30</v>
      </c>
      <c r="B42" s="1437"/>
      <c r="C42" s="1441"/>
      <c r="D42" s="1441"/>
      <c r="E42" s="1441"/>
      <c r="F42" s="1441"/>
      <c r="G42" s="1441">
        <v>-223</v>
      </c>
      <c r="H42" s="1441"/>
      <c r="I42" s="1442"/>
      <c r="J42" s="1430">
        <f t="shared" si="1"/>
        <v>-223</v>
      </c>
      <c r="K42" s="1443"/>
    </row>
    <row r="43" spans="1:11" ht="12.75" customHeight="1">
      <c r="A43" s="1440" t="s">
        <v>31</v>
      </c>
      <c r="B43" s="1437"/>
      <c r="C43" s="1441"/>
      <c r="D43" s="1441"/>
      <c r="E43" s="1441"/>
      <c r="F43" s="1441"/>
      <c r="G43" s="1441">
        <v>-30</v>
      </c>
      <c r="H43" s="1441"/>
      <c r="I43" s="1442"/>
      <c r="J43" s="1430">
        <f t="shared" si="1"/>
        <v>-30</v>
      </c>
      <c r="K43" s="1443"/>
    </row>
    <row r="44" spans="1:11" ht="12.75" customHeight="1">
      <c r="A44" s="1440" t="s">
        <v>32</v>
      </c>
      <c r="B44" s="1437"/>
      <c r="C44" s="1441"/>
      <c r="D44" s="1441"/>
      <c r="E44" s="1441"/>
      <c r="F44" s="1441"/>
      <c r="G44" s="1441">
        <v>-25</v>
      </c>
      <c r="H44" s="1441"/>
      <c r="I44" s="1442"/>
      <c r="J44" s="1430">
        <f t="shared" si="1"/>
        <v>-25</v>
      </c>
      <c r="K44" s="1443"/>
    </row>
    <row r="45" spans="1:11" ht="12.75" customHeight="1">
      <c r="A45" s="1440" t="s">
        <v>33</v>
      </c>
      <c r="B45" s="1437"/>
      <c r="C45" s="1441"/>
      <c r="D45" s="1441"/>
      <c r="E45" s="1441"/>
      <c r="F45" s="1441"/>
      <c r="G45" s="1441">
        <v>-20</v>
      </c>
      <c r="H45" s="1441"/>
      <c r="I45" s="1442"/>
      <c r="J45" s="1430">
        <f t="shared" si="1"/>
        <v>-20</v>
      </c>
      <c r="K45" s="1443"/>
    </row>
    <row r="46" spans="1:11" ht="12.75" customHeight="1">
      <c r="A46" s="1440" t="s">
        <v>34</v>
      </c>
      <c r="B46" s="1437"/>
      <c r="C46" s="1441"/>
      <c r="D46" s="1441"/>
      <c r="E46" s="1441"/>
      <c r="F46" s="1441"/>
      <c r="G46" s="1441">
        <v>-25</v>
      </c>
      <c r="H46" s="1441"/>
      <c r="I46" s="1442"/>
      <c r="J46" s="1430">
        <f t="shared" si="1"/>
        <v>-25</v>
      </c>
      <c r="K46" s="1443"/>
    </row>
    <row r="47" spans="1:11" ht="12.75" customHeight="1">
      <c r="A47" s="1440" t="s">
        <v>35</v>
      </c>
      <c r="B47" s="1437"/>
      <c r="C47" s="1441"/>
      <c r="D47" s="1441"/>
      <c r="E47" s="1441"/>
      <c r="F47" s="1441"/>
      <c r="G47" s="1441"/>
      <c r="H47" s="1441">
        <v>-100</v>
      </c>
      <c r="I47" s="1442"/>
      <c r="J47" s="1430">
        <f t="shared" si="1"/>
        <v>-100</v>
      </c>
      <c r="K47" s="1443"/>
    </row>
    <row r="48" spans="1:11" ht="12.75" customHeight="1" thickBot="1">
      <c r="A48" s="1444" t="s">
        <v>17</v>
      </c>
      <c r="B48" s="1776"/>
      <c r="C48" s="1445"/>
      <c r="D48" s="1445"/>
      <c r="E48" s="1445"/>
      <c r="F48" s="1445"/>
      <c r="G48" s="1445"/>
      <c r="H48" s="1445">
        <v>-40</v>
      </c>
      <c r="I48" s="1446"/>
      <c r="J48" s="1447">
        <f>H48</f>
        <v>-40</v>
      </c>
      <c r="K48" s="1443"/>
    </row>
    <row r="49" spans="1:11" ht="14.25" customHeight="1" thickBot="1">
      <c r="A49" s="1448" t="s">
        <v>884</v>
      </c>
      <c r="B49" s="1780">
        <f aca="true" t="shared" si="2" ref="B49:G49">SUM(B20:B47)</f>
        <v>4000</v>
      </c>
      <c r="C49" s="1781">
        <f t="shared" si="2"/>
        <v>800</v>
      </c>
      <c r="D49" s="1781">
        <f t="shared" si="2"/>
        <v>2000</v>
      </c>
      <c r="E49" s="1781">
        <f t="shared" si="2"/>
        <v>300</v>
      </c>
      <c r="F49" s="1781">
        <f t="shared" si="2"/>
        <v>180</v>
      </c>
      <c r="G49" s="1781">
        <f t="shared" si="2"/>
        <v>30</v>
      </c>
      <c r="H49" s="1781">
        <f>SUM(H20:H48)</f>
        <v>110</v>
      </c>
      <c r="I49" s="1781">
        <f>SUM(I20:I47)</f>
        <v>8247</v>
      </c>
      <c r="J49" s="1775">
        <f>SUM(B49:I49)</f>
        <v>15667</v>
      </c>
      <c r="K49" s="1443"/>
    </row>
  </sheetData>
  <sheetProtection/>
  <mergeCells count="14">
    <mergeCell ref="A9:G9"/>
    <mergeCell ref="A10:G10"/>
    <mergeCell ref="A11:G11"/>
    <mergeCell ref="A12:G12"/>
    <mergeCell ref="A5:G5"/>
    <mergeCell ref="A6:G6"/>
    <mergeCell ref="A7:G7"/>
    <mergeCell ref="A8:G8"/>
    <mergeCell ref="A13:G13"/>
    <mergeCell ref="J16:J18"/>
    <mergeCell ref="A16:A19"/>
    <mergeCell ref="B16:B19"/>
    <mergeCell ref="A14:G14"/>
    <mergeCell ref="C16:I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33"/>
  <sheetViews>
    <sheetView zoomScaleSheetLayoutView="100" zoomScalePageLayoutView="0" workbookViewId="0" topLeftCell="A1">
      <selection activeCell="S17" sqref="S17"/>
    </sheetView>
  </sheetViews>
  <sheetFormatPr defaultColWidth="7.75390625" defaultRowHeight="12.75"/>
  <cols>
    <col min="1" max="1" width="3.125" style="1" customWidth="1"/>
    <col min="2" max="2" width="29.625" style="1" customWidth="1"/>
    <col min="3" max="3" width="7.125" style="1" customWidth="1"/>
    <col min="4" max="4" width="7.375" style="1" customWidth="1"/>
    <col min="5" max="5" width="7.25390625" style="1" customWidth="1"/>
    <col min="6" max="6" width="7.125" style="1" customWidth="1"/>
    <col min="7" max="7" width="7.25390625" style="1" customWidth="1"/>
    <col min="8" max="8" width="7.875" style="1" customWidth="1"/>
    <col min="9" max="9" width="7.125" style="1" customWidth="1"/>
    <col min="10" max="10" width="7.375" style="1" customWidth="1"/>
    <col min="11" max="11" width="7.625" style="1" customWidth="1"/>
    <col min="12" max="12" width="7.375" style="1" customWidth="1"/>
    <col min="13" max="13" width="7.125" style="1" customWidth="1"/>
    <col min="14" max="14" width="7.375" style="1" customWidth="1"/>
    <col min="15" max="15" width="9.00390625" style="1" customWidth="1"/>
    <col min="16" max="16384" width="7.75390625" style="1" customWidth="1"/>
  </cols>
  <sheetData>
    <row r="4" ht="13.5" thickBot="1">
      <c r="O4" s="2" t="s">
        <v>297</v>
      </c>
    </row>
    <row r="5" spans="1:15" ht="13.5" thickBot="1">
      <c r="A5" s="1935" t="s">
        <v>298</v>
      </c>
      <c r="B5" s="1936"/>
      <c r="C5" s="1936"/>
      <c r="D5" s="1936"/>
      <c r="E5" s="1936"/>
      <c r="F5" s="1936"/>
      <c r="G5" s="1936"/>
      <c r="H5" s="1936"/>
      <c r="I5" s="1936"/>
      <c r="J5" s="1936"/>
      <c r="K5" s="1936"/>
      <c r="L5" s="1936"/>
      <c r="M5" s="1936"/>
      <c r="N5" s="1936"/>
      <c r="O5" s="1937"/>
    </row>
    <row r="6" spans="1:15" s="7" customFormat="1" ht="8.25">
      <c r="A6" s="3"/>
      <c r="B6" s="4"/>
      <c r="C6" s="5" t="s">
        <v>299</v>
      </c>
      <c r="D6" s="5" t="s">
        <v>300</v>
      </c>
      <c r="E6" s="5" t="s">
        <v>301</v>
      </c>
      <c r="F6" s="5" t="s">
        <v>302</v>
      </c>
      <c r="G6" s="5" t="s">
        <v>303</v>
      </c>
      <c r="H6" s="5" t="s">
        <v>304</v>
      </c>
      <c r="I6" s="5" t="s">
        <v>305</v>
      </c>
      <c r="J6" s="5" t="s">
        <v>306</v>
      </c>
      <c r="K6" s="1160" t="s">
        <v>307</v>
      </c>
      <c r="L6" s="5" t="s">
        <v>308</v>
      </c>
      <c r="M6" s="5" t="s">
        <v>309</v>
      </c>
      <c r="N6" s="675" t="s">
        <v>310</v>
      </c>
      <c r="O6" s="6" t="s">
        <v>311</v>
      </c>
    </row>
    <row r="7" spans="1:15" ht="12.75">
      <c r="A7" s="90" t="s">
        <v>312</v>
      </c>
      <c r="B7" s="11" t="s">
        <v>313</v>
      </c>
      <c r="C7" s="12">
        <v>5519</v>
      </c>
      <c r="D7" s="12">
        <v>4948</v>
      </c>
      <c r="E7" s="12">
        <v>5898</v>
      </c>
      <c r="F7" s="12">
        <v>5803</v>
      </c>
      <c r="G7" s="12">
        <v>5781</v>
      </c>
      <c r="H7" s="12">
        <v>12738</v>
      </c>
      <c r="I7" s="12">
        <v>9644</v>
      </c>
      <c r="J7" s="12">
        <v>7398</v>
      </c>
      <c r="K7" s="1151">
        <v>28871</v>
      </c>
      <c r="L7" s="1155">
        <v>2230</v>
      </c>
      <c r="M7" s="1150">
        <v>2789</v>
      </c>
      <c r="N7" s="1156">
        <f>399707+9012</f>
        <v>408719</v>
      </c>
      <c r="O7" s="13">
        <f>2!C14</f>
        <v>500338</v>
      </c>
    </row>
    <row r="8" spans="1:15" ht="12.75">
      <c r="A8" s="91" t="s">
        <v>314</v>
      </c>
      <c r="B8" s="14" t="s">
        <v>315</v>
      </c>
      <c r="C8" s="15">
        <v>6674</v>
      </c>
      <c r="D8" s="15">
        <v>14158</v>
      </c>
      <c r="E8" s="15">
        <v>11781</v>
      </c>
      <c r="F8" s="15">
        <v>8154</v>
      </c>
      <c r="G8" s="15">
        <v>15752</v>
      </c>
      <c r="H8" s="15">
        <v>21355</v>
      </c>
      <c r="I8" s="15">
        <v>7050</v>
      </c>
      <c r="J8" s="15">
        <v>7442</v>
      </c>
      <c r="K8" s="1152">
        <v>20475</v>
      </c>
      <c r="L8" s="1152">
        <v>8305</v>
      </c>
      <c r="M8" s="15">
        <v>13085</v>
      </c>
      <c r="N8" s="1157">
        <f>4140+27266</f>
        <v>31406</v>
      </c>
      <c r="O8" s="16">
        <f>2!C19</f>
        <v>165637</v>
      </c>
    </row>
    <row r="9" spans="1:15" ht="12.75">
      <c r="A9" s="91" t="s">
        <v>316</v>
      </c>
      <c r="B9" s="14" t="s">
        <v>317</v>
      </c>
      <c r="C9" s="15">
        <v>7085</v>
      </c>
      <c r="D9" s="15">
        <v>3555</v>
      </c>
      <c r="E9" s="15">
        <v>228946</v>
      </c>
      <c r="F9" s="15">
        <v>29558</v>
      </c>
      <c r="G9" s="15">
        <v>24715</v>
      </c>
      <c r="H9" s="15">
        <v>8581</v>
      </c>
      <c r="I9" s="15">
        <v>10154</v>
      </c>
      <c r="J9" s="15">
        <v>11095</v>
      </c>
      <c r="K9" s="1152">
        <v>219430</v>
      </c>
      <c r="L9" s="1152">
        <f>20406+13470</f>
        <v>33876</v>
      </c>
      <c r="M9" s="15">
        <f>21686+7623</f>
        <v>29309</v>
      </c>
      <c r="N9" s="1157">
        <v>81497</v>
      </c>
      <c r="O9" s="16">
        <f>2!E23</f>
        <v>687801</v>
      </c>
    </row>
    <row r="10" spans="1:15" ht="12.75">
      <c r="A10" s="91" t="s">
        <v>318</v>
      </c>
      <c r="B10" s="14" t="s">
        <v>319</v>
      </c>
      <c r="C10" s="15">
        <v>39933</v>
      </c>
      <c r="D10" s="15">
        <v>27670</v>
      </c>
      <c r="E10" s="15">
        <v>22010</v>
      </c>
      <c r="F10" s="15">
        <v>25469</v>
      </c>
      <c r="G10" s="15">
        <v>25469</v>
      </c>
      <c r="H10" s="15">
        <v>23898</v>
      </c>
      <c r="I10" s="15">
        <v>23897</v>
      </c>
      <c r="J10" s="15">
        <v>35147</v>
      </c>
      <c r="K10" s="1152">
        <v>14533</v>
      </c>
      <c r="L10" s="1152">
        <f>8865+16604</f>
        <v>25469</v>
      </c>
      <c r="M10" s="15">
        <f>9521+17834</f>
        <v>27355</v>
      </c>
      <c r="N10" s="1157">
        <v>23584</v>
      </c>
      <c r="O10" s="16">
        <f>2!E27</f>
        <v>314434</v>
      </c>
    </row>
    <row r="11" spans="1:15" ht="12.75">
      <c r="A11" s="91" t="s">
        <v>320</v>
      </c>
      <c r="B11" s="14" t="s">
        <v>321</v>
      </c>
      <c r="C11" s="15">
        <v>0</v>
      </c>
      <c r="D11" s="15">
        <v>106</v>
      </c>
      <c r="E11" s="15">
        <v>136</v>
      </c>
      <c r="F11" s="15">
        <v>25</v>
      </c>
      <c r="G11" s="15">
        <v>27</v>
      </c>
      <c r="H11" s="15">
        <v>0</v>
      </c>
      <c r="I11" s="15">
        <v>0</v>
      </c>
      <c r="J11" s="15">
        <v>0</v>
      </c>
      <c r="K11" s="1152">
        <v>14411</v>
      </c>
      <c r="L11" s="1152">
        <v>72</v>
      </c>
      <c r="M11" s="15">
        <f>13+25</f>
        <v>38</v>
      </c>
      <c r="N11" s="1157">
        <v>4862</v>
      </c>
      <c r="O11" s="16">
        <f>2!E31+2!C47</f>
        <v>19677</v>
      </c>
    </row>
    <row r="12" spans="1:15" ht="12.75">
      <c r="A12" s="91" t="s">
        <v>322</v>
      </c>
      <c r="B12" s="17" t="s">
        <v>345</v>
      </c>
      <c r="C12" s="15">
        <v>62746</v>
      </c>
      <c r="D12" s="15">
        <v>45200</v>
      </c>
      <c r="E12" s="15">
        <v>36207</v>
      </c>
      <c r="F12" s="15">
        <v>39502</v>
      </c>
      <c r="G12" s="15">
        <v>39999</v>
      </c>
      <c r="H12" s="15">
        <v>41701</v>
      </c>
      <c r="I12" s="15">
        <v>38384</v>
      </c>
      <c r="J12" s="15">
        <v>43073</v>
      </c>
      <c r="K12" s="1152">
        <v>31285</v>
      </c>
      <c r="L12" s="1152">
        <v>38241</v>
      </c>
      <c r="M12" s="15">
        <v>72156</v>
      </c>
      <c r="N12" s="1157">
        <v>53427</v>
      </c>
      <c r="O12" s="16">
        <f>+2!E59+2!E39</f>
        <v>541921</v>
      </c>
    </row>
    <row r="13" spans="1:15" ht="12.75">
      <c r="A13" s="91" t="s">
        <v>346</v>
      </c>
      <c r="B13" s="100" t="s">
        <v>479</v>
      </c>
      <c r="C13" s="15">
        <v>3849</v>
      </c>
      <c r="D13" s="15">
        <v>3945</v>
      </c>
      <c r="E13" s="15">
        <v>21392</v>
      </c>
      <c r="F13" s="15">
        <v>48691</v>
      </c>
      <c r="G13" s="15">
        <v>7967</v>
      </c>
      <c r="H13" s="15">
        <v>1832</v>
      </c>
      <c r="I13" s="15">
        <v>30788</v>
      </c>
      <c r="J13" s="15">
        <v>50978</v>
      </c>
      <c r="K13" s="1152">
        <v>1659</v>
      </c>
      <c r="L13" s="1152">
        <f>7236+11381</f>
        <v>18617</v>
      </c>
      <c r="M13" s="15">
        <f>9866</f>
        <v>9866</v>
      </c>
      <c r="N13" s="1157">
        <v>11913</v>
      </c>
      <c r="O13" s="16">
        <f>2!E43</f>
        <v>211497</v>
      </c>
    </row>
    <row r="14" spans="1:15" ht="12.75">
      <c r="A14" s="91" t="s">
        <v>347</v>
      </c>
      <c r="B14" s="14" t="s">
        <v>348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95560</v>
      </c>
      <c r="I14" s="15">
        <v>-95560</v>
      </c>
      <c r="J14" s="15">
        <v>0</v>
      </c>
      <c r="K14" s="1152">
        <v>0</v>
      </c>
      <c r="L14" s="1152">
        <v>0</v>
      </c>
      <c r="M14" s="15">
        <v>0</v>
      </c>
      <c r="N14" s="1157">
        <v>31403</v>
      </c>
      <c r="O14" s="16">
        <f>2!C71</f>
        <v>31403</v>
      </c>
    </row>
    <row r="15" spans="1:15" ht="22.5">
      <c r="A15" s="91" t="s">
        <v>349</v>
      </c>
      <c r="B15" s="279" t="s">
        <v>578</v>
      </c>
      <c r="C15" s="15">
        <v>691</v>
      </c>
      <c r="D15" s="15">
        <v>1779</v>
      </c>
      <c r="E15" s="15">
        <v>787</v>
      </c>
      <c r="F15" s="15">
        <v>0</v>
      </c>
      <c r="G15" s="15">
        <v>1251</v>
      </c>
      <c r="H15" s="15">
        <v>3571</v>
      </c>
      <c r="I15" s="15">
        <v>1025</v>
      </c>
      <c r="J15" s="15">
        <v>1199</v>
      </c>
      <c r="K15" s="1152">
        <v>981</v>
      </c>
      <c r="L15" s="1152">
        <f>118+986</f>
        <v>1104</v>
      </c>
      <c r="M15" s="15">
        <v>8176</v>
      </c>
      <c r="N15" s="1157">
        <v>53267</v>
      </c>
      <c r="O15" s="16">
        <f>2!D14+2!D19+2!D35+2!D51+2!D47+2!D79</f>
        <v>73831</v>
      </c>
    </row>
    <row r="16" spans="1:15" ht="12.75">
      <c r="A16" s="260" t="s">
        <v>350</v>
      </c>
      <c r="B16" s="281" t="s">
        <v>553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18362</v>
      </c>
      <c r="I16" s="15">
        <v>0</v>
      </c>
      <c r="J16" s="15">
        <v>0</v>
      </c>
      <c r="K16" s="1152">
        <v>0</v>
      </c>
      <c r="L16" s="1152">
        <v>2520</v>
      </c>
      <c r="M16" s="15">
        <v>0</v>
      </c>
      <c r="N16" s="1157">
        <v>0</v>
      </c>
      <c r="O16" s="16">
        <f>2!E55</f>
        <v>20882</v>
      </c>
    </row>
    <row r="17" spans="1:15" ht="13.5" thickBot="1">
      <c r="A17" s="260" t="s">
        <v>351</v>
      </c>
      <c r="B17" s="280" t="s">
        <v>579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1153">
        <v>0</v>
      </c>
      <c r="L17" s="1153">
        <v>12117</v>
      </c>
      <c r="M17" s="261">
        <v>0</v>
      </c>
      <c r="N17" s="1158">
        <v>27984</v>
      </c>
      <c r="O17" s="262">
        <f>2!C79</f>
        <v>40101</v>
      </c>
    </row>
    <row r="18" spans="1:15" s="20" customFormat="1" ht="14.25" thickBot="1" thickTop="1">
      <c r="A18" s="1938" t="s">
        <v>311</v>
      </c>
      <c r="B18" s="1939"/>
      <c r="C18" s="18">
        <f>SUM(C7:C17)</f>
        <v>126497</v>
      </c>
      <c r="D18" s="18">
        <f>SUM(D7:D17)</f>
        <v>101361</v>
      </c>
      <c r="E18" s="18">
        <f>SUM(E7:E17)</f>
        <v>327157</v>
      </c>
      <c r="F18" s="18">
        <f>SUM(F7:F17)</f>
        <v>157202</v>
      </c>
      <c r="G18" s="18">
        <f>SUM(G7:G17)</f>
        <v>120961</v>
      </c>
      <c r="H18" s="18">
        <f aca="true" t="shared" si="0" ref="H18:N18">SUM(H7:H17)</f>
        <v>227598</v>
      </c>
      <c r="I18" s="18">
        <f t="shared" si="0"/>
        <v>25382</v>
      </c>
      <c r="J18" s="18">
        <f t="shared" si="0"/>
        <v>156332</v>
      </c>
      <c r="K18" s="1154">
        <f t="shared" si="0"/>
        <v>331645</v>
      </c>
      <c r="L18" s="1154">
        <f t="shared" si="0"/>
        <v>142551</v>
      </c>
      <c r="M18" s="18">
        <f t="shared" si="0"/>
        <v>162774</v>
      </c>
      <c r="N18" s="1159">
        <f t="shared" si="0"/>
        <v>728062</v>
      </c>
      <c r="O18" s="19">
        <f>SUM(O7:O17)</f>
        <v>2607522</v>
      </c>
    </row>
    <row r="19" spans="1:15" ht="6" customHeight="1" thickTop="1">
      <c r="A19" s="680"/>
      <c r="B19" s="680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</row>
    <row r="20" spans="1:15" ht="13.5" thickBot="1">
      <c r="A20" s="21"/>
      <c r="B20" s="21"/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108" t="s">
        <v>297</v>
      </c>
    </row>
    <row r="21" spans="1:15" ht="13.5" thickBot="1">
      <c r="A21" s="1935" t="s">
        <v>352</v>
      </c>
      <c r="B21" s="1936"/>
      <c r="C21" s="1936"/>
      <c r="D21" s="1936"/>
      <c r="E21" s="1936"/>
      <c r="F21" s="1936"/>
      <c r="G21" s="1936"/>
      <c r="H21" s="1936"/>
      <c r="I21" s="1936"/>
      <c r="J21" s="1936"/>
      <c r="K21" s="1936"/>
      <c r="L21" s="1936"/>
      <c r="M21" s="1936"/>
      <c r="N21" s="1936"/>
      <c r="O21" s="1937"/>
    </row>
    <row r="22" spans="1:15" s="7" customFormat="1" ht="8.25">
      <c r="A22" s="3"/>
      <c r="B22" s="4"/>
      <c r="C22" s="22" t="s">
        <v>299</v>
      </c>
      <c r="D22" s="22" t="s">
        <v>300</v>
      </c>
      <c r="E22" s="22" t="s">
        <v>301</v>
      </c>
      <c r="F22" s="22" t="s">
        <v>302</v>
      </c>
      <c r="G22" s="22" t="s">
        <v>303</v>
      </c>
      <c r="H22" s="22" t="s">
        <v>304</v>
      </c>
      <c r="I22" s="5" t="s">
        <v>305</v>
      </c>
      <c r="J22" s="5" t="s">
        <v>306</v>
      </c>
      <c r="K22" s="1160" t="s">
        <v>307</v>
      </c>
      <c r="L22" s="5" t="s">
        <v>308</v>
      </c>
      <c r="M22" s="5" t="s">
        <v>309</v>
      </c>
      <c r="N22" s="675" t="s">
        <v>310</v>
      </c>
      <c r="O22" s="6" t="s">
        <v>311</v>
      </c>
    </row>
    <row r="23" spans="1:15" ht="5.25" customHeight="1">
      <c r="A23" s="93"/>
      <c r="B23" s="8"/>
      <c r="C23" s="9"/>
      <c r="D23" s="9"/>
      <c r="E23" s="9"/>
      <c r="F23" s="9"/>
      <c r="G23" s="9"/>
      <c r="H23" s="9"/>
      <c r="I23" s="9"/>
      <c r="J23" s="9"/>
      <c r="K23" s="1161"/>
      <c r="L23" s="9"/>
      <c r="M23" s="9"/>
      <c r="N23" s="678"/>
      <c r="O23" s="10"/>
    </row>
    <row r="24" spans="1:15" ht="12.75">
      <c r="A24" s="94" t="s">
        <v>312</v>
      </c>
      <c r="B24" s="11" t="s">
        <v>353</v>
      </c>
      <c r="C24" s="12">
        <v>50702</v>
      </c>
      <c r="D24" s="12">
        <v>39266</v>
      </c>
      <c r="E24" s="12">
        <v>39878</v>
      </c>
      <c r="F24" s="12">
        <v>43303</v>
      </c>
      <c r="G24" s="12">
        <v>48847</v>
      </c>
      <c r="H24" s="12">
        <v>56522</v>
      </c>
      <c r="I24" s="12">
        <v>42385</v>
      </c>
      <c r="J24" s="12">
        <v>47571</v>
      </c>
      <c r="K24" s="1151">
        <v>45541</v>
      </c>
      <c r="L24" s="12">
        <f>35300+19434+3939</f>
        <v>58673</v>
      </c>
      <c r="M24" s="12">
        <f>34194+6041+4145</f>
        <v>44380</v>
      </c>
      <c r="N24" s="676">
        <v>67110</v>
      </c>
      <c r="O24" s="13">
        <f>2!E92</f>
        <v>584178</v>
      </c>
    </row>
    <row r="25" spans="1:15" ht="12.75">
      <c r="A25" s="91" t="s">
        <v>314</v>
      </c>
      <c r="B25" s="14" t="s">
        <v>354</v>
      </c>
      <c r="C25" s="15">
        <v>12597</v>
      </c>
      <c r="D25" s="15">
        <v>10472</v>
      </c>
      <c r="E25" s="15">
        <v>10440</v>
      </c>
      <c r="F25" s="15">
        <v>11250</v>
      </c>
      <c r="G25" s="15">
        <v>11541</v>
      </c>
      <c r="H25" s="15">
        <v>12401</v>
      </c>
      <c r="I25" s="15">
        <v>10649</v>
      </c>
      <c r="J25" s="15">
        <v>11830</v>
      </c>
      <c r="K25" s="1152">
        <v>11327</v>
      </c>
      <c r="L25" s="15">
        <f>15095+1776</f>
        <v>16871</v>
      </c>
      <c r="M25" s="15">
        <f>11356+4</f>
        <v>11360</v>
      </c>
      <c r="N25" s="677">
        <v>17143</v>
      </c>
      <c r="O25" s="16">
        <f>2!E96</f>
        <v>147881</v>
      </c>
    </row>
    <row r="26" spans="1:15" ht="12.75">
      <c r="A26" s="91" t="s">
        <v>316</v>
      </c>
      <c r="B26" s="14" t="s">
        <v>1296</v>
      </c>
      <c r="C26" s="15">
        <v>36028</v>
      </c>
      <c r="D26" s="15">
        <v>26260</v>
      </c>
      <c r="E26" s="15">
        <v>45661</v>
      </c>
      <c r="F26" s="15">
        <v>37194</v>
      </c>
      <c r="G26" s="15">
        <v>31322</v>
      </c>
      <c r="H26" s="15">
        <v>40355</v>
      </c>
      <c r="I26" s="15">
        <v>39227</v>
      </c>
      <c r="J26" s="15">
        <v>26037</v>
      </c>
      <c r="K26" s="1152">
        <v>56660</v>
      </c>
      <c r="L26" s="15">
        <f>38594</f>
        <v>38594</v>
      </c>
      <c r="M26" s="15">
        <v>30239</v>
      </c>
      <c r="N26" s="677">
        <v>51992</v>
      </c>
      <c r="O26" s="16">
        <f>2!E100</f>
        <v>459569</v>
      </c>
    </row>
    <row r="27" spans="1:15" ht="12.75">
      <c r="A27" s="95" t="s">
        <v>318</v>
      </c>
      <c r="B27" s="23" t="s">
        <v>483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151">
        <v>0</v>
      </c>
      <c r="L27" s="12">
        <v>0</v>
      </c>
      <c r="M27" s="12"/>
      <c r="N27" s="676"/>
      <c r="O27" s="13">
        <v>0</v>
      </c>
    </row>
    <row r="28" spans="1:15" ht="33" customHeight="1">
      <c r="A28" s="95" t="s">
        <v>320</v>
      </c>
      <c r="B28" s="23" t="s">
        <v>399</v>
      </c>
      <c r="C28" s="12">
        <v>11149</v>
      </c>
      <c r="D28" s="12">
        <v>7518</v>
      </c>
      <c r="E28" s="12">
        <v>14275</v>
      </c>
      <c r="F28" s="12">
        <v>7859</v>
      </c>
      <c r="G28" s="12">
        <v>16127</v>
      </c>
      <c r="H28" s="12">
        <v>11433</v>
      </c>
      <c r="I28" s="12">
        <v>8429</v>
      </c>
      <c r="J28" s="12">
        <v>17175</v>
      </c>
      <c r="K28" s="1151">
        <v>12063</v>
      </c>
      <c r="L28" s="12">
        <f>3732+11321</f>
        <v>15053</v>
      </c>
      <c r="M28" s="12">
        <f>2218+11969</f>
        <v>14187</v>
      </c>
      <c r="N28" s="676">
        <v>20072</v>
      </c>
      <c r="O28" s="13">
        <f>2!E108</f>
        <v>155340</v>
      </c>
    </row>
    <row r="29" spans="1:15" ht="12.75">
      <c r="A29" s="95" t="s">
        <v>322</v>
      </c>
      <c r="B29" s="14" t="s">
        <v>356</v>
      </c>
      <c r="C29" s="15">
        <v>9024</v>
      </c>
      <c r="D29" s="15">
        <v>10392</v>
      </c>
      <c r="E29" s="15">
        <v>16695</v>
      </c>
      <c r="F29" s="15">
        <v>45673</v>
      </c>
      <c r="G29" s="15">
        <v>22320</v>
      </c>
      <c r="H29" s="15">
        <v>56959</v>
      </c>
      <c r="I29" s="15">
        <v>11011</v>
      </c>
      <c r="J29" s="15">
        <v>30191</v>
      </c>
      <c r="K29" s="1152">
        <v>4287</v>
      </c>
      <c r="L29" s="15">
        <v>1191</v>
      </c>
      <c r="M29" s="15">
        <v>2159</v>
      </c>
      <c r="N29" s="677">
        <v>32743</v>
      </c>
      <c r="O29" s="16">
        <f>2!D155</f>
        <v>242645</v>
      </c>
    </row>
    <row r="30" spans="1:15" ht="22.5">
      <c r="A30" s="95" t="s">
        <v>346</v>
      </c>
      <c r="B30" s="101" t="s">
        <v>400</v>
      </c>
      <c r="C30" s="15">
        <v>32121</v>
      </c>
      <c r="D30" s="15">
        <v>24621</v>
      </c>
      <c r="E30" s="15">
        <v>70862</v>
      </c>
      <c r="F30" s="15">
        <v>36450</v>
      </c>
      <c r="G30" s="15">
        <v>24441</v>
      </c>
      <c r="H30" s="15">
        <v>45449</v>
      </c>
      <c r="I30" s="15">
        <v>35970</v>
      </c>
      <c r="J30" s="15">
        <v>1555</v>
      </c>
      <c r="K30" s="1152">
        <v>72375</v>
      </c>
      <c r="L30" s="15">
        <v>35207</v>
      </c>
      <c r="M30" s="15">
        <f>36999</f>
        <v>36999</v>
      </c>
      <c r="N30" s="677">
        <f>48184+399707</f>
        <v>447891</v>
      </c>
      <c r="O30" s="16">
        <f>2!E112</f>
        <v>863941</v>
      </c>
    </row>
    <row r="31" spans="1:15" ht="13.5" customHeight="1" thickBot="1">
      <c r="A31" s="92" t="s">
        <v>347</v>
      </c>
      <c r="B31" s="14" t="s">
        <v>913</v>
      </c>
      <c r="C31" s="15">
        <v>0</v>
      </c>
      <c r="D31" s="15">
        <v>0</v>
      </c>
      <c r="E31" s="15">
        <v>0</v>
      </c>
      <c r="F31" s="15">
        <v>244</v>
      </c>
      <c r="G31" s="15">
        <v>0</v>
      </c>
      <c r="H31" s="15">
        <v>86603</v>
      </c>
      <c r="I31" s="15">
        <v>0</v>
      </c>
      <c r="J31" s="15">
        <v>0</v>
      </c>
      <c r="K31" s="1152">
        <v>244</v>
      </c>
      <c r="L31" s="15">
        <v>0</v>
      </c>
      <c r="M31" s="15">
        <v>0</v>
      </c>
      <c r="N31" s="677">
        <v>245</v>
      </c>
      <c r="O31" s="16">
        <f>2!E159</f>
        <v>87336</v>
      </c>
    </row>
    <row r="32" spans="1:15" ht="14.25" thickBot="1" thickTop="1">
      <c r="A32" s="1940" t="s">
        <v>311</v>
      </c>
      <c r="B32" s="1941"/>
      <c r="C32" s="24">
        <f aca="true" t="shared" si="1" ref="C32:H32">SUM(C24:C31)</f>
        <v>151621</v>
      </c>
      <c r="D32" s="24">
        <f t="shared" si="1"/>
        <v>118529</v>
      </c>
      <c r="E32" s="24">
        <f t="shared" si="1"/>
        <v>197811</v>
      </c>
      <c r="F32" s="24">
        <f t="shared" si="1"/>
        <v>181973</v>
      </c>
      <c r="G32" s="24">
        <f t="shared" si="1"/>
        <v>154598</v>
      </c>
      <c r="H32" s="24">
        <f t="shared" si="1"/>
        <v>309722</v>
      </c>
      <c r="I32" s="24">
        <f aca="true" t="shared" si="2" ref="I32:O32">SUM(I24:I31)</f>
        <v>147671</v>
      </c>
      <c r="J32" s="24">
        <f t="shared" si="2"/>
        <v>134359</v>
      </c>
      <c r="K32" s="1162">
        <f t="shared" si="2"/>
        <v>202497</v>
      </c>
      <c r="L32" s="24">
        <f t="shared" si="2"/>
        <v>165589</v>
      </c>
      <c r="M32" s="24">
        <f t="shared" si="2"/>
        <v>139324</v>
      </c>
      <c r="N32" s="679">
        <f t="shared" si="2"/>
        <v>637196</v>
      </c>
      <c r="O32" s="25">
        <f t="shared" si="2"/>
        <v>2540890</v>
      </c>
    </row>
    <row r="33" spans="1:15" ht="7.5" customHeight="1" thickTop="1">
      <c r="A33" s="8"/>
      <c r="B33" s="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</sheetData>
  <sheetProtection/>
  <mergeCells count="4">
    <mergeCell ref="A5:O5"/>
    <mergeCell ref="A18:B18"/>
    <mergeCell ref="A21:O21"/>
    <mergeCell ref="A32:B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625" style="240" customWidth="1"/>
    <col min="2" max="2" width="39.75390625" style="240" customWidth="1"/>
    <col min="3" max="3" width="11.625" style="240" customWidth="1"/>
    <col min="4" max="4" width="12.25390625" style="240" customWidth="1"/>
    <col min="5" max="5" width="12.75390625" style="240" customWidth="1"/>
  </cols>
  <sheetData>
    <row r="1" spans="1:5" ht="12.75">
      <c r="A1" s="437"/>
      <c r="B1" s="437"/>
      <c r="C1" s="438"/>
      <c r="D1" s="438"/>
      <c r="E1" s="439"/>
    </row>
    <row r="2" spans="1:5" ht="10.5" customHeight="1">
      <c r="A2" s="437"/>
      <c r="B2" s="437"/>
      <c r="C2" s="438"/>
      <c r="D2" s="438"/>
      <c r="E2" s="439"/>
    </row>
    <row r="3" spans="1:5" ht="13.5" thickBot="1">
      <c r="A3" s="437"/>
      <c r="B3" s="437"/>
      <c r="C3" s="438"/>
      <c r="D3" s="438"/>
      <c r="E3" s="440" t="s">
        <v>297</v>
      </c>
    </row>
    <row r="4" spans="1:5" ht="1.5" customHeight="1">
      <c r="A4" s="442"/>
      <c r="B4" s="443"/>
      <c r="C4" s="444"/>
      <c r="D4" s="444"/>
      <c r="E4" s="445"/>
    </row>
    <row r="5" spans="1:5" ht="12.75">
      <c r="A5" s="1947" t="s">
        <v>358</v>
      </c>
      <c r="B5" s="1948"/>
      <c r="C5" s="446" t="s">
        <v>359</v>
      </c>
      <c r="D5" s="446" t="s">
        <v>360</v>
      </c>
      <c r="E5" s="1949" t="s">
        <v>361</v>
      </c>
    </row>
    <row r="6" spans="1:5" ht="12.75">
      <c r="A6" s="1947"/>
      <c r="B6" s="1948"/>
      <c r="C6" s="446" t="s">
        <v>362</v>
      </c>
      <c r="D6" s="446" t="s">
        <v>362</v>
      </c>
      <c r="E6" s="1949"/>
    </row>
    <row r="7" spans="1:5" ht="0.75" customHeight="1" thickBot="1">
      <c r="A7" s="447"/>
      <c r="B7" s="448"/>
      <c r="C7" s="449"/>
      <c r="D7" s="449"/>
      <c r="E7" s="450"/>
    </row>
    <row r="8" spans="1:5" ht="13.5" thickBot="1">
      <c r="A8" s="1944" t="s">
        <v>363</v>
      </c>
      <c r="B8" s="1945"/>
      <c r="C8" s="1945"/>
      <c r="D8" s="1945"/>
      <c r="E8" s="1946"/>
    </row>
    <row r="9" spans="1:5" ht="12.75">
      <c r="A9" s="451" t="s">
        <v>364</v>
      </c>
      <c r="B9" s="452" t="s">
        <v>9</v>
      </c>
      <c r="C9" s="453"/>
      <c r="D9" s="453"/>
      <c r="E9" s="454"/>
    </row>
    <row r="10" spans="1:5" ht="12.75">
      <c r="A10" s="455" t="s">
        <v>312</v>
      </c>
      <c r="B10" s="456" t="s">
        <v>370</v>
      </c>
      <c r="C10" s="457"/>
      <c r="D10" s="457"/>
      <c r="E10" s="458"/>
    </row>
    <row r="11" spans="1:5" ht="12.75">
      <c r="A11" s="455"/>
      <c r="B11" s="287" t="s">
        <v>623</v>
      </c>
      <c r="C11" s="457">
        <v>210</v>
      </c>
      <c r="D11" s="457">
        <v>0</v>
      </c>
      <c r="E11" s="458">
        <f>SUM(C11:D11)</f>
        <v>210</v>
      </c>
    </row>
    <row r="12" spans="1:5" ht="12.75">
      <c r="A12" s="455"/>
      <c r="B12" s="287" t="s">
        <v>624</v>
      </c>
      <c r="C12" s="457">
        <v>210</v>
      </c>
      <c r="D12" s="457">
        <v>0</v>
      </c>
      <c r="E12" s="458">
        <f>SUM(C12:D12)</f>
        <v>210</v>
      </c>
    </row>
    <row r="13" spans="1:5" ht="12.75">
      <c r="A13" s="455"/>
      <c r="B13" s="287" t="s">
        <v>625</v>
      </c>
      <c r="C13" s="457">
        <v>210</v>
      </c>
      <c r="D13" s="457">
        <v>0</v>
      </c>
      <c r="E13" s="458">
        <f>SUM(C13:D13)</f>
        <v>210</v>
      </c>
    </row>
    <row r="14" spans="1:5" ht="12.75">
      <c r="A14" s="455">
        <v>2</v>
      </c>
      <c r="B14" s="456" t="s">
        <v>246</v>
      </c>
      <c r="C14" s="457"/>
      <c r="D14" s="457"/>
      <c r="E14" s="458"/>
    </row>
    <row r="15" spans="1:5" ht="12.75">
      <c r="A15" s="455"/>
      <c r="B15" s="287" t="s">
        <v>623</v>
      </c>
      <c r="C15" s="457">
        <v>0</v>
      </c>
      <c r="D15" s="457">
        <v>0</v>
      </c>
      <c r="E15" s="458">
        <f>SUM(C15:D15)</f>
        <v>0</v>
      </c>
    </row>
    <row r="16" spans="1:5" ht="12.75">
      <c r="A16" s="455"/>
      <c r="B16" s="287" t="s">
        <v>624</v>
      </c>
      <c r="C16" s="457">
        <v>6</v>
      </c>
      <c r="D16" s="457">
        <v>0</v>
      </c>
      <c r="E16" s="458">
        <f>SUM(C16:D16)</f>
        <v>6</v>
      </c>
    </row>
    <row r="17" spans="1:5" ht="12.75">
      <c r="A17" s="455"/>
      <c r="B17" s="287" t="s">
        <v>625</v>
      </c>
      <c r="C17" s="457">
        <v>6</v>
      </c>
      <c r="D17" s="457">
        <v>0</v>
      </c>
      <c r="E17" s="458">
        <f>SUM(C17:D17)</f>
        <v>6</v>
      </c>
    </row>
    <row r="18" spans="1:5" ht="12.75">
      <c r="A18" s="455">
        <v>3</v>
      </c>
      <c r="B18" s="456" t="s">
        <v>595</v>
      </c>
      <c r="C18" s="457"/>
      <c r="D18" s="457"/>
      <c r="E18" s="458"/>
    </row>
    <row r="19" spans="1:5" ht="12.75">
      <c r="A19" s="455"/>
      <c r="B19" s="287" t="s">
        <v>623</v>
      </c>
      <c r="C19" s="457">
        <v>0</v>
      </c>
      <c r="D19" s="457">
        <v>0</v>
      </c>
      <c r="E19" s="458">
        <f>SUM(C19:D19)</f>
        <v>0</v>
      </c>
    </row>
    <row r="20" spans="1:5" ht="12.75">
      <c r="A20" s="455"/>
      <c r="B20" s="287" t="s">
        <v>624</v>
      </c>
      <c r="C20" s="457">
        <v>1196</v>
      </c>
      <c r="D20" s="457">
        <v>0</v>
      </c>
      <c r="E20" s="458">
        <f>SUM(C20:D20)</f>
        <v>1196</v>
      </c>
    </row>
    <row r="21" spans="1:5" ht="12.75">
      <c r="A21" s="459"/>
      <c r="B21" s="464" t="s">
        <v>625</v>
      </c>
      <c r="C21" s="461">
        <v>1196</v>
      </c>
      <c r="D21" s="461">
        <v>0</v>
      </c>
      <c r="E21" s="465">
        <f>SUM(C21:D21)</f>
        <v>1196</v>
      </c>
    </row>
    <row r="22" spans="1:5" ht="12.75">
      <c r="A22" s="455">
        <v>4</v>
      </c>
      <c r="B22" s="402" t="s">
        <v>742</v>
      </c>
      <c r="C22" s="457"/>
      <c r="D22" s="457"/>
      <c r="E22" s="458"/>
    </row>
    <row r="23" spans="1:5" ht="12.75">
      <c r="A23" s="455"/>
      <c r="B23" s="287" t="s">
        <v>623</v>
      </c>
      <c r="C23" s="457">
        <v>0</v>
      </c>
      <c r="D23" s="457"/>
      <c r="E23" s="458">
        <v>0</v>
      </c>
    </row>
    <row r="24" spans="1:5" ht="12.75">
      <c r="A24" s="455"/>
      <c r="B24" s="287" t="s">
        <v>624</v>
      </c>
      <c r="C24" s="457">
        <v>0</v>
      </c>
      <c r="D24" s="457"/>
      <c r="E24" s="458">
        <v>0</v>
      </c>
    </row>
    <row r="25" spans="1:5" ht="13.5" thickBot="1">
      <c r="A25" s="459"/>
      <c r="B25" s="464" t="s">
        <v>625</v>
      </c>
      <c r="C25" s="461">
        <v>20</v>
      </c>
      <c r="D25" s="461"/>
      <c r="E25" s="462">
        <v>20</v>
      </c>
    </row>
    <row r="26" spans="1:5" ht="14.25" thickBot="1" thickTop="1">
      <c r="A26" s="466"/>
      <c r="B26" s="467" t="s">
        <v>645</v>
      </c>
      <c r="C26" s="468"/>
      <c r="D26" s="468"/>
      <c r="E26" s="469"/>
    </row>
    <row r="27" spans="1:5" ht="13.5" thickTop="1">
      <c r="A27" s="470"/>
      <c r="B27" s="320" t="s">
        <v>623</v>
      </c>
      <c r="C27" s="471">
        <f aca="true" t="shared" si="0" ref="C27:E29">C11+C15+C19</f>
        <v>210</v>
      </c>
      <c r="D27" s="471">
        <f t="shared" si="0"/>
        <v>0</v>
      </c>
      <c r="E27" s="508">
        <f t="shared" si="0"/>
        <v>210</v>
      </c>
    </row>
    <row r="28" spans="1:5" ht="12.75">
      <c r="A28" s="473"/>
      <c r="B28" s="320" t="s">
        <v>624</v>
      </c>
      <c r="C28" s="474">
        <f t="shared" si="0"/>
        <v>1412</v>
      </c>
      <c r="D28" s="474">
        <f t="shared" si="0"/>
        <v>0</v>
      </c>
      <c r="E28" s="458">
        <f t="shared" si="0"/>
        <v>1412</v>
      </c>
    </row>
    <row r="29" spans="1:5" ht="13.5" thickBot="1">
      <c r="A29" s="539"/>
      <c r="B29" s="321" t="s">
        <v>625</v>
      </c>
      <c r="C29" s="476">
        <f>C13+C17+C21+C25</f>
        <v>1432</v>
      </c>
      <c r="D29" s="476">
        <f t="shared" si="0"/>
        <v>0</v>
      </c>
      <c r="E29" s="477">
        <f>E13+E17+E21+E25</f>
        <v>1432</v>
      </c>
    </row>
    <row r="30" spans="1:5" ht="8.25" customHeight="1" thickBot="1">
      <c r="A30" s="437"/>
      <c r="B30" s="437"/>
      <c r="C30" s="438"/>
      <c r="D30" s="438"/>
      <c r="E30" s="439"/>
    </row>
    <row r="31" spans="1:5" ht="26.25" customHeight="1" hidden="1" thickBot="1">
      <c r="A31" s="437"/>
      <c r="B31" s="437"/>
      <c r="C31" s="438"/>
      <c r="D31" s="438"/>
      <c r="E31" s="441" t="s">
        <v>297</v>
      </c>
    </row>
    <row r="32" spans="1:5" ht="13.5" hidden="1" thickBot="1">
      <c r="A32" s="442"/>
      <c r="B32" s="478"/>
      <c r="C32" s="444"/>
      <c r="D32" s="444"/>
      <c r="E32" s="445"/>
    </row>
    <row r="33" spans="1:5" ht="12.75">
      <c r="A33" s="1950" t="s">
        <v>358</v>
      </c>
      <c r="B33" s="1951"/>
      <c r="C33" s="510" t="s">
        <v>359</v>
      </c>
      <c r="D33" s="510" t="s">
        <v>360</v>
      </c>
      <c r="E33" s="1953" t="s">
        <v>361</v>
      </c>
    </row>
    <row r="34" spans="1:5" ht="9" customHeight="1">
      <c r="A34" s="1947"/>
      <c r="B34" s="1952"/>
      <c r="C34" s="446" t="s">
        <v>362</v>
      </c>
      <c r="D34" s="446" t="s">
        <v>362</v>
      </c>
      <c r="E34" s="1949"/>
    </row>
    <row r="35" spans="1:5" ht="0.75" customHeight="1" thickBot="1">
      <c r="A35" s="447"/>
      <c r="B35" s="479"/>
      <c r="C35" s="449"/>
      <c r="D35" s="449"/>
      <c r="E35" s="450"/>
    </row>
    <row r="36" spans="1:5" ht="13.5" thickBot="1">
      <c r="A36" s="1944" t="s">
        <v>371</v>
      </c>
      <c r="B36" s="1945"/>
      <c r="C36" s="1945"/>
      <c r="D36" s="1945"/>
      <c r="E36" s="1946"/>
    </row>
    <row r="37" spans="1:5" ht="12.75">
      <c r="A37" s="540" t="s">
        <v>364</v>
      </c>
      <c r="B37" s="541" t="s">
        <v>372</v>
      </c>
      <c r="C37" s="512"/>
      <c r="D37" s="512"/>
      <c r="E37" s="513"/>
    </row>
    <row r="38" spans="1:5" ht="12.75">
      <c r="A38" s="455" t="s">
        <v>312</v>
      </c>
      <c r="B38" s="456" t="s">
        <v>353</v>
      </c>
      <c r="C38" s="457"/>
      <c r="D38" s="457"/>
      <c r="E38" s="458"/>
    </row>
    <row r="39" spans="1:5" ht="12.75">
      <c r="A39" s="455"/>
      <c r="B39" s="287" t="s">
        <v>623</v>
      </c>
      <c r="C39" s="457">
        <v>0</v>
      </c>
      <c r="D39" s="457">
        <v>0</v>
      </c>
      <c r="E39" s="458">
        <f>SUM(C39:D39)</f>
        <v>0</v>
      </c>
    </row>
    <row r="40" spans="1:5" ht="12.75">
      <c r="A40" s="455"/>
      <c r="B40" s="287" t="s">
        <v>624</v>
      </c>
      <c r="C40" s="457">
        <v>0</v>
      </c>
      <c r="D40" s="457">
        <v>0</v>
      </c>
      <c r="E40" s="458">
        <f>SUM(C40:D40)</f>
        <v>0</v>
      </c>
    </row>
    <row r="41" spans="1:5" ht="12.75">
      <c r="A41" s="455"/>
      <c r="B41" s="299" t="s">
        <v>625</v>
      </c>
      <c r="C41" s="457">
        <v>0</v>
      </c>
      <c r="D41" s="457">
        <v>0</v>
      </c>
      <c r="E41" s="458">
        <f>SUM(C41:D41)</f>
        <v>0</v>
      </c>
    </row>
    <row r="42" spans="1:5" ht="12.75">
      <c r="A42" s="455" t="s">
        <v>314</v>
      </c>
      <c r="B42" s="456" t="s">
        <v>354</v>
      </c>
      <c r="C42" s="457"/>
      <c r="D42" s="457"/>
      <c r="E42" s="458"/>
    </row>
    <row r="43" spans="1:5" ht="12.75">
      <c r="A43" s="455"/>
      <c r="B43" s="287" t="s">
        <v>623</v>
      </c>
      <c r="C43" s="457">
        <v>0</v>
      </c>
      <c r="D43" s="457">
        <v>0</v>
      </c>
      <c r="E43" s="458">
        <f>SUM(C43:D43)</f>
        <v>0</v>
      </c>
    </row>
    <row r="44" spans="1:5" ht="12.75">
      <c r="A44" s="455"/>
      <c r="B44" s="287" t="s">
        <v>624</v>
      </c>
      <c r="C44" s="457">
        <v>0</v>
      </c>
      <c r="D44" s="457">
        <v>0</v>
      </c>
      <c r="E44" s="458">
        <f>SUM(C44:D44)</f>
        <v>0</v>
      </c>
    </row>
    <row r="45" spans="1:5" ht="12.75">
      <c r="A45" s="455"/>
      <c r="B45" s="299" t="s">
        <v>625</v>
      </c>
      <c r="C45" s="457">
        <v>0</v>
      </c>
      <c r="D45" s="457">
        <v>0</v>
      </c>
      <c r="E45" s="458">
        <f>SUM(C45:D45)</f>
        <v>0</v>
      </c>
    </row>
    <row r="46" spans="1:5" ht="10.5" customHeight="1">
      <c r="A46" s="455" t="s">
        <v>316</v>
      </c>
      <c r="B46" s="456" t="s">
        <v>355</v>
      </c>
      <c r="C46" s="457"/>
      <c r="D46" s="457"/>
      <c r="E46" s="458"/>
    </row>
    <row r="47" spans="1:5" ht="12.75">
      <c r="A47" s="455"/>
      <c r="B47" s="287" t="s">
        <v>623</v>
      </c>
      <c r="C47" s="457">
        <v>210</v>
      </c>
      <c r="D47" s="457">
        <v>0</v>
      </c>
      <c r="E47" s="458">
        <f>SUM(C47:D47)</f>
        <v>210</v>
      </c>
    </row>
    <row r="48" spans="1:5" ht="12.75">
      <c r="A48" s="455"/>
      <c r="B48" s="287" t="s">
        <v>624</v>
      </c>
      <c r="C48" s="457">
        <v>1432</v>
      </c>
      <c r="D48" s="457">
        <v>0</v>
      </c>
      <c r="E48" s="458">
        <f>SUM(C48:D48)</f>
        <v>1432</v>
      </c>
    </row>
    <row r="49" spans="1:5" ht="12.75">
      <c r="A49" s="455"/>
      <c r="B49" s="299" t="s">
        <v>625</v>
      </c>
      <c r="C49" s="457">
        <v>812</v>
      </c>
      <c r="D49" s="457">
        <v>0</v>
      </c>
      <c r="E49" s="458">
        <f>SUM(C49:D49)</f>
        <v>812</v>
      </c>
    </row>
    <row r="50" spans="1:5" ht="12.75">
      <c r="A50" s="455" t="s">
        <v>318</v>
      </c>
      <c r="B50" s="456" t="s">
        <v>373</v>
      </c>
      <c r="C50" s="457"/>
      <c r="D50" s="457"/>
      <c r="E50" s="458"/>
    </row>
    <row r="51" spans="1:5" ht="12.75">
      <c r="A51" s="455"/>
      <c r="B51" s="287" t="s">
        <v>623</v>
      </c>
      <c r="C51" s="457">
        <f>'[1]5'!G586</f>
        <v>0</v>
      </c>
      <c r="D51" s="457">
        <v>0</v>
      </c>
      <c r="E51" s="458">
        <f>SUM(C51:D51)</f>
        <v>0</v>
      </c>
    </row>
    <row r="52" spans="1:5" ht="12.75">
      <c r="A52" s="455"/>
      <c r="B52" s="287" t="s">
        <v>624</v>
      </c>
      <c r="C52" s="457">
        <f>'[1]5'!G587</f>
        <v>0</v>
      </c>
      <c r="D52" s="457">
        <v>0</v>
      </c>
      <c r="E52" s="458">
        <f>SUM(C52:D52)</f>
        <v>0</v>
      </c>
    </row>
    <row r="53" spans="1:5" ht="12.75">
      <c r="A53" s="455"/>
      <c r="B53" s="299" t="s">
        <v>625</v>
      </c>
      <c r="C53" s="457">
        <f>'[1]5'!G588</f>
        <v>0</v>
      </c>
      <c r="D53" s="457">
        <v>0</v>
      </c>
      <c r="E53" s="458">
        <f>SUM(C53:D53)</f>
        <v>0</v>
      </c>
    </row>
    <row r="54" spans="1:5" ht="12.75" customHeight="1">
      <c r="A54" s="455" t="s">
        <v>320</v>
      </c>
      <c r="B54" s="1942" t="s">
        <v>281</v>
      </c>
      <c r="C54" s="1943"/>
      <c r="D54" s="457"/>
      <c r="E54" s="458"/>
    </row>
    <row r="55" spans="1:5" ht="12.75">
      <c r="A55" s="455"/>
      <c r="B55" s="287" t="s">
        <v>623</v>
      </c>
      <c r="C55" s="457">
        <v>0</v>
      </c>
      <c r="D55" s="457">
        <v>0</v>
      </c>
      <c r="E55" s="458">
        <f>SUM(C55:D55)</f>
        <v>0</v>
      </c>
    </row>
    <row r="56" spans="1:5" ht="12.75">
      <c r="A56" s="455"/>
      <c r="B56" s="287" t="s">
        <v>624</v>
      </c>
      <c r="C56" s="457">
        <v>0</v>
      </c>
      <c r="D56" s="457">
        <v>0</v>
      </c>
      <c r="E56" s="458">
        <f>SUM(C56:D56)</f>
        <v>0</v>
      </c>
    </row>
    <row r="57" spans="1:5" ht="13.5" thickBot="1">
      <c r="A57" s="455"/>
      <c r="B57" s="299" t="s">
        <v>625</v>
      </c>
      <c r="C57" s="457">
        <v>0</v>
      </c>
      <c r="D57" s="457">
        <v>0</v>
      </c>
      <c r="E57" s="458">
        <f>SUM(C57:D57)</f>
        <v>0</v>
      </c>
    </row>
    <row r="58" spans="1:5" ht="14.25" thickBot="1" thickTop="1">
      <c r="A58" s="502"/>
      <c r="B58" s="503" t="s">
        <v>898</v>
      </c>
      <c r="C58" s="504"/>
      <c r="D58" s="542">
        <f>SUM(D38:D57)</f>
        <v>0</v>
      </c>
      <c r="E58" s="543"/>
    </row>
    <row r="59" spans="1:5" ht="13.5" thickTop="1">
      <c r="A59" s="544"/>
      <c r="B59" s="370" t="s">
        <v>623</v>
      </c>
      <c r="C59" s="471">
        <f aca="true" t="shared" si="1" ref="C59:E61">C39+C43+C47+C51+C55</f>
        <v>210</v>
      </c>
      <c r="D59" s="471">
        <f t="shared" si="1"/>
        <v>0</v>
      </c>
      <c r="E59" s="472">
        <f t="shared" si="1"/>
        <v>210</v>
      </c>
    </row>
    <row r="60" spans="1:5" ht="12.75">
      <c r="A60" s="487"/>
      <c r="B60" s="320" t="s">
        <v>624</v>
      </c>
      <c r="C60" s="474">
        <f t="shared" si="1"/>
        <v>1432</v>
      </c>
      <c r="D60" s="474">
        <f t="shared" si="1"/>
        <v>0</v>
      </c>
      <c r="E60" s="458">
        <f t="shared" si="1"/>
        <v>1432</v>
      </c>
    </row>
    <row r="61" spans="1:5" ht="13.5" thickBot="1">
      <c r="A61" s="509"/>
      <c r="B61" s="545" t="s">
        <v>625</v>
      </c>
      <c r="C61" s="476">
        <f t="shared" si="1"/>
        <v>812</v>
      </c>
      <c r="D61" s="476">
        <f t="shared" si="1"/>
        <v>0</v>
      </c>
      <c r="E61" s="477">
        <f t="shared" si="1"/>
        <v>812</v>
      </c>
    </row>
    <row r="62" spans="1:5" ht="12.75">
      <c r="A62" s="546"/>
      <c r="B62" s="547"/>
      <c r="C62" s="548"/>
      <c r="D62" s="548"/>
      <c r="E62" s="548"/>
    </row>
    <row r="132" spans="1:5" ht="12.75">
      <c r="A132" s="549"/>
      <c r="B132" s="549"/>
      <c r="C132" s="550"/>
      <c r="D132" s="550"/>
      <c r="E132" s="550"/>
    </row>
  </sheetData>
  <sheetProtection/>
  <mergeCells count="7">
    <mergeCell ref="B54:C54"/>
    <mergeCell ref="A36:E36"/>
    <mergeCell ref="A5:B6"/>
    <mergeCell ref="E5:E6"/>
    <mergeCell ref="A8:E8"/>
    <mergeCell ref="A33:B34"/>
    <mergeCell ref="E33:E34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6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125" style="240" customWidth="1"/>
    <col min="2" max="2" width="38.75390625" style="240" customWidth="1"/>
    <col min="3" max="3" width="13.875" style="240" customWidth="1"/>
    <col min="4" max="4" width="14.25390625" style="240" customWidth="1"/>
    <col min="5" max="5" width="12.875" style="240" customWidth="1"/>
  </cols>
  <sheetData>
    <row r="1" spans="1:5" ht="12.75">
      <c r="A1" s="437"/>
      <c r="B1" s="437"/>
      <c r="C1" s="438"/>
      <c r="D1" s="438"/>
      <c r="E1" s="439"/>
    </row>
    <row r="2" spans="1:5" ht="12.75">
      <c r="A2" s="437"/>
      <c r="B2" s="437"/>
      <c r="C2" s="438"/>
      <c r="D2" s="438"/>
      <c r="E2" s="439"/>
    </row>
    <row r="3" spans="1:5" ht="13.5" thickBot="1">
      <c r="A3" s="437"/>
      <c r="B3" s="437"/>
      <c r="C3" s="438"/>
      <c r="D3" s="438"/>
      <c r="E3" s="440" t="s">
        <v>466</v>
      </c>
    </row>
    <row r="4" spans="1:5" ht="9.75" customHeight="1" hidden="1" thickBot="1">
      <c r="A4" s="437"/>
      <c r="B4" s="437"/>
      <c r="C4" s="438"/>
      <c r="D4" s="438"/>
      <c r="E4" s="439"/>
    </row>
    <row r="5" spans="1:5" ht="12.75">
      <c r="A5" s="442"/>
      <c r="B5" s="443"/>
      <c r="C5" s="444"/>
      <c r="D5" s="444"/>
      <c r="E5" s="445"/>
    </row>
    <row r="6" spans="1:5" ht="12.75">
      <c r="A6" s="1947" t="s">
        <v>358</v>
      </c>
      <c r="B6" s="1948"/>
      <c r="C6" s="446" t="s">
        <v>359</v>
      </c>
      <c r="D6" s="446" t="s">
        <v>360</v>
      </c>
      <c r="E6" s="1949" t="s">
        <v>361</v>
      </c>
    </row>
    <row r="7" spans="1:5" ht="12.75">
      <c r="A7" s="1947"/>
      <c r="B7" s="1948"/>
      <c r="C7" s="446" t="s">
        <v>362</v>
      </c>
      <c r="D7" s="446" t="s">
        <v>362</v>
      </c>
      <c r="E7" s="1949"/>
    </row>
    <row r="8" spans="1:5" ht="0.75" customHeight="1" thickBot="1">
      <c r="A8" s="447"/>
      <c r="B8" s="448"/>
      <c r="C8" s="449"/>
      <c r="D8" s="449"/>
      <c r="E8" s="450"/>
    </row>
    <row r="9" spans="1:5" ht="13.5" thickBot="1">
      <c r="A9" s="1944" t="s">
        <v>363</v>
      </c>
      <c r="B9" s="1945"/>
      <c r="C9" s="1945"/>
      <c r="D9" s="1945"/>
      <c r="E9" s="1946"/>
    </row>
    <row r="10" spans="1:5" ht="12.75">
      <c r="A10" s="498" t="s">
        <v>364</v>
      </c>
      <c r="B10" s="452" t="s">
        <v>9</v>
      </c>
      <c r="C10" s="499"/>
      <c r="D10" s="499"/>
      <c r="E10" s="500"/>
    </row>
    <row r="11" spans="1:5" ht="12.75">
      <c r="A11" s="501">
        <v>1</v>
      </c>
      <c r="B11" s="456" t="s">
        <v>370</v>
      </c>
      <c r="C11" s="363"/>
      <c r="D11" s="363"/>
      <c r="E11" s="494"/>
    </row>
    <row r="12" spans="1:5" ht="12.75">
      <c r="A12" s="501"/>
      <c r="B12" s="287" t="s">
        <v>623</v>
      </c>
      <c r="C12" s="363">
        <v>210</v>
      </c>
      <c r="D12" s="363">
        <v>0</v>
      </c>
      <c r="E12" s="494">
        <f>SUM(C12:D12)</f>
        <v>210</v>
      </c>
    </row>
    <row r="13" spans="1:5" ht="12.75">
      <c r="A13" s="501"/>
      <c r="B13" s="287" t="s">
        <v>624</v>
      </c>
      <c r="C13" s="363">
        <v>210</v>
      </c>
      <c r="D13" s="363">
        <v>0</v>
      </c>
      <c r="E13" s="494">
        <f>SUM(C13:D13)</f>
        <v>210</v>
      </c>
    </row>
    <row r="14" spans="1:5" ht="12.75">
      <c r="A14" s="501"/>
      <c r="B14" s="287" t="s">
        <v>625</v>
      </c>
      <c r="C14" s="363">
        <v>210</v>
      </c>
      <c r="D14" s="363">
        <v>0</v>
      </c>
      <c r="E14" s="494">
        <f>SUM(C14:D14)</f>
        <v>210</v>
      </c>
    </row>
    <row r="15" spans="1:5" ht="12.75">
      <c r="A15" s="501">
        <v>2</v>
      </c>
      <c r="B15" s="456" t="s">
        <v>246</v>
      </c>
      <c r="C15" s="363"/>
      <c r="D15" s="363"/>
      <c r="E15" s="494"/>
    </row>
    <row r="16" spans="1:5" ht="12.75">
      <c r="A16" s="501"/>
      <c r="B16" s="287" t="s">
        <v>623</v>
      </c>
      <c r="C16" s="363">
        <v>0</v>
      </c>
      <c r="D16" s="363">
        <v>0</v>
      </c>
      <c r="E16" s="494">
        <f>SUM(C16:D16)</f>
        <v>0</v>
      </c>
    </row>
    <row r="17" spans="1:5" ht="12.75">
      <c r="A17" s="501"/>
      <c r="B17" s="287" t="s">
        <v>624</v>
      </c>
      <c r="C17" s="363">
        <v>137</v>
      </c>
      <c r="D17" s="363">
        <v>0</v>
      </c>
      <c r="E17" s="494">
        <f>SUM(C17:D17)</f>
        <v>137</v>
      </c>
    </row>
    <row r="18" spans="1:5" ht="12.75">
      <c r="A18" s="501"/>
      <c r="B18" s="287" t="s">
        <v>625</v>
      </c>
      <c r="C18" s="363">
        <v>137</v>
      </c>
      <c r="D18" s="363">
        <v>0</v>
      </c>
      <c r="E18" s="494">
        <f>SUM(C18:D18)</f>
        <v>137</v>
      </c>
    </row>
    <row r="19" spans="1:5" ht="12.75">
      <c r="A19" s="501">
        <v>3</v>
      </c>
      <c r="B19" s="456" t="s">
        <v>595</v>
      </c>
      <c r="C19" s="363"/>
      <c r="D19" s="363"/>
      <c r="E19" s="494"/>
    </row>
    <row r="20" spans="1:5" ht="12.75">
      <c r="A20" s="501"/>
      <c r="B20" s="287" t="s">
        <v>623</v>
      </c>
      <c r="C20" s="363">
        <v>0</v>
      </c>
      <c r="D20" s="363">
        <v>0</v>
      </c>
      <c r="E20" s="494">
        <f>SUM(C20:D20)</f>
        <v>0</v>
      </c>
    </row>
    <row r="21" spans="1:5" ht="12.75">
      <c r="A21" s="501"/>
      <c r="B21" s="287" t="s">
        <v>624</v>
      </c>
      <c r="C21" s="363">
        <v>171</v>
      </c>
      <c r="D21" s="363">
        <v>0</v>
      </c>
      <c r="E21" s="494">
        <f>SUM(C21:D21)</f>
        <v>171</v>
      </c>
    </row>
    <row r="22" spans="1:5" ht="13.5" thickBot="1">
      <c r="A22" s="455"/>
      <c r="B22" s="287" t="s">
        <v>625</v>
      </c>
      <c r="C22" s="457">
        <v>171</v>
      </c>
      <c r="D22" s="457">
        <v>0</v>
      </c>
      <c r="E22" s="494">
        <f>SUM(C22:D22)</f>
        <v>171</v>
      </c>
    </row>
    <row r="23" spans="1:5" ht="14.25" thickBot="1" thickTop="1">
      <c r="A23" s="502"/>
      <c r="B23" s="503" t="s">
        <v>897</v>
      </c>
      <c r="C23" s="504"/>
      <c r="D23" s="504"/>
      <c r="E23" s="505"/>
    </row>
    <row r="24" spans="1:5" ht="13.5" thickTop="1">
      <c r="A24" s="506"/>
      <c r="B24" s="320" t="s">
        <v>623</v>
      </c>
      <c r="C24" s="507">
        <f aca="true" t="shared" si="0" ref="C24:E26">C12+C16+C20</f>
        <v>210</v>
      </c>
      <c r="D24" s="507">
        <f t="shared" si="0"/>
        <v>0</v>
      </c>
      <c r="E24" s="508">
        <f t="shared" si="0"/>
        <v>210</v>
      </c>
    </row>
    <row r="25" spans="1:5" ht="12.75">
      <c r="A25" s="455"/>
      <c r="B25" s="320" t="s">
        <v>624</v>
      </c>
      <c r="C25" s="474">
        <f t="shared" si="0"/>
        <v>518</v>
      </c>
      <c r="D25" s="474">
        <f t="shared" si="0"/>
        <v>0</v>
      </c>
      <c r="E25" s="458">
        <f t="shared" si="0"/>
        <v>518</v>
      </c>
    </row>
    <row r="26" spans="1:5" ht="13.5" thickBot="1">
      <c r="A26" s="509"/>
      <c r="B26" s="321" t="s">
        <v>625</v>
      </c>
      <c r="C26" s="476">
        <f t="shared" si="0"/>
        <v>518</v>
      </c>
      <c r="D26" s="476">
        <f t="shared" si="0"/>
        <v>0</v>
      </c>
      <c r="E26" s="477">
        <f t="shared" si="0"/>
        <v>518</v>
      </c>
    </row>
    <row r="27" spans="1:5" ht="9.75" customHeight="1" thickBot="1">
      <c r="A27" s="437"/>
      <c r="B27" s="437"/>
      <c r="C27" s="438"/>
      <c r="D27" s="438"/>
      <c r="E27" s="440"/>
    </row>
    <row r="28" spans="1:5" ht="13.5" hidden="1" thickBot="1">
      <c r="A28" s="442"/>
      <c r="B28" s="478"/>
      <c r="C28" s="444"/>
      <c r="D28" s="444"/>
      <c r="E28" s="445"/>
    </row>
    <row r="29" spans="1:5" ht="12.75">
      <c r="A29" s="1950" t="s">
        <v>358</v>
      </c>
      <c r="B29" s="1951"/>
      <c r="C29" s="510" t="s">
        <v>359</v>
      </c>
      <c r="D29" s="510" t="s">
        <v>360</v>
      </c>
      <c r="E29" s="1953" t="s">
        <v>361</v>
      </c>
    </row>
    <row r="30" spans="1:5" ht="12.75">
      <c r="A30" s="1947"/>
      <c r="B30" s="1952"/>
      <c r="C30" s="446" t="s">
        <v>362</v>
      </c>
      <c r="D30" s="446" t="s">
        <v>362</v>
      </c>
      <c r="E30" s="1949"/>
    </row>
    <row r="31" spans="1:5" ht="0.75" customHeight="1" thickBot="1">
      <c r="A31" s="447"/>
      <c r="B31" s="479"/>
      <c r="C31" s="449"/>
      <c r="D31" s="449"/>
      <c r="E31" s="450"/>
    </row>
    <row r="32" spans="1:5" ht="13.5" thickBot="1">
      <c r="A32" s="1944" t="s">
        <v>371</v>
      </c>
      <c r="B32" s="1945"/>
      <c r="C32" s="1945"/>
      <c r="D32" s="1945"/>
      <c r="E32" s="1946"/>
    </row>
    <row r="33" spans="1:5" ht="12.75">
      <c r="A33" s="480" t="s">
        <v>364</v>
      </c>
      <c r="B33" s="511" t="s">
        <v>372</v>
      </c>
      <c r="C33" s="512"/>
      <c r="D33" s="512"/>
      <c r="E33" s="513"/>
    </row>
    <row r="34" spans="1:5" ht="12.75">
      <c r="A34" s="514">
        <v>1</v>
      </c>
      <c r="B34" s="515" t="s">
        <v>353</v>
      </c>
      <c r="C34" s="516"/>
      <c r="D34" s="516"/>
      <c r="E34" s="517"/>
    </row>
    <row r="35" spans="1:5" ht="12.75">
      <c r="A35" s="514"/>
      <c r="B35" s="518" t="s">
        <v>623</v>
      </c>
      <c r="C35" s="363">
        <v>80</v>
      </c>
      <c r="D35" s="519">
        <v>0</v>
      </c>
      <c r="E35" s="494">
        <f>SUM(C35:D35)</f>
        <v>80</v>
      </c>
    </row>
    <row r="36" spans="1:5" ht="12.75">
      <c r="A36" s="514"/>
      <c r="B36" s="520" t="s">
        <v>624</v>
      </c>
      <c r="C36" s="363">
        <v>80</v>
      </c>
      <c r="D36" s="519">
        <v>0</v>
      </c>
      <c r="E36" s="494">
        <f>SUM(C36:D36)</f>
        <v>80</v>
      </c>
    </row>
    <row r="37" spans="1:5" ht="12.75">
      <c r="A37" s="514"/>
      <c r="B37" s="518" t="s">
        <v>625</v>
      </c>
      <c r="C37" s="363">
        <v>70</v>
      </c>
      <c r="D37" s="519">
        <v>0</v>
      </c>
      <c r="E37" s="494">
        <f>SUM(C37:D37)</f>
        <v>70</v>
      </c>
    </row>
    <row r="38" spans="1:5" ht="12.75">
      <c r="A38" s="514">
        <v>2</v>
      </c>
      <c r="B38" s="515" t="s">
        <v>354</v>
      </c>
      <c r="C38" s="519"/>
      <c r="D38" s="519"/>
      <c r="E38" s="521"/>
    </row>
    <row r="39" spans="1:5" ht="12.75">
      <c r="A39" s="514"/>
      <c r="B39" s="520" t="s">
        <v>623</v>
      </c>
      <c r="C39" s="363">
        <v>30</v>
      </c>
      <c r="D39" s="363">
        <v>0</v>
      </c>
      <c r="E39" s="494">
        <f>SUM(C39:D39)</f>
        <v>30</v>
      </c>
    </row>
    <row r="40" spans="1:5" ht="12.75">
      <c r="A40" s="514"/>
      <c r="B40" s="520" t="s">
        <v>624</v>
      </c>
      <c r="C40" s="363">
        <v>30</v>
      </c>
      <c r="D40" s="519">
        <v>0</v>
      </c>
      <c r="E40" s="494">
        <f>SUM(C40:D40)</f>
        <v>30</v>
      </c>
    </row>
    <row r="41" spans="1:5" ht="12.75">
      <c r="A41" s="514"/>
      <c r="B41" s="518" t="s">
        <v>625</v>
      </c>
      <c r="C41" s="363">
        <v>19</v>
      </c>
      <c r="D41" s="519">
        <v>0</v>
      </c>
      <c r="E41" s="494">
        <f>SUM(C41:D41)</f>
        <v>19</v>
      </c>
    </row>
    <row r="42" spans="1:5" ht="12.75">
      <c r="A42" s="514">
        <v>3</v>
      </c>
      <c r="B42" s="515" t="s">
        <v>355</v>
      </c>
      <c r="C42" s="519"/>
      <c r="D42" s="519"/>
      <c r="E42" s="521"/>
    </row>
    <row r="43" spans="1:5" ht="12.75">
      <c r="A43" s="514"/>
      <c r="B43" s="520" t="s">
        <v>623</v>
      </c>
      <c r="C43" s="363">
        <v>100</v>
      </c>
      <c r="D43" s="519">
        <v>0</v>
      </c>
      <c r="E43" s="494">
        <f>SUM(C43:D43)</f>
        <v>100</v>
      </c>
    </row>
    <row r="44" spans="1:5" ht="12.75">
      <c r="A44" s="514"/>
      <c r="B44" s="520" t="s">
        <v>624</v>
      </c>
      <c r="C44" s="363">
        <v>408</v>
      </c>
      <c r="D44" s="519">
        <v>0</v>
      </c>
      <c r="E44" s="494">
        <f>SUM(C44:D44)</f>
        <v>408</v>
      </c>
    </row>
    <row r="45" spans="1:5" ht="12.75">
      <c r="A45" s="514"/>
      <c r="B45" s="518" t="s">
        <v>625</v>
      </c>
      <c r="C45" s="363">
        <v>103</v>
      </c>
      <c r="D45" s="519">
        <v>0</v>
      </c>
      <c r="E45" s="494">
        <f>SUM(C45:D45)</f>
        <v>103</v>
      </c>
    </row>
    <row r="46" spans="1:5" ht="12.75">
      <c r="A46" s="514">
        <v>4</v>
      </c>
      <c r="B46" s="515" t="s">
        <v>373</v>
      </c>
      <c r="C46" s="519"/>
      <c r="D46" s="519"/>
      <c r="E46" s="521"/>
    </row>
    <row r="47" spans="1:5" ht="12.75">
      <c r="A47" s="514"/>
      <c r="B47" s="520" t="s">
        <v>623</v>
      </c>
      <c r="C47" s="363">
        <f>'[1]5'!G594</f>
        <v>0</v>
      </c>
      <c r="D47" s="519">
        <v>0</v>
      </c>
      <c r="E47" s="494">
        <f>SUM(C47:D47)</f>
        <v>0</v>
      </c>
    </row>
    <row r="48" spans="1:5" ht="12.75">
      <c r="A48" s="455"/>
      <c r="B48" s="520" t="s">
        <v>624</v>
      </c>
      <c r="C48" s="457">
        <f>'[1]5'!G595</f>
        <v>0</v>
      </c>
      <c r="D48" s="457">
        <v>0</v>
      </c>
      <c r="E48" s="494">
        <f>SUM(C48:D48)</f>
        <v>0</v>
      </c>
    </row>
    <row r="49" spans="1:5" ht="12.75">
      <c r="A49" s="455"/>
      <c r="B49" s="518" t="s">
        <v>625</v>
      </c>
      <c r="C49" s="457">
        <f>'[1]5'!G596</f>
        <v>0</v>
      </c>
      <c r="D49" s="457">
        <v>0</v>
      </c>
      <c r="E49" s="494">
        <f>SUM(C49:D49)</f>
        <v>0</v>
      </c>
    </row>
    <row r="50" spans="1:5" ht="12.75">
      <c r="A50" s="455">
        <v>5</v>
      </c>
      <c r="B50" s="456" t="s">
        <v>401</v>
      </c>
      <c r="C50" s="457"/>
      <c r="D50" s="457"/>
      <c r="E50" s="458"/>
    </row>
    <row r="51" spans="1:5" ht="12.75">
      <c r="A51" s="455"/>
      <c r="B51" s="287" t="s">
        <v>623</v>
      </c>
      <c r="C51" s="457">
        <v>0</v>
      </c>
      <c r="D51" s="457">
        <v>0</v>
      </c>
      <c r="E51" s="458">
        <f>SUM(C51:D51)</f>
        <v>0</v>
      </c>
    </row>
    <row r="52" spans="1:5" ht="12.75">
      <c r="A52" s="455"/>
      <c r="B52" s="287" t="s">
        <v>624</v>
      </c>
      <c r="C52" s="457">
        <v>0</v>
      </c>
      <c r="D52" s="457">
        <v>0</v>
      </c>
      <c r="E52" s="458">
        <f>SUM(C52:D52)</f>
        <v>0</v>
      </c>
    </row>
    <row r="53" spans="1:5" ht="12.75">
      <c r="A53" s="455"/>
      <c r="B53" s="299" t="s">
        <v>625</v>
      </c>
      <c r="C53" s="457">
        <v>0</v>
      </c>
      <c r="D53" s="457">
        <v>0</v>
      </c>
      <c r="E53" s="458">
        <f>SUM(C53:D53)</f>
        <v>0</v>
      </c>
    </row>
    <row r="54" spans="1:5" ht="15.75" customHeight="1">
      <c r="A54" s="455">
        <v>6</v>
      </c>
      <c r="B54" s="348" t="s">
        <v>400</v>
      </c>
      <c r="C54" s="474"/>
      <c r="D54" s="522">
        <f>SUM(D48:D52)</f>
        <v>0</v>
      </c>
      <c r="E54" s="458"/>
    </row>
    <row r="55" spans="1:5" ht="12.75">
      <c r="A55" s="455"/>
      <c r="B55" s="520" t="s">
        <v>623</v>
      </c>
      <c r="C55" s="457">
        <v>0</v>
      </c>
      <c r="D55" s="457">
        <v>0</v>
      </c>
      <c r="E55" s="458">
        <f>SUM(C55:D55)</f>
        <v>0</v>
      </c>
    </row>
    <row r="56" spans="1:5" ht="12.75">
      <c r="A56" s="514"/>
      <c r="B56" s="520" t="s">
        <v>624</v>
      </c>
      <c r="C56" s="363">
        <v>0</v>
      </c>
      <c r="D56" s="363">
        <v>0</v>
      </c>
      <c r="E56" s="458">
        <f>SUM(C56:D56)</f>
        <v>0</v>
      </c>
    </row>
    <row r="57" spans="1:5" ht="13.5" thickBot="1">
      <c r="A57" s="523"/>
      <c r="B57" s="524" t="s">
        <v>625</v>
      </c>
      <c r="C57" s="525">
        <v>0</v>
      </c>
      <c r="D57" s="526">
        <v>0</v>
      </c>
      <c r="E57" s="465">
        <f>SUM(C57:D57)</f>
        <v>0</v>
      </c>
    </row>
    <row r="58" spans="1:5" ht="14.25" thickBot="1" thickTop="1">
      <c r="A58" s="527"/>
      <c r="B58" s="528" t="s">
        <v>896</v>
      </c>
      <c r="C58" s="529"/>
      <c r="D58" s="529"/>
      <c r="E58" s="530"/>
    </row>
    <row r="59" spans="1:5" ht="13.5" thickTop="1">
      <c r="A59" s="531"/>
      <c r="B59" s="532" t="s">
        <v>623</v>
      </c>
      <c r="C59" s="533">
        <f aca="true" t="shared" si="1" ref="C59:E61">C35+C43+C39+C47+C51+C55</f>
        <v>210</v>
      </c>
      <c r="D59" s="533">
        <f t="shared" si="1"/>
        <v>0</v>
      </c>
      <c r="E59" s="534">
        <f t="shared" si="1"/>
        <v>210</v>
      </c>
    </row>
    <row r="60" spans="1:5" ht="12.75">
      <c r="A60" s="535"/>
      <c r="B60" s="536" t="s">
        <v>624</v>
      </c>
      <c r="C60" s="474">
        <f t="shared" si="1"/>
        <v>518</v>
      </c>
      <c r="D60" s="474">
        <f t="shared" si="1"/>
        <v>0</v>
      </c>
      <c r="E60" s="458">
        <f t="shared" si="1"/>
        <v>518</v>
      </c>
    </row>
    <row r="61" spans="1:5" ht="13.5" thickBot="1">
      <c r="A61" s="537"/>
      <c r="B61" s="538" t="s">
        <v>625</v>
      </c>
      <c r="C61" s="476">
        <f t="shared" si="1"/>
        <v>192</v>
      </c>
      <c r="D61" s="476">
        <f t="shared" si="1"/>
        <v>0</v>
      </c>
      <c r="E61" s="477">
        <f t="shared" si="1"/>
        <v>192</v>
      </c>
    </row>
  </sheetData>
  <sheetProtection/>
  <mergeCells count="6">
    <mergeCell ref="A32:E32"/>
    <mergeCell ref="A6:B7"/>
    <mergeCell ref="E6:E7"/>
    <mergeCell ref="A9:E9"/>
    <mergeCell ref="A29:B30"/>
    <mergeCell ref="E29:E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4.00390625" style="240" customWidth="1"/>
    <col min="2" max="2" width="38.625" style="240" customWidth="1"/>
    <col min="3" max="4" width="11.875" style="240" customWidth="1"/>
    <col min="5" max="5" width="12.125" style="240" customWidth="1"/>
  </cols>
  <sheetData>
    <row r="1" spans="1:5" ht="12.75">
      <c r="A1" s="437"/>
      <c r="B1" s="437"/>
      <c r="C1" s="438"/>
      <c r="D1" s="438"/>
      <c r="E1" s="439"/>
    </row>
    <row r="2" spans="1:5" ht="12.75">
      <c r="A2" s="437"/>
      <c r="B2" s="437"/>
      <c r="C2" s="438"/>
      <c r="D2" s="438"/>
      <c r="E2" s="440" t="s">
        <v>466</v>
      </c>
    </row>
    <row r="3" spans="1:5" ht="7.5" customHeight="1">
      <c r="A3" s="437"/>
      <c r="B3" s="437"/>
      <c r="C3" s="438"/>
      <c r="D3" s="438"/>
      <c r="E3" s="439"/>
    </row>
    <row r="4" spans="1:5" ht="3" customHeight="1" thickBot="1">
      <c r="A4" s="437"/>
      <c r="B4" s="437"/>
      <c r="C4" s="438"/>
      <c r="D4" s="438"/>
      <c r="E4" s="441" t="s">
        <v>297</v>
      </c>
    </row>
    <row r="5" spans="1:5" ht="0.75" customHeight="1">
      <c r="A5" s="442"/>
      <c r="B5" s="443"/>
      <c r="C5" s="444"/>
      <c r="D5" s="444"/>
      <c r="E5" s="445"/>
    </row>
    <row r="6" spans="1:5" ht="10.5" customHeight="1">
      <c r="A6" s="1947" t="s">
        <v>358</v>
      </c>
      <c r="B6" s="1948"/>
      <c r="C6" s="446" t="s">
        <v>359</v>
      </c>
      <c r="D6" s="446" t="s">
        <v>360</v>
      </c>
      <c r="E6" s="1949" t="s">
        <v>361</v>
      </c>
    </row>
    <row r="7" spans="1:5" ht="10.5" customHeight="1">
      <c r="A7" s="1947"/>
      <c r="B7" s="1948"/>
      <c r="C7" s="446" t="s">
        <v>362</v>
      </c>
      <c r="D7" s="446" t="s">
        <v>362</v>
      </c>
      <c r="E7" s="1949"/>
    </row>
    <row r="8" spans="1:5" ht="5.25" customHeight="1" thickBot="1">
      <c r="A8" s="447"/>
      <c r="B8" s="448"/>
      <c r="C8" s="449"/>
      <c r="D8" s="449"/>
      <c r="E8" s="450"/>
    </row>
    <row r="9" spans="1:5" ht="13.5" thickBot="1">
      <c r="A9" s="1944" t="s">
        <v>363</v>
      </c>
      <c r="B9" s="1945"/>
      <c r="C9" s="1945"/>
      <c r="D9" s="1945"/>
      <c r="E9" s="1946"/>
    </row>
    <row r="10" spans="1:5" ht="12" customHeight="1">
      <c r="A10" s="451" t="s">
        <v>364</v>
      </c>
      <c r="B10" s="452" t="s">
        <v>9</v>
      </c>
      <c r="C10" s="453"/>
      <c r="D10" s="453"/>
      <c r="E10" s="454"/>
    </row>
    <row r="11" spans="1:5" ht="12.75">
      <c r="A11" s="455">
        <v>1</v>
      </c>
      <c r="B11" s="456" t="s">
        <v>370</v>
      </c>
      <c r="C11" s="457"/>
      <c r="D11" s="457"/>
      <c r="E11" s="458"/>
    </row>
    <row r="12" spans="1:5" ht="11.25" customHeight="1">
      <c r="A12" s="455"/>
      <c r="B12" s="287" t="s">
        <v>623</v>
      </c>
      <c r="C12" s="457">
        <v>210</v>
      </c>
      <c r="D12" s="457">
        <v>0</v>
      </c>
      <c r="E12" s="458">
        <f>SUM(C12:D12)</f>
        <v>210</v>
      </c>
    </row>
    <row r="13" spans="1:5" ht="10.5" customHeight="1">
      <c r="A13" s="455"/>
      <c r="B13" s="287" t="s">
        <v>624</v>
      </c>
      <c r="C13" s="457">
        <v>210</v>
      </c>
      <c r="D13" s="457">
        <v>0</v>
      </c>
      <c r="E13" s="458">
        <f>SUM(C13:D13)</f>
        <v>210</v>
      </c>
    </row>
    <row r="14" spans="1:5" ht="10.5" customHeight="1">
      <c r="A14" s="455"/>
      <c r="B14" s="287" t="s">
        <v>625</v>
      </c>
      <c r="C14" s="457">
        <v>210</v>
      </c>
      <c r="D14" s="457">
        <v>0</v>
      </c>
      <c r="E14" s="458">
        <f>SUM(C14:D14)</f>
        <v>210</v>
      </c>
    </row>
    <row r="15" spans="1:5" ht="12.75">
      <c r="A15" s="455">
        <v>2</v>
      </c>
      <c r="B15" s="456" t="s">
        <v>246</v>
      </c>
      <c r="C15" s="457"/>
      <c r="D15" s="457"/>
      <c r="E15" s="458"/>
    </row>
    <row r="16" spans="1:5" ht="12.75">
      <c r="A16" s="455"/>
      <c r="B16" s="287" t="s">
        <v>623</v>
      </c>
      <c r="C16" s="457">
        <v>0</v>
      </c>
      <c r="D16" s="457">
        <v>0</v>
      </c>
      <c r="E16" s="458">
        <f>SUM(C16:D16)</f>
        <v>0</v>
      </c>
    </row>
    <row r="17" spans="1:5" ht="12.75">
      <c r="A17" s="455"/>
      <c r="B17" s="287" t="s">
        <v>624</v>
      </c>
      <c r="C17" s="457">
        <v>26</v>
      </c>
      <c r="D17" s="457">
        <v>0</v>
      </c>
      <c r="E17" s="458">
        <f>SUM(C17:D17)</f>
        <v>26</v>
      </c>
    </row>
    <row r="18" spans="1:5" ht="12.75">
      <c r="A18" s="455"/>
      <c r="B18" s="287" t="s">
        <v>625</v>
      </c>
      <c r="C18" s="457">
        <v>26</v>
      </c>
      <c r="D18" s="457">
        <v>0</v>
      </c>
      <c r="E18" s="458">
        <f>SUM(C18:D18)</f>
        <v>26</v>
      </c>
    </row>
    <row r="19" spans="1:5" ht="12.75">
      <c r="A19" s="459">
        <v>3</v>
      </c>
      <c r="B19" s="402" t="s">
        <v>644</v>
      </c>
      <c r="C19" s="461"/>
      <c r="D19" s="461"/>
      <c r="E19" s="462"/>
    </row>
    <row r="20" spans="1:5" ht="12.75">
      <c r="A20" s="463"/>
      <c r="B20" s="287" t="s">
        <v>623</v>
      </c>
      <c r="C20" s="457">
        <v>0</v>
      </c>
      <c r="D20" s="457"/>
      <c r="E20" s="458">
        <f>C20</f>
        <v>0</v>
      </c>
    </row>
    <row r="21" spans="1:5" ht="12.75">
      <c r="A21" s="463"/>
      <c r="B21" s="287" t="s">
        <v>624</v>
      </c>
      <c r="C21" s="457">
        <v>160</v>
      </c>
      <c r="D21" s="457"/>
      <c r="E21" s="458">
        <f>C21</f>
        <v>160</v>
      </c>
    </row>
    <row r="22" spans="1:5" ht="12.75">
      <c r="A22" s="459"/>
      <c r="B22" s="464" t="s">
        <v>625</v>
      </c>
      <c r="C22" s="461">
        <v>160</v>
      </c>
      <c r="D22" s="461"/>
      <c r="E22" s="465">
        <f>C22</f>
        <v>160</v>
      </c>
    </row>
    <row r="23" spans="1:5" ht="12.75">
      <c r="A23" s="463">
        <v>4</v>
      </c>
      <c r="B23" s="402" t="s">
        <v>595</v>
      </c>
      <c r="C23" s="457"/>
      <c r="D23" s="457"/>
      <c r="E23" s="458"/>
    </row>
    <row r="24" spans="1:5" ht="12.75">
      <c r="A24" s="463"/>
      <c r="B24" s="287" t="s">
        <v>623</v>
      </c>
      <c r="C24" s="457">
        <v>0</v>
      </c>
      <c r="D24" s="457"/>
      <c r="E24" s="458">
        <f>C24</f>
        <v>0</v>
      </c>
    </row>
    <row r="25" spans="1:5" ht="12.75">
      <c r="A25" s="463"/>
      <c r="B25" s="287" t="s">
        <v>624</v>
      </c>
      <c r="C25" s="457">
        <v>1111</v>
      </c>
      <c r="D25" s="457"/>
      <c r="E25" s="458">
        <f>C25</f>
        <v>1111</v>
      </c>
    </row>
    <row r="26" spans="1:5" ht="13.5" thickBot="1">
      <c r="A26" s="459"/>
      <c r="B26" s="464" t="s">
        <v>625</v>
      </c>
      <c r="C26" s="461">
        <v>1111</v>
      </c>
      <c r="D26" s="461"/>
      <c r="E26" s="462">
        <f>C26</f>
        <v>1111</v>
      </c>
    </row>
    <row r="27" spans="1:5" ht="14.25" thickBot="1" thickTop="1">
      <c r="A27" s="466"/>
      <c r="B27" s="467" t="s">
        <v>645</v>
      </c>
      <c r="C27" s="468"/>
      <c r="D27" s="468"/>
      <c r="E27" s="469"/>
    </row>
    <row r="28" spans="1:5" ht="13.5" thickTop="1">
      <c r="A28" s="470"/>
      <c r="B28" s="370" t="s">
        <v>623</v>
      </c>
      <c r="C28" s="471">
        <f>C12+C16+C20+C24</f>
        <v>210</v>
      </c>
      <c r="D28" s="471">
        <f>D12+D16+D20+D24</f>
        <v>0</v>
      </c>
      <c r="E28" s="472">
        <f>E12+E16+E20+E24</f>
        <v>210</v>
      </c>
    </row>
    <row r="29" spans="1:5" ht="12.75">
      <c r="A29" s="473"/>
      <c r="B29" s="320" t="s">
        <v>624</v>
      </c>
      <c r="C29" s="474">
        <f>C13+C17+C21+C25</f>
        <v>1507</v>
      </c>
      <c r="D29" s="474">
        <f>D13+D17+D21</f>
        <v>0</v>
      </c>
      <c r="E29" s="458">
        <f>E13+E17+E21</f>
        <v>396</v>
      </c>
    </row>
    <row r="30" spans="1:5" ht="13.5" thickBot="1">
      <c r="A30" s="475"/>
      <c r="B30" s="321" t="s">
        <v>625</v>
      </c>
      <c r="C30" s="476">
        <f>C14+C18+C22+C26</f>
        <v>1507</v>
      </c>
      <c r="D30" s="476">
        <f>D14+D18+D22+D26</f>
        <v>0</v>
      </c>
      <c r="E30" s="477">
        <f>E14+E18+E22+E26</f>
        <v>1507</v>
      </c>
    </row>
    <row r="31" spans="1:5" ht="7.5" customHeight="1" thickBot="1">
      <c r="A31" s="437"/>
      <c r="B31" s="437"/>
      <c r="C31" s="438"/>
      <c r="D31" s="438"/>
      <c r="E31" s="439"/>
    </row>
    <row r="32" spans="1:5" ht="0.75" customHeight="1" hidden="1" thickBot="1">
      <c r="A32" s="437"/>
      <c r="B32" s="437"/>
      <c r="C32" s="438"/>
      <c r="D32" s="438"/>
      <c r="E32" s="441" t="s">
        <v>297</v>
      </c>
    </row>
    <row r="33" spans="1:5" ht="0.75" customHeight="1">
      <c r="A33" s="442"/>
      <c r="B33" s="478"/>
      <c r="C33" s="444"/>
      <c r="D33" s="444"/>
      <c r="E33" s="445"/>
    </row>
    <row r="34" spans="1:5" ht="10.5" customHeight="1">
      <c r="A34" s="1947" t="s">
        <v>358</v>
      </c>
      <c r="B34" s="1952"/>
      <c r="C34" s="446" t="s">
        <v>359</v>
      </c>
      <c r="D34" s="446" t="s">
        <v>360</v>
      </c>
      <c r="E34" s="1949" t="s">
        <v>361</v>
      </c>
    </row>
    <row r="35" spans="1:5" ht="10.5" customHeight="1">
      <c r="A35" s="1947"/>
      <c r="B35" s="1952"/>
      <c r="C35" s="446" t="s">
        <v>362</v>
      </c>
      <c r="D35" s="446" t="s">
        <v>362</v>
      </c>
      <c r="E35" s="1949"/>
    </row>
    <row r="36" spans="1:5" ht="0.75" customHeight="1" thickBot="1">
      <c r="A36" s="447"/>
      <c r="B36" s="479"/>
      <c r="C36" s="449"/>
      <c r="D36" s="449"/>
      <c r="E36" s="450"/>
    </row>
    <row r="37" spans="1:5" ht="13.5" thickBot="1">
      <c r="A37" s="1944" t="s">
        <v>371</v>
      </c>
      <c r="B37" s="1945"/>
      <c r="C37" s="1945"/>
      <c r="D37" s="1945"/>
      <c r="E37" s="1946"/>
    </row>
    <row r="38" spans="1:5" ht="12.75">
      <c r="A38" s="480" t="s">
        <v>364</v>
      </c>
      <c r="B38" s="481" t="s">
        <v>372</v>
      </c>
      <c r="C38" s="482"/>
      <c r="D38" s="482"/>
      <c r="E38" s="483"/>
    </row>
    <row r="39" spans="1:5" ht="12.75">
      <c r="A39" s="484">
        <v>1</v>
      </c>
      <c r="B39" s="456" t="s">
        <v>353</v>
      </c>
      <c r="C39" s="457"/>
      <c r="D39" s="457"/>
      <c r="E39" s="458"/>
    </row>
    <row r="40" spans="1:5" ht="12.75">
      <c r="A40" s="455"/>
      <c r="B40" s="299" t="s">
        <v>623</v>
      </c>
      <c r="C40" s="461">
        <v>0</v>
      </c>
      <c r="D40" s="461">
        <v>0</v>
      </c>
      <c r="E40" s="485">
        <f>SUM(C40:D40)</f>
        <v>0</v>
      </c>
    </row>
    <row r="41" spans="1:5" ht="12.75">
      <c r="A41" s="455"/>
      <c r="B41" s="287" t="s">
        <v>624</v>
      </c>
      <c r="C41" s="457">
        <v>0</v>
      </c>
      <c r="D41" s="457">
        <v>0</v>
      </c>
      <c r="E41" s="458">
        <f>SUM(C41:D41)</f>
        <v>0</v>
      </c>
    </row>
    <row r="42" spans="1:5" ht="12.75">
      <c r="A42" s="455"/>
      <c r="B42" s="299" t="s">
        <v>625</v>
      </c>
      <c r="C42" s="457">
        <f>'[1]5'!D592</f>
        <v>0</v>
      </c>
      <c r="D42" s="457">
        <v>0</v>
      </c>
      <c r="E42" s="485">
        <f>SUM(C42:D42)</f>
        <v>0</v>
      </c>
    </row>
    <row r="43" spans="1:5" ht="12.75">
      <c r="A43" s="455">
        <v>2</v>
      </c>
      <c r="B43" s="456" t="s">
        <v>354</v>
      </c>
      <c r="C43" s="457"/>
      <c r="D43" s="457"/>
      <c r="E43" s="458"/>
    </row>
    <row r="44" spans="1:5" ht="12.75">
      <c r="A44" s="455"/>
      <c r="B44" s="287" t="s">
        <v>623</v>
      </c>
      <c r="C44" s="457">
        <v>0</v>
      </c>
      <c r="D44" s="457">
        <v>0</v>
      </c>
      <c r="E44" s="458">
        <f>SUM(C44:D44)</f>
        <v>0</v>
      </c>
    </row>
    <row r="45" spans="1:5" ht="12.75">
      <c r="A45" s="455"/>
      <c r="B45" s="287" t="s">
        <v>624</v>
      </c>
      <c r="C45" s="457">
        <v>0</v>
      </c>
      <c r="D45" s="457">
        <v>0</v>
      </c>
      <c r="E45" s="458">
        <f>SUM(C45:D45)</f>
        <v>0</v>
      </c>
    </row>
    <row r="46" spans="1:5" ht="12.75">
      <c r="A46" s="455"/>
      <c r="B46" s="299" t="s">
        <v>625</v>
      </c>
      <c r="C46" s="457">
        <v>0</v>
      </c>
      <c r="D46" s="457">
        <v>0</v>
      </c>
      <c r="E46" s="458">
        <f>SUM(C46:D46)</f>
        <v>0</v>
      </c>
    </row>
    <row r="47" spans="1:5" ht="10.5" customHeight="1">
      <c r="A47" s="455">
        <v>3</v>
      </c>
      <c r="B47" s="456" t="s">
        <v>355</v>
      </c>
      <c r="C47" s="457"/>
      <c r="D47" s="457"/>
      <c r="E47" s="458"/>
    </row>
    <row r="48" spans="1:5" ht="12.75">
      <c r="A48" s="455"/>
      <c r="B48" s="287" t="s">
        <v>623</v>
      </c>
      <c r="C48" s="457">
        <v>210</v>
      </c>
      <c r="D48" s="457">
        <v>0</v>
      </c>
      <c r="E48" s="458">
        <f>SUM(C48:D48)</f>
        <v>210</v>
      </c>
    </row>
    <row r="49" spans="1:5" ht="12.75">
      <c r="A49" s="455"/>
      <c r="B49" s="287" t="s">
        <v>624</v>
      </c>
      <c r="C49" s="457">
        <v>1507</v>
      </c>
      <c r="D49" s="457">
        <v>0</v>
      </c>
      <c r="E49" s="458">
        <f>SUM(C49:D49)</f>
        <v>1507</v>
      </c>
    </row>
    <row r="50" spans="1:5" ht="12.75">
      <c r="A50" s="455"/>
      <c r="B50" s="299" t="s">
        <v>625</v>
      </c>
      <c r="C50" s="457">
        <v>870</v>
      </c>
      <c r="D50" s="457">
        <v>0</v>
      </c>
      <c r="E50" s="458">
        <f>SUM(C50:D50)</f>
        <v>870</v>
      </c>
    </row>
    <row r="51" spans="1:5" ht="11.25" customHeight="1">
      <c r="A51" s="455">
        <v>4</v>
      </c>
      <c r="B51" s="456" t="s">
        <v>373</v>
      </c>
      <c r="C51" s="457"/>
      <c r="D51" s="457"/>
      <c r="E51" s="458"/>
    </row>
    <row r="52" spans="1:5" ht="12.75">
      <c r="A52" s="455"/>
      <c r="B52" s="287" t="s">
        <v>623</v>
      </c>
      <c r="C52" s="457">
        <f>'[1]5'!G590</f>
        <v>0</v>
      </c>
      <c r="D52" s="457">
        <v>0</v>
      </c>
      <c r="E52" s="458">
        <f>SUM(C52:D52)</f>
        <v>0</v>
      </c>
    </row>
    <row r="53" spans="1:5" ht="12.75">
      <c r="A53" s="455"/>
      <c r="B53" s="287" t="s">
        <v>624</v>
      </c>
      <c r="C53" s="457">
        <f>'[1]5'!G591</f>
        <v>0</v>
      </c>
      <c r="D53" s="457">
        <v>0</v>
      </c>
      <c r="E53" s="458">
        <f>SUM(C53:D53)</f>
        <v>0</v>
      </c>
    </row>
    <row r="54" spans="1:5" ht="12.75">
      <c r="A54" s="455"/>
      <c r="B54" s="299" t="s">
        <v>625</v>
      </c>
      <c r="C54" s="457">
        <f>'[1]5'!G592</f>
        <v>0</v>
      </c>
      <c r="D54" s="457">
        <v>0</v>
      </c>
      <c r="E54" s="458">
        <f>SUM(C54:D54)</f>
        <v>0</v>
      </c>
    </row>
    <row r="55" spans="1:5" ht="10.5" customHeight="1">
      <c r="A55" s="455">
        <v>5</v>
      </c>
      <c r="B55" s="456" t="s">
        <v>401</v>
      </c>
      <c r="C55" s="457"/>
      <c r="D55" s="457"/>
      <c r="E55" s="458"/>
    </row>
    <row r="56" spans="1:5" ht="12.75">
      <c r="A56" s="455"/>
      <c r="B56" s="287" t="s">
        <v>623</v>
      </c>
      <c r="C56" s="457">
        <v>0</v>
      </c>
      <c r="D56" s="457">
        <v>0</v>
      </c>
      <c r="E56" s="458">
        <f>SUM(C56:D56)</f>
        <v>0</v>
      </c>
    </row>
    <row r="57" spans="1:5" ht="12.75">
      <c r="A57" s="455"/>
      <c r="B57" s="287" t="s">
        <v>624</v>
      </c>
      <c r="C57" s="457">
        <v>0</v>
      </c>
      <c r="D57" s="457">
        <v>0</v>
      </c>
      <c r="E57" s="458">
        <f>SUM(C57:D57)</f>
        <v>0</v>
      </c>
    </row>
    <row r="58" spans="1:5" ht="12.75">
      <c r="A58" s="455"/>
      <c r="B58" s="299" t="s">
        <v>625</v>
      </c>
      <c r="C58" s="457">
        <f>'[1]5'!H592</f>
        <v>0</v>
      </c>
      <c r="D58" s="457">
        <v>0</v>
      </c>
      <c r="E58" s="458">
        <f>SUM(C58:D58)</f>
        <v>0</v>
      </c>
    </row>
    <row r="59" spans="1:5" ht="15" customHeight="1">
      <c r="A59" s="455">
        <v>6</v>
      </c>
      <c r="B59" s="348" t="s">
        <v>400</v>
      </c>
      <c r="C59" s="457"/>
      <c r="D59" s="457"/>
      <c r="E59" s="458"/>
    </row>
    <row r="60" spans="1:5" ht="12.75">
      <c r="A60" s="486"/>
      <c r="B60" s="287" t="s">
        <v>623</v>
      </c>
      <c r="C60" s="457">
        <v>0</v>
      </c>
      <c r="D60" s="457">
        <v>0</v>
      </c>
      <c r="E60" s="458">
        <f>SUM(C60:D60)</f>
        <v>0</v>
      </c>
    </row>
    <row r="61" spans="1:5" ht="12.75">
      <c r="A61" s="487"/>
      <c r="B61" s="287" t="s">
        <v>624</v>
      </c>
      <c r="C61" s="457">
        <v>0</v>
      </c>
      <c r="D61" s="457">
        <v>0</v>
      </c>
      <c r="E61" s="458">
        <f>SUM(C61:D61)</f>
        <v>0</v>
      </c>
    </row>
    <row r="62" spans="1:5" ht="13.5" thickBot="1">
      <c r="A62" s="488"/>
      <c r="B62" s="299" t="s">
        <v>625</v>
      </c>
      <c r="C62" s="489">
        <v>0</v>
      </c>
      <c r="D62" s="489">
        <v>0</v>
      </c>
      <c r="E62" s="458">
        <f>SUM(C62:D62)</f>
        <v>0</v>
      </c>
    </row>
    <row r="63" spans="1:5" ht="12" customHeight="1" thickBot="1" thickTop="1">
      <c r="A63" s="466"/>
      <c r="B63" s="467" t="s">
        <v>896</v>
      </c>
      <c r="C63" s="468"/>
      <c r="D63" s="468"/>
      <c r="E63" s="469"/>
    </row>
    <row r="64" spans="1:5" ht="13.5" thickTop="1">
      <c r="A64" s="490"/>
      <c r="B64" s="370" t="s">
        <v>623</v>
      </c>
      <c r="C64" s="491">
        <f aca="true" t="shared" si="0" ref="C64:E66">C40+C44+C48+C52+C56+C60</f>
        <v>210</v>
      </c>
      <c r="D64" s="491">
        <f t="shared" si="0"/>
        <v>0</v>
      </c>
      <c r="E64" s="492">
        <f t="shared" si="0"/>
        <v>210</v>
      </c>
    </row>
    <row r="65" spans="1:5" ht="12.75">
      <c r="A65" s="451"/>
      <c r="B65" s="320" t="s">
        <v>624</v>
      </c>
      <c r="C65" s="493">
        <f t="shared" si="0"/>
        <v>1507</v>
      </c>
      <c r="D65" s="493">
        <f t="shared" si="0"/>
        <v>0</v>
      </c>
      <c r="E65" s="494">
        <f t="shared" si="0"/>
        <v>1507</v>
      </c>
    </row>
    <row r="66" spans="1:5" ht="11.25" customHeight="1" thickBot="1">
      <c r="A66" s="495"/>
      <c r="B66" s="321" t="s">
        <v>625</v>
      </c>
      <c r="C66" s="496">
        <f t="shared" si="0"/>
        <v>870</v>
      </c>
      <c r="D66" s="496">
        <f t="shared" si="0"/>
        <v>0</v>
      </c>
      <c r="E66" s="497">
        <f t="shared" si="0"/>
        <v>870</v>
      </c>
    </row>
  </sheetData>
  <sheetProtection/>
  <mergeCells count="6">
    <mergeCell ref="A37:E37"/>
    <mergeCell ref="A6:B7"/>
    <mergeCell ref="E6:E7"/>
    <mergeCell ref="A9:E9"/>
    <mergeCell ref="A34:B35"/>
    <mergeCell ref="E34:E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163"/>
  <sheetViews>
    <sheetView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4.125" style="26" customWidth="1"/>
    <col min="2" max="2" width="37.75390625" style="231" customWidth="1"/>
    <col min="3" max="3" width="11.375" style="110" customWidth="1"/>
    <col min="4" max="4" width="11.625" style="110" customWidth="1"/>
    <col min="5" max="5" width="10.75390625" style="113" customWidth="1"/>
    <col min="6" max="16384" width="9.125" style="26" customWidth="1"/>
  </cols>
  <sheetData>
    <row r="5" spans="3:5" ht="12" thickBot="1">
      <c r="C5" s="27"/>
      <c r="D5" s="27"/>
      <c r="E5" s="555" t="s">
        <v>297</v>
      </c>
    </row>
    <row r="6" spans="1:5" ht="5.25" customHeight="1">
      <c r="A6" s="28"/>
      <c r="B6" s="232"/>
      <c r="C6" s="29"/>
      <c r="D6" s="29"/>
      <c r="E6" s="103"/>
    </row>
    <row r="7" spans="1:5" s="30" customFormat="1" ht="10.5">
      <c r="A7" s="1959" t="s">
        <v>358</v>
      </c>
      <c r="B7" s="1960"/>
      <c r="C7" s="556" t="s">
        <v>359</v>
      </c>
      <c r="D7" s="556" t="s">
        <v>360</v>
      </c>
      <c r="E7" s="1961" t="s">
        <v>361</v>
      </c>
    </row>
    <row r="8" spans="1:5" s="30" customFormat="1" ht="10.5">
      <c r="A8" s="1959"/>
      <c r="B8" s="1960"/>
      <c r="C8" s="556" t="s">
        <v>362</v>
      </c>
      <c r="D8" s="556" t="s">
        <v>362</v>
      </c>
      <c r="E8" s="1961"/>
    </row>
    <row r="9" spans="1:5" ht="4.5" customHeight="1" thickBot="1">
      <c r="A9" s="31"/>
      <c r="B9" s="233"/>
      <c r="C9" s="111"/>
      <c r="D9" s="111"/>
      <c r="E9" s="112"/>
    </row>
    <row r="10" spans="1:5" ht="13.5" customHeight="1" thickBot="1">
      <c r="A10" s="1956" t="s">
        <v>363</v>
      </c>
      <c r="B10" s="1957"/>
      <c r="C10" s="1957"/>
      <c r="D10" s="1957"/>
      <c r="E10" s="1958"/>
    </row>
    <row r="11" spans="1:5" s="33" customFormat="1" ht="12.75" customHeight="1">
      <c r="A11" s="32" t="s">
        <v>364</v>
      </c>
      <c r="B11" s="234" t="s">
        <v>365</v>
      </c>
      <c r="C11" s="557"/>
      <c r="D11" s="557"/>
      <c r="E11" s="558"/>
    </row>
    <row r="12" spans="1:5" s="33" customFormat="1" ht="12.75" customHeight="1">
      <c r="A12" s="32"/>
      <c r="B12" s="287" t="s">
        <v>623</v>
      </c>
      <c r="C12" s="559">
        <f>3!D12+3!D16</f>
        <v>72126</v>
      </c>
      <c r="D12" s="559">
        <f>3!E12+3!E16</f>
        <v>0</v>
      </c>
      <c r="E12" s="572">
        <f>3!F28</f>
        <v>72126</v>
      </c>
    </row>
    <row r="13" spans="1:5" s="33" customFormat="1" ht="12.75" customHeight="1">
      <c r="A13" s="32"/>
      <c r="B13" s="287" t="s">
        <v>624</v>
      </c>
      <c r="C13" s="559">
        <f>3!D13+3!D17+3!D25</f>
        <v>497416</v>
      </c>
      <c r="D13" s="559">
        <f>3!E13+3!E17</f>
        <v>400</v>
      </c>
      <c r="E13" s="572">
        <f>C13+D13</f>
        <v>497816</v>
      </c>
    </row>
    <row r="14" spans="1:5" s="33" customFormat="1" ht="12.75" customHeight="1">
      <c r="A14" s="32"/>
      <c r="B14" s="299" t="s">
        <v>625</v>
      </c>
      <c r="C14" s="559">
        <f>3!D14+3!D18+3!D26</f>
        <v>500338</v>
      </c>
      <c r="D14" s="559">
        <f>3!E14+3!E18</f>
        <v>400</v>
      </c>
      <c r="E14" s="572">
        <f>C14+D14</f>
        <v>500738</v>
      </c>
    </row>
    <row r="15" spans="1:5" s="33" customFormat="1" ht="14.25" customHeight="1">
      <c r="A15" s="34" t="s">
        <v>366</v>
      </c>
      <c r="B15" s="235" t="s">
        <v>367</v>
      </c>
      <c r="C15" s="669"/>
      <c r="D15" s="669"/>
      <c r="E15" s="670"/>
    </row>
    <row r="16" spans="1:5" s="36" customFormat="1" ht="12" customHeight="1">
      <c r="A16" s="35" t="s">
        <v>312</v>
      </c>
      <c r="B16" s="418" t="s">
        <v>541</v>
      </c>
      <c r="C16" s="671"/>
      <c r="D16" s="671"/>
      <c r="E16" s="672"/>
    </row>
    <row r="17" spans="1:5" s="36" customFormat="1" ht="12" customHeight="1">
      <c r="A17" s="35"/>
      <c r="B17" s="287" t="s">
        <v>623</v>
      </c>
      <c r="C17" s="560">
        <f>3!D105</f>
        <v>114928</v>
      </c>
      <c r="D17" s="560">
        <f>3!E105</f>
        <v>0</v>
      </c>
      <c r="E17" s="374">
        <f>C17+D17</f>
        <v>114928</v>
      </c>
    </row>
    <row r="18" spans="1:5" s="36" customFormat="1" ht="12" customHeight="1">
      <c r="A18" s="35"/>
      <c r="B18" s="287" t="s">
        <v>624</v>
      </c>
      <c r="C18" s="560">
        <f>3!D106</f>
        <v>139926</v>
      </c>
      <c r="D18" s="560">
        <f>3!E106</f>
        <v>3720</v>
      </c>
      <c r="E18" s="374">
        <f aca="true" t="shared" si="0" ref="E18:E47">C18+D18</f>
        <v>143646</v>
      </c>
    </row>
    <row r="19" spans="1:5" s="36" customFormat="1" ht="12" customHeight="1">
      <c r="A19" s="35"/>
      <c r="B19" s="287" t="s">
        <v>625</v>
      </c>
      <c r="C19" s="560">
        <f>3!D107</f>
        <v>165637</v>
      </c>
      <c r="D19" s="560">
        <f>3!E107</f>
        <v>8137</v>
      </c>
      <c r="E19" s="374">
        <f t="shared" si="0"/>
        <v>173774</v>
      </c>
    </row>
    <row r="20" spans="1:5" s="36" customFormat="1" ht="12" customHeight="1">
      <c r="A20" s="35" t="s">
        <v>314</v>
      </c>
      <c r="B20" s="418" t="s">
        <v>924</v>
      </c>
      <c r="C20" s="671"/>
      <c r="D20" s="671"/>
      <c r="E20" s="672"/>
    </row>
    <row r="21" spans="1:5" s="36" customFormat="1" ht="12" customHeight="1">
      <c r="A21" s="35"/>
      <c r="B21" s="287" t="s">
        <v>623</v>
      </c>
      <c r="C21" s="560">
        <f>3!D112+3!D116+3!D124+3!D120</f>
        <v>537500</v>
      </c>
      <c r="D21" s="560">
        <f>3!E112+3!E116+3!E124+3!E120</f>
        <v>50000</v>
      </c>
      <c r="E21" s="374">
        <f t="shared" si="0"/>
        <v>587500</v>
      </c>
    </row>
    <row r="22" spans="1:5" s="36" customFormat="1" ht="12" customHeight="1">
      <c r="A22" s="35"/>
      <c r="B22" s="287" t="s">
        <v>624</v>
      </c>
      <c r="C22" s="560">
        <f>3!D113+3!D117+3!D125+3!D121</f>
        <v>571600</v>
      </c>
      <c r="D22" s="560">
        <f>3!E113+3!E117+3!E125+3!E121</f>
        <v>50000</v>
      </c>
      <c r="E22" s="374">
        <f t="shared" si="0"/>
        <v>621600</v>
      </c>
    </row>
    <row r="23" spans="1:5" s="36" customFormat="1" ht="12" customHeight="1">
      <c r="A23" s="35"/>
      <c r="B23" s="287" t="s">
        <v>625</v>
      </c>
      <c r="C23" s="560">
        <f>3!D114+3!D118+3!D126+3!D122</f>
        <v>636990</v>
      </c>
      <c r="D23" s="560">
        <f>3!E114+3!E118+3!E126+3!E122</f>
        <v>50811</v>
      </c>
      <c r="E23" s="374">
        <f t="shared" si="0"/>
        <v>687801</v>
      </c>
    </row>
    <row r="24" spans="1:5" s="36" customFormat="1" ht="12" customHeight="1">
      <c r="A24" s="35" t="s">
        <v>316</v>
      </c>
      <c r="B24" s="418" t="s">
        <v>319</v>
      </c>
      <c r="C24" s="671"/>
      <c r="D24" s="671"/>
      <c r="E24" s="672"/>
    </row>
    <row r="25" spans="1:5" s="36" customFormat="1" ht="12" customHeight="1">
      <c r="A25" s="35"/>
      <c r="B25" s="287" t="s">
        <v>623</v>
      </c>
      <c r="C25" s="560">
        <f>3!D128+3!D132</f>
        <v>314434</v>
      </c>
      <c r="D25" s="560">
        <f>3!E128+3!E132</f>
        <v>0</v>
      </c>
      <c r="E25" s="374">
        <f t="shared" si="0"/>
        <v>314434</v>
      </c>
    </row>
    <row r="26" spans="1:5" s="36" customFormat="1" ht="12" customHeight="1">
      <c r="A26" s="35"/>
      <c r="B26" s="287" t="s">
        <v>624</v>
      </c>
      <c r="C26" s="560">
        <f>3!D129+3!D133</f>
        <v>314434</v>
      </c>
      <c r="D26" s="560">
        <f>3!E129+3!E133</f>
        <v>0</v>
      </c>
      <c r="E26" s="374">
        <f t="shared" si="0"/>
        <v>314434</v>
      </c>
    </row>
    <row r="27" spans="1:5" s="36" customFormat="1" ht="12" customHeight="1">
      <c r="A27" s="35"/>
      <c r="B27" s="287" t="s">
        <v>625</v>
      </c>
      <c r="C27" s="560">
        <f>3!D130+3!D134</f>
        <v>314434</v>
      </c>
      <c r="D27" s="560">
        <f>3!E130+3!E134</f>
        <v>0</v>
      </c>
      <c r="E27" s="374">
        <f t="shared" si="0"/>
        <v>314434</v>
      </c>
    </row>
    <row r="28" spans="1:5" s="36" customFormat="1" ht="12" customHeight="1">
      <c r="A28" s="35" t="s">
        <v>318</v>
      </c>
      <c r="B28" s="418" t="s">
        <v>368</v>
      </c>
      <c r="C28" s="671"/>
      <c r="D28" s="671"/>
      <c r="E28" s="672"/>
    </row>
    <row r="29" spans="1:5" s="36" customFormat="1" ht="12" customHeight="1">
      <c r="A29" s="35"/>
      <c r="B29" s="287" t="s">
        <v>623</v>
      </c>
      <c r="C29" s="560">
        <f>3!D136+3!D140</f>
        <v>30</v>
      </c>
      <c r="D29" s="560">
        <f>3!E136+3!E140</f>
        <v>0</v>
      </c>
      <c r="E29" s="374">
        <f t="shared" si="0"/>
        <v>30</v>
      </c>
    </row>
    <row r="30" spans="1:5" s="36" customFormat="1" ht="12" customHeight="1">
      <c r="A30" s="35"/>
      <c r="B30" s="287" t="s">
        <v>624</v>
      </c>
      <c r="C30" s="560">
        <f>3!D137+3!D141</f>
        <v>10862</v>
      </c>
      <c r="D30" s="560">
        <f>3!E137+3!E141</f>
        <v>0</v>
      </c>
      <c r="E30" s="374">
        <f t="shared" si="0"/>
        <v>10862</v>
      </c>
    </row>
    <row r="31" spans="1:5" s="36" customFormat="1" ht="12" customHeight="1">
      <c r="A31" s="35"/>
      <c r="B31" s="287" t="s">
        <v>625</v>
      </c>
      <c r="C31" s="560">
        <f>3!D138+3!D142</f>
        <v>19096</v>
      </c>
      <c r="D31" s="560">
        <f>3!E138+3!E142</f>
        <v>0</v>
      </c>
      <c r="E31" s="374">
        <f t="shared" si="0"/>
        <v>19096</v>
      </c>
    </row>
    <row r="32" spans="1:5" s="36" customFormat="1" ht="12" customHeight="1">
      <c r="A32" s="35" t="s">
        <v>320</v>
      </c>
      <c r="B32" s="418" t="s">
        <v>369</v>
      </c>
      <c r="C32" s="671"/>
      <c r="D32" s="671"/>
      <c r="E32" s="672"/>
    </row>
    <row r="33" spans="1:5" s="36" customFormat="1" ht="12" customHeight="1">
      <c r="A33" s="35"/>
      <c r="B33" s="287" t="s">
        <v>623</v>
      </c>
      <c r="C33" s="671"/>
      <c r="D33" s="560">
        <f>3!E167</f>
        <v>573</v>
      </c>
      <c r="E33" s="374">
        <f t="shared" si="0"/>
        <v>573</v>
      </c>
    </row>
    <row r="34" spans="1:5" s="36" customFormat="1" ht="12" customHeight="1">
      <c r="A34" s="35"/>
      <c r="B34" s="287" t="s">
        <v>624</v>
      </c>
      <c r="C34" s="671"/>
      <c r="D34" s="560">
        <f>3!E168</f>
        <v>2126</v>
      </c>
      <c r="E34" s="374">
        <f t="shared" si="0"/>
        <v>2126</v>
      </c>
    </row>
    <row r="35" spans="1:5" s="36" customFormat="1" ht="12" customHeight="1">
      <c r="A35" s="35"/>
      <c r="B35" s="287" t="s">
        <v>625</v>
      </c>
      <c r="C35" s="671"/>
      <c r="D35" s="560">
        <f>3!E169</f>
        <v>7885</v>
      </c>
      <c r="E35" s="374">
        <f t="shared" si="0"/>
        <v>7885</v>
      </c>
    </row>
    <row r="36" spans="1:5" s="36" customFormat="1" ht="12" customHeight="1">
      <c r="A36" s="35" t="s">
        <v>322</v>
      </c>
      <c r="B36" s="418" t="s">
        <v>370</v>
      </c>
      <c r="C36" s="671"/>
      <c r="D36" s="671"/>
      <c r="E36" s="672"/>
    </row>
    <row r="37" spans="1:5" s="36" customFormat="1" ht="12" customHeight="1">
      <c r="A37" s="35"/>
      <c r="B37" s="287" t="s">
        <v>623</v>
      </c>
      <c r="C37" s="560">
        <f>3!D428+3!D474</f>
        <v>392042</v>
      </c>
      <c r="D37" s="560">
        <f>3!E428+3!E474</f>
        <v>0</v>
      </c>
      <c r="E37" s="374">
        <f t="shared" si="0"/>
        <v>392042</v>
      </c>
    </row>
    <row r="38" spans="1:5" s="36" customFormat="1" ht="12" customHeight="1">
      <c r="A38" s="35"/>
      <c r="B38" s="287" t="s">
        <v>624</v>
      </c>
      <c r="C38" s="560">
        <f>3!D429+3!D475-3!D434-3!D438-3!D442</f>
        <v>506343</v>
      </c>
      <c r="D38" s="560">
        <f>3!E429+3!E475</f>
        <v>4433</v>
      </c>
      <c r="E38" s="374">
        <f t="shared" si="0"/>
        <v>510776</v>
      </c>
    </row>
    <row r="39" spans="1:5" s="36" customFormat="1" ht="12" customHeight="1">
      <c r="A39" s="35"/>
      <c r="B39" s="287" t="s">
        <v>625</v>
      </c>
      <c r="C39" s="560">
        <f>3!D430+3!D476-3!D435-3!D439-3!D443</f>
        <v>506343</v>
      </c>
      <c r="D39" s="560">
        <f>3!E430+3!E476</f>
        <v>4433</v>
      </c>
      <c r="E39" s="374">
        <f t="shared" si="0"/>
        <v>510776</v>
      </c>
    </row>
    <row r="40" spans="1:5" s="36" customFormat="1" ht="12" customHeight="1">
      <c r="A40" s="35" t="s">
        <v>346</v>
      </c>
      <c r="B40" s="418" t="s">
        <v>479</v>
      </c>
      <c r="C40" s="671"/>
      <c r="D40" s="671"/>
      <c r="E40" s="672"/>
    </row>
    <row r="41" spans="1:5" s="36" customFormat="1" ht="12" customHeight="1">
      <c r="A41" s="35"/>
      <c r="B41" s="287" t="s">
        <v>623</v>
      </c>
      <c r="C41" s="560">
        <f>3!D317</f>
        <v>203707</v>
      </c>
      <c r="D41" s="560">
        <f>3!E317</f>
        <v>0</v>
      </c>
      <c r="E41" s="374">
        <f t="shared" si="0"/>
        <v>203707</v>
      </c>
    </row>
    <row r="42" spans="1:5" s="36" customFormat="1" ht="12" customHeight="1">
      <c r="A42" s="35"/>
      <c r="B42" s="287" t="s">
        <v>624</v>
      </c>
      <c r="C42" s="560">
        <f>3!D318+3!D434+3!D438+3!D442</f>
        <v>109702</v>
      </c>
      <c r="D42" s="560">
        <f>3!E318</f>
        <v>120564</v>
      </c>
      <c r="E42" s="374">
        <f t="shared" si="0"/>
        <v>230266</v>
      </c>
    </row>
    <row r="43" spans="1:5" s="36" customFormat="1" ht="12" customHeight="1">
      <c r="A43" s="35"/>
      <c r="B43" s="287" t="s">
        <v>625</v>
      </c>
      <c r="C43" s="560">
        <f>3!D319+3!D435+3!D439+3!D443</f>
        <v>71231</v>
      </c>
      <c r="D43" s="560">
        <f>3!E319</f>
        <v>140266</v>
      </c>
      <c r="E43" s="374">
        <f t="shared" si="0"/>
        <v>211497</v>
      </c>
    </row>
    <row r="44" spans="1:5" s="36" customFormat="1" ht="12" customHeight="1">
      <c r="A44" s="35" t="s">
        <v>347</v>
      </c>
      <c r="B44" s="419" t="s">
        <v>486</v>
      </c>
      <c r="C44" s="671"/>
      <c r="D44" s="671"/>
      <c r="E44" s="672"/>
    </row>
    <row r="45" spans="1:5" s="36" customFormat="1" ht="12" customHeight="1">
      <c r="A45" s="35"/>
      <c r="B45" s="287" t="s">
        <v>623</v>
      </c>
      <c r="C45" s="560">
        <f>3!D363</f>
        <v>0</v>
      </c>
      <c r="D45" s="560">
        <f>3!E363</f>
        <v>1992</v>
      </c>
      <c r="E45" s="374">
        <f t="shared" si="0"/>
        <v>1992</v>
      </c>
    </row>
    <row r="46" spans="1:5" s="36" customFormat="1" ht="12" customHeight="1">
      <c r="A46" s="35"/>
      <c r="B46" s="287" t="s">
        <v>624</v>
      </c>
      <c r="C46" s="560">
        <f>3!D364</f>
        <v>294</v>
      </c>
      <c r="D46" s="560">
        <f>3!E364</f>
        <v>71387</v>
      </c>
      <c r="E46" s="374">
        <f t="shared" si="0"/>
        <v>71681</v>
      </c>
    </row>
    <row r="47" spans="1:5" s="36" customFormat="1" ht="12" customHeight="1">
      <c r="A47" s="35"/>
      <c r="B47" s="287" t="s">
        <v>625</v>
      </c>
      <c r="C47" s="560">
        <f>3!D365</f>
        <v>581</v>
      </c>
      <c r="D47" s="560">
        <f>3!E365</f>
        <v>4142</v>
      </c>
      <c r="E47" s="374">
        <f t="shared" si="0"/>
        <v>4723</v>
      </c>
    </row>
    <row r="48" spans="1:5" s="36" customFormat="1" ht="12" customHeight="1">
      <c r="A48" s="35" t="s">
        <v>349</v>
      </c>
      <c r="B48" s="460" t="s">
        <v>918</v>
      </c>
      <c r="C48" s="671"/>
      <c r="D48" s="671"/>
      <c r="E48" s="673"/>
    </row>
    <row r="49" spans="1:5" s="36" customFormat="1" ht="12" customHeight="1">
      <c r="A49" s="35"/>
      <c r="B49" s="287" t="s">
        <v>623</v>
      </c>
      <c r="C49" s="671"/>
      <c r="D49" s="560">
        <f>3!F507</f>
        <v>566184</v>
      </c>
      <c r="E49" s="583">
        <f>D49</f>
        <v>566184</v>
      </c>
    </row>
    <row r="50" spans="1:5" s="36" customFormat="1" ht="12" customHeight="1">
      <c r="A50" s="35"/>
      <c r="B50" s="287" t="s">
        <v>624</v>
      </c>
      <c r="C50" s="671"/>
      <c r="D50" s="560">
        <f>3!F508</f>
        <v>595990</v>
      </c>
      <c r="E50" s="583">
        <f>D50</f>
        <v>595990</v>
      </c>
    </row>
    <row r="51" spans="1:5" s="36" customFormat="1" ht="12" customHeight="1">
      <c r="A51" s="35"/>
      <c r="B51" s="299" t="s">
        <v>625</v>
      </c>
      <c r="C51" s="674"/>
      <c r="D51" s="581">
        <f>3!F509</f>
        <v>0</v>
      </c>
      <c r="E51" s="582">
        <f>D51</f>
        <v>0</v>
      </c>
    </row>
    <row r="52" spans="1:5" s="36" customFormat="1" ht="12" customHeight="1">
      <c r="A52" s="35" t="s">
        <v>350</v>
      </c>
      <c r="B52" s="460" t="s">
        <v>553</v>
      </c>
      <c r="C52" s="671"/>
      <c r="D52" s="560"/>
      <c r="E52" s="583"/>
    </row>
    <row r="53" spans="1:5" s="36" customFormat="1" ht="12" customHeight="1">
      <c r="A53" s="35"/>
      <c r="B53" s="287" t="s">
        <v>623</v>
      </c>
      <c r="C53" s="560">
        <f>3!D520</f>
        <v>20535</v>
      </c>
      <c r="D53" s="560">
        <v>0</v>
      </c>
      <c r="E53" s="583">
        <f>C53</f>
        <v>20535</v>
      </c>
    </row>
    <row r="54" spans="1:5" s="36" customFormat="1" ht="12" customHeight="1">
      <c r="A54" s="35"/>
      <c r="B54" s="287" t="s">
        <v>624</v>
      </c>
      <c r="C54" s="560">
        <f>3!D521</f>
        <v>25926</v>
      </c>
      <c r="D54" s="560">
        <v>0</v>
      </c>
      <c r="E54" s="583">
        <f>C54</f>
        <v>25926</v>
      </c>
    </row>
    <row r="55" spans="1:5" s="36" customFormat="1" ht="12" customHeight="1">
      <c r="A55" s="35"/>
      <c r="B55" s="287" t="s">
        <v>625</v>
      </c>
      <c r="C55" s="560">
        <f>3!D522</f>
        <v>2246</v>
      </c>
      <c r="D55" s="560">
        <f>3!E522</f>
        <v>18636</v>
      </c>
      <c r="E55" s="583">
        <f>C55+D55</f>
        <v>20882</v>
      </c>
    </row>
    <row r="56" spans="1:5" s="36" customFormat="1" ht="25.5" customHeight="1">
      <c r="A56" s="35" t="s">
        <v>351</v>
      </c>
      <c r="B56" s="631" t="s">
        <v>752</v>
      </c>
      <c r="C56" s="560"/>
      <c r="D56" s="560"/>
      <c r="E56" s="583"/>
    </row>
    <row r="57" spans="1:5" s="36" customFormat="1" ht="12" customHeight="1">
      <c r="A57" s="35"/>
      <c r="B57" s="287" t="s">
        <v>623</v>
      </c>
      <c r="C57" s="560">
        <v>0</v>
      </c>
      <c r="D57" s="560"/>
      <c r="E57" s="583">
        <v>0</v>
      </c>
    </row>
    <row r="58" spans="1:5" s="36" customFormat="1" ht="12" customHeight="1">
      <c r="A58" s="35"/>
      <c r="B58" s="287" t="s">
        <v>624</v>
      </c>
      <c r="C58" s="560">
        <f>3!D526+3!D530</f>
        <v>31145</v>
      </c>
      <c r="D58" s="560"/>
      <c r="E58" s="374">
        <f>C58</f>
        <v>31145</v>
      </c>
    </row>
    <row r="59" spans="1:5" s="36" customFormat="1" ht="12" customHeight="1" thickBot="1">
      <c r="A59" s="1651"/>
      <c r="B59" s="398" t="s">
        <v>625</v>
      </c>
      <c r="C59" s="1652">
        <f>3!D527+3!D531</f>
        <v>31145</v>
      </c>
      <c r="D59" s="1652"/>
      <c r="E59" s="1653">
        <f>C59</f>
        <v>31145</v>
      </c>
    </row>
    <row r="60" spans="1:5" s="38" customFormat="1" ht="14.25" customHeight="1" thickBot="1" thickTop="1">
      <c r="A60" s="1963" t="s">
        <v>759</v>
      </c>
      <c r="B60" s="1964"/>
      <c r="C60" s="561"/>
      <c r="D60" s="561"/>
      <c r="E60" s="562"/>
    </row>
    <row r="61" spans="1:5" s="38" customFormat="1" ht="12" thickTop="1">
      <c r="A61" s="415"/>
      <c r="B61" s="287" t="s">
        <v>623</v>
      </c>
      <c r="C61" s="563">
        <f>C17+C21+C25+C29+C33+C37+C41+C45+C49+C53+C57</f>
        <v>1583176</v>
      </c>
      <c r="D61" s="563">
        <f>D17+D21+D25+D29+D33+D37+D41+D45+D49+D53+D57</f>
        <v>618749</v>
      </c>
      <c r="E61" s="564">
        <f>E17+E21+E25+E29+E33+E37+E41+E45+E49+E53+E57</f>
        <v>2201925</v>
      </c>
    </row>
    <row r="62" spans="1:5" s="38" customFormat="1" ht="11.25">
      <c r="A62" s="394"/>
      <c r="B62" s="287" t="s">
        <v>624</v>
      </c>
      <c r="C62" s="373">
        <f aca="true" t="shared" si="1" ref="C62:E63">C18+C22+C26+C30+C34+C38+C42+C46+C50+C54+C58</f>
        <v>1710232</v>
      </c>
      <c r="D62" s="373">
        <f t="shared" si="1"/>
        <v>848220</v>
      </c>
      <c r="E62" s="374">
        <f t="shared" si="1"/>
        <v>2558452</v>
      </c>
    </row>
    <row r="63" spans="1:5" s="38" customFormat="1" ht="12" thickBot="1">
      <c r="A63" s="416"/>
      <c r="B63" s="398" t="s">
        <v>625</v>
      </c>
      <c r="C63" s="565">
        <f t="shared" si="1"/>
        <v>1747703</v>
      </c>
      <c r="D63" s="565">
        <f t="shared" si="1"/>
        <v>234310</v>
      </c>
      <c r="E63" s="1372">
        <f t="shared" si="1"/>
        <v>1982013</v>
      </c>
    </row>
    <row r="64" spans="1:5" s="38" customFormat="1" ht="14.25" customHeight="1" thickBot="1" thickTop="1">
      <c r="A64" s="1965" t="s">
        <v>777</v>
      </c>
      <c r="B64" s="1966"/>
      <c r="C64" s="561"/>
      <c r="D64" s="561"/>
      <c r="E64" s="562"/>
    </row>
    <row r="65" spans="1:5" s="38" customFormat="1" ht="12" thickTop="1">
      <c r="A65" s="1363"/>
      <c r="B65" s="287" t="s">
        <v>623</v>
      </c>
      <c r="C65" s="565">
        <f>C61+C12</f>
        <v>1655302</v>
      </c>
      <c r="D65" s="565">
        <f>D61+D12</f>
        <v>618749</v>
      </c>
      <c r="E65" s="1372">
        <f>E61+E12</f>
        <v>2274051</v>
      </c>
    </row>
    <row r="66" spans="1:5" s="38" customFormat="1" ht="11.25">
      <c r="A66" s="394"/>
      <c r="B66" s="287" t="s">
        <v>624</v>
      </c>
      <c r="C66" s="373">
        <f aca="true" t="shared" si="2" ref="C66:E67">C62+C13</f>
        <v>2207648</v>
      </c>
      <c r="D66" s="373">
        <f t="shared" si="2"/>
        <v>848620</v>
      </c>
      <c r="E66" s="374">
        <f t="shared" si="2"/>
        <v>3056268</v>
      </c>
    </row>
    <row r="67" spans="1:5" s="38" customFormat="1" ht="12" thickBot="1">
      <c r="A67" s="416"/>
      <c r="B67" s="398" t="s">
        <v>625</v>
      </c>
      <c r="C67" s="565">
        <f t="shared" si="2"/>
        <v>2248041</v>
      </c>
      <c r="D67" s="565">
        <f t="shared" si="2"/>
        <v>234710</v>
      </c>
      <c r="E67" s="1372">
        <f t="shared" si="2"/>
        <v>2482751</v>
      </c>
    </row>
    <row r="68" spans="1:5" s="38" customFormat="1" ht="22.5" thickBot="1" thickTop="1">
      <c r="A68" s="37" t="s">
        <v>378</v>
      </c>
      <c r="B68" s="1362" t="s">
        <v>773</v>
      </c>
      <c r="C68" s="561"/>
      <c r="D68" s="561"/>
      <c r="E68" s="562"/>
    </row>
    <row r="69" spans="1:5" s="38" customFormat="1" ht="12" thickTop="1">
      <c r="A69" s="415"/>
      <c r="B69" s="287" t="s">
        <v>623</v>
      </c>
      <c r="C69" s="563">
        <f>3!D538</f>
        <v>243217</v>
      </c>
      <c r="D69" s="563">
        <f>3!E538</f>
        <v>0</v>
      </c>
      <c r="E69" s="564">
        <f>3!F538</f>
        <v>243217</v>
      </c>
    </row>
    <row r="70" spans="1:5" s="38" customFormat="1" ht="11.25">
      <c r="A70" s="394"/>
      <c r="B70" s="287" t="s">
        <v>624</v>
      </c>
      <c r="C70" s="373">
        <f>3!D539</f>
        <v>188232</v>
      </c>
      <c r="D70" s="373">
        <f>3!E539</f>
        <v>0</v>
      </c>
      <c r="E70" s="374">
        <f>3!F539</f>
        <v>188232</v>
      </c>
    </row>
    <row r="71" spans="1:5" s="38" customFormat="1" ht="12" thickBot="1">
      <c r="A71" s="1363"/>
      <c r="B71" s="354" t="s">
        <v>625</v>
      </c>
      <c r="C71" s="565">
        <f>3!D540</f>
        <v>31403</v>
      </c>
      <c r="D71" s="565">
        <f>3!E540</f>
        <v>0</v>
      </c>
      <c r="E71" s="1372">
        <f>3!F540</f>
        <v>31403</v>
      </c>
    </row>
    <row r="72" spans="1:5" s="38" customFormat="1" ht="12" thickBot="1" thickTop="1">
      <c r="A72" s="394"/>
      <c r="B72" s="238" t="s">
        <v>774</v>
      </c>
      <c r="C72" s="561"/>
      <c r="D72" s="561"/>
      <c r="E72" s="562"/>
    </row>
    <row r="73" spans="1:5" s="38" customFormat="1" ht="12" thickTop="1">
      <c r="A73" s="1363"/>
      <c r="B73" s="287" t="s">
        <v>623</v>
      </c>
      <c r="C73" s="563">
        <f>3!D542</f>
        <v>0</v>
      </c>
      <c r="D73" s="563">
        <f>3!E542</f>
        <v>0</v>
      </c>
      <c r="E73" s="564">
        <f>3!F542</f>
        <v>0</v>
      </c>
    </row>
    <row r="74" spans="1:5" s="38" customFormat="1" ht="11.25">
      <c r="A74" s="394"/>
      <c r="B74" s="287" t="s">
        <v>624</v>
      </c>
      <c r="C74" s="373">
        <f>3!D543</f>
        <v>73773</v>
      </c>
      <c r="D74" s="373">
        <f>3!E543</f>
        <v>0</v>
      </c>
      <c r="E74" s="374">
        <f>3!F543</f>
        <v>73773</v>
      </c>
    </row>
    <row r="75" spans="1:5" s="38" customFormat="1" ht="12" thickBot="1">
      <c r="A75" s="416"/>
      <c r="B75" s="299" t="s">
        <v>625</v>
      </c>
      <c r="C75" s="565">
        <f>3!D544</f>
        <v>0</v>
      </c>
      <c r="D75" s="565">
        <f>3!E544</f>
        <v>0</v>
      </c>
      <c r="E75" s="1372">
        <f>3!F544</f>
        <v>0</v>
      </c>
    </row>
    <row r="76" spans="1:5" s="38" customFormat="1" ht="22.5" thickBot="1" thickTop="1">
      <c r="A76" s="1364" t="s">
        <v>409</v>
      </c>
      <c r="B76" s="1365" t="s">
        <v>775</v>
      </c>
      <c r="C76" s="567"/>
      <c r="D76" s="567"/>
      <c r="E76" s="568"/>
    </row>
    <row r="77" spans="1:5" s="38" customFormat="1" ht="12" thickTop="1">
      <c r="A77" s="1366"/>
      <c r="B77" s="287" t="s">
        <v>623</v>
      </c>
      <c r="C77" s="569">
        <f>3!D551+3!D20</f>
        <v>0</v>
      </c>
      <c r="D77" s="569">
        <f>3!E551+3!E20</f>
        <v>104020</v>
      </c>
      <c r="E77" s="570">
        <f>3!F551+3!F20</f>
        <v>104020</v>
      </c>
    </row>
    <row r="78" spans="1:5" s="38" customFormat="1" ht="11.25">
      <c r="A78" s="1367"/>
      <c r="B78" s="287" t="s">
        <v>624</v>
      </c>
      <c r="C78" s="571">
        <f>3!D552+3!D21</f>
        <v>40155</v>
      </c>
      <c r="D78" s="571">
        <f>3!E552+3!E21</f>
        <v>155291</v>
      </c>
      <c r="E78" s="572">
        <f>3!F552+3!F21</f>
        <v>195446</v>
      </c>
    </row>
    <row r="79" spans="1:5" s="38" customFormat="1" ht="12" thickBot="1">
      <c r="A79" s="1368"/>
      <c r="B79" s="299" t="s">
        <v>625</v>
      </c>
      <c r="C79" s="575">
        <f>3!D553+3!D22</f>
        <v>40101</v>
      </c>
      <c r="D79" s="575">
        <f>3!E553+3!E22</f>
        <v>53267</v>
      </c>
      <c r="E79" s="1373">
        <f>3!F553+3!F22</f>
        <v>93368</v>
      </c>
    </row>
    <row r="80" spans="1:5" s="38" customFormat="1" ht="33" thickBot="1" thickTop="1">
      <c r="A80" s="1364" t="s">
        <v>416</v>
      </c>
      <c r="B80" s="1365" t="s">
        <v>776</v>
      </c>
      <c r="C80" s="567"/>
      <c r="D80" s="567"/>
      <c r="E80" s="568"/>
    </row>
    <row r="81" spans="1:5" s="38" customFormat="1" ht="12" thickTop="1">
      <c r="A81" s="1369"/>
      <c r="B81" s="288" t="s">
        <v>623</v>
      </c>
      <c r="C81" s="575">
        <f>3!D555</f>
        <v>0</v>
      </c>
      <c r="D81" s="575">
        <f>3!E555</f>
        <v>860932</v>
      </c>
      <c r="E81" s="1373">
        <f>3!F555</f>
        <v>860932</v>
      </c>
    </row>
    <row r="82" spans="1:5" s="38" customFormat="1" ht="11.25">
      <c r="A82" s="1370"/>
      <c r="B82" s="287" t="s">
        <v>624</v>
      </c>
      <c r="C82" s="571">
        <f>3!D556</f>
        <v>0</v>
      </c>
      <c r="D82" s="571">
        <f>3!E556</f>
        <v>884861</v>
      </c>
      <c r="E82" s="572">
        <f>3!F556</f>
        <v>884861</v>
      </c>
    </row>
    <row r="83" spans="1:5" s="38" customFormat="1" ht="12" thickBot="1">
      <c r="A83" s="1371"/>
      <c r="B83" s="302" t="s">
        <v>625</v>
      </c>
      <c r="C83" s="577">
        <f>3!D557</f>
        <v>0</v>
      </c>
      <c r="D83" s="577">
        <f>3!E557</f>
        <v>0</v>
      </c>
      <c r="E83" s="578">
        <f>3!F557</f>
        <v>0</v>
      </c>
    </row>
    <row r="84" spans="1:5" s="30" customFormat="1" ht="10.5">
      <c r="A84" s="1959" t="s">
        <v>465</v>
      </c>
      <c r="B84" s="1962"/>
      <c r="C84" s="556" t="s">
        <v>359</v>
      </c>
      <c r="D84" s="556" t="s">
        <v>360</v>
      </c>
      <c r="E84" s="1961" t="s">
        <v>361</v>
      </c>
    </row>
    <row r="85" spans="1:5" s="30" customFormat="1" ht="10.5">
      <c r="A85" s="1959"/>
      <c r="B85" s="1962"/>
      <c r="C85" s="556" t="s">
        <v>362</v>
      </c>
      <c r="D85" s="556" t="s">
        <v>362</v>
      </c>
      <c r="E85" s="1961"/>
    </row>
    <row r="86" spans="1:5" ht="4.5" customHeight="1" thickBot="1">
      <c r="A86" s="31"/>
      <c r="B86" s="239"/>
      <c r="C86" s="111"/>
      <c r="D86" s="111"/>
      <c r="E86" s="112"/>
    </row>
    <row r="87" spans="1:5" ht="13.5" customHeight="1" thickBot="1">
      <c r="A87" s="1956" t="s">
        <v>371</v>
      </c>
      <c r="B87" s="1957"/>
      <c r="C87" s="1957"/>
      <c r="D87" s="1957"/>
      <c r="E87" s="1958"/>
    </row>
    <row r="88" spans="1:5" s="33" customFormat="1" ht="11.25" customHeight="1">
      <c r="A88" s="34" t="s">
        <v>364</v>
      </c>
      <c r="B88" s="235" t="s">
        <v>372</v>
      </c>
      <c r="C88" s="579"/>
      <c r="D88" s="579"/>
      <c r="E88" s="580"/>
    </row>
    <row r="89" spans="1:5" s="36" customFormat="1" ht="13.5" customHeight="1">
      <c r="A89" s="35" t="s">
        <v>312</v>
      </c>
      <c r="B89" s="236" t="s">
        <v>353</v>
      </c>
      <c r="C89" s="581"/>
      <c r="D89" s="581"/>
      <c r="E89" s="582"/>
    </row>
    <row r="90" spans="1:5" s="36" customFormat="1" ht="13.5" customHeight="1">
      <c r="A90" s="35"/>
      <c r="B90" s="287" t="s">
        <v>623</v>
      </c>
      <c r="C90" s="560">
        <f>3!D583</f>
        <v>582922</v>
      </c>
      <c r="D90" s="560"/>
      <c r="E90" s="583">
        <f>SUM(C90:D90)</f>
        <v>582922</v>
      </c>
    </row>
    <row r="91" spans="1:5" s="36" customFormat="1" ht="13.5" customHeight="1">
      <c r="A91" s="35"/>
      <c r="B91" s="287" t="s">
        <v>624</v>
      </c>
      <c r="C91" s="560">
        <f>3!D584</f>
        <v>618776</v>
      </c>
      <c r="D91" s="560"/>
      <c r="E91" s="583">
        <f aca="true" t="shared" si="3" ref="E91:E111">SUM(C91:D91)</f>
        <v>618776</v>
      </c>
    </row>
    <row r="92" spans="1:5" s="36" customFormat="1" ht="13.5" customHeight="1">
      <c r="A92" s="35"/>
      <c r="B92" s="287" t="s">
        <v>625</v>
      </c>
      <c r="C92" s="560">
        <f>3!D585</f>
        <v>584178</v>
      </c>
      <c r="D92" s="560"/>
      <c r="E92" s="583">
        <f t="shared" si="3"/>
        <v>584178</v>
      </c>
    </row>
    <row r="93" spans="1:5" s="36" customFormat="1" ht="13.5" customHeight="1">
      <c r="A93" s="35" t="s">
        <v>314</v>
      </c>
      <c r="B93" s="237" t="s">
        <v>354</v>
      </c>
      <c r="C93" s="560"/>
      <c r="D93" s="560"/>
      <c r="E93" s="583"/>
    </row>
    <row r="94" spans="1:5" s="36" customFormat="1" ht="13.5" customHeight="1">
      <c r="A94" s="35"/>
      <c r="B94" s="287" t="s">
        <v>623</v>
      </c>
      <c r="C94" s="560">
        <f>3!D587</f>
        <v>145828</v>
      </c>
      <c r="D94" s="560"/>
      <c r="E94" s="583">
        <f t="shared" si="3"/>
        <v>145828</v>
      </c>
    </row>
    <row r="95" spans="1:5" s="36" customFormat="1" ht="13.5" customHeight="1">
      <c r="A95" s="35"/>
      <c r="B95" s="287" t="s">
        <v>624</v>
      </c>
      <c r="C95" s="560">
        <f>3!D588</f>
        <v>159229</v>
      </c>
      <c r="D95" s="560"/>
      <c r="E95" s="583">
        <f t="shared" si="3"/>
        <v>159229</v>
      </c>
    </row>
    <row r="96" spans="1:5" s="36" customFormat="1" ht="13.5" customHeight="1">
      <c r="A96" s="35"/>
      <c r="B96" s="287" t="s">
        <v>625</v>
      </c>
      <c r="C96" s="560">
        <f>3!D589</f>
        <v>147881</v>
      </c>
      <c r="D96" s="560"/>
      <c r="E96" s="583">
        <f t="shared" si="3"/>
        <v>147881</v>
      </c>
    </row>
    <row r="97" spans="1:5" s="36" customFormat="1" ht="13.5" customHeight="1">
      <c r="A97" s="35" t="s">
        <v>316</v>
      </c>
      <c r="B97" s="237" t="s">
        <v>355</v>
      </c>
      <c r="C97" s="560"/>
      <c r="D97" s="560"/>
      <c r="E97" s="583"/>
    </row>
    <row r="98" spans="1:5" s="36" customFormat="1" ht="13.5" customHeight="1">
      <c r="A98" s="35"/>
      <c r="B98" s="287" t="s">
        <v>623</v>
      </c>
      <c r="C98" s="560">
        <f>3!D591</f>
        <v>494302</v>
      </c>
      <c r="D98" s="560"/>
      <c r="E98" s="583">
        <f t="shared" si="3"/>
        <v>494302</v>
      </c>
    </row>
    <row r="99" spans="1:5" s="36" customFormat="1" ht="13.5" customHeight="1">
      <c r="A99" s="35"/>
      <c r="B99" s="287" t="s">
        <v>624</v>
      </c>
      <c r="C99" s="560">
        <f>3!D592</f>
        <v>549888</v>
      </c>
      <c r="D99" s="560"/>
      <c r="E99" s="583">
        <f t="shared" si="3"/>
        <v>549888</v>
      </c>
    </row>
    <row r="100" spans="1:5" s="36" customFormat="1" ht="13.5" customHeight="1">
      <c r="A100" s="35"/>
      <c r="B100" s="287" t="s">
        <v>625</v>
      </c>
      <c r="C100" s="560">
        <f>3!D593</f>
        <v>459569</v>
      </c>
      <c r="D100" s="560"/>
      <c r="E100" s="583">
        <f t="shared" si="3"/>
        <v>459569</v>
      </c>
    </row>
    <row r="101" spans="1:5" s="36" customFormat="1" ht="13.5" customHeight="1">
      <c r="A101" s="35" t="s">
        <v>318</v>
      </c>
      <c r="B101" s="237" t="s">
        <v>373</v>
      </c>
      <c r="C101" s="560"/>
      <c r="D101" s="560"/>
      <c r="E101" s="583"/>
    </row>
    <row r="102" spans="1:5" s="36" customFormat="1" ht="13.5" customHeight="1">
      <c r="A102" s="35"/>
      <c r="B102" s="287" t="s">
        <v>623</v>
      </c>
      <c r="C102" s="560">
        <f>3!D595</f>
        <v>0</v>
      </c>
      <c r="D102" s="560"/>
      <c r="E102" s="583">
        <f t="shared" si="3"/>
        <v>0</v>
      </c>
    </row>
    <row r="103" spans="1:5" s="36" customFormat="1" ht="13.5" customHeight="1">
      <c r="A103" s="35"/>
      <c r="B103" s="287" t="s">
        <v>624</v>
      </c>
      <c r="C103" s="560">
        <f>3!D596</f>
        <v>0</v>
      </c>
      <c r="D103" s="560"/>
      <c r="E103" s="583">
        <f t="shared" si="3"/>
        <v>0</v>
      </c>
    </row>
    <row r="104" spans="1:5" s="36" customFormat="1" ht="13.5" customHeight="1">
      <c r="A104" s="35"/>
      <c r="B104" s="287" t="s">
        <v>625</v>
      </c>
      <c r="C104" s="560">
        <f>3!D597</f>
        <v>0</v>
      </c>
      <c r="D104" s="560"/>
      <c r="E104" s="583">
        <f t="shared" si="3"/>
        <v>0</v>
      </c>
    </row>
    <row r="105" spans="1:5" s="36" customFormat="1" ht="23.25" customHeight="1">
      <c r="A105" s="35" t="s">
        <v>320</v>
      </c>
      <c r="B105" s="1301" t="s">
        <v>399</v>
      </c>
      <c r="C105" s="560"/>
      <c r="D105" s="560"/>
      <c r="E105" s="583"/>
    </row>
    <row r="106" spans="1:5" s="36" customFormat="1" ht="13.5" customHeight="1">
      <c r="A106" s="35"/>
      <c r="B106" s="287" t="s">
        <v>623</v>
      </c>
      <c r="C106" s="560">
        <f>3!D599</f>
        <v>200911</v>
      </c>
      <c r="D106" s="560"/>
      <c r="E106" s="583">
        <f t="shared" si="3"/>
        <v>200911</v>
      </c>
    </row>
    <row r="107" spans="1:5" s="36" customFormat="1" ht="13.5" customHeight="1">
      <c r="A107" s="35"/>
      <c r="B107" s="287" t="s">
        <v>624</v>
      </c>
      <c r="C107" s="560">
        <f>3!D600</f>
        <v>207451</v>
      </c>
      <c r="D107" s="560"/>
      <c r="E107" s="583">
        <f t="shared" si="3"/>
        <v>207451</v>
      </c>
    </row>
    <row r="108" spans="1:5" s="36" customFormat="1" ht="13.5" customHeight="1">
      <c r="A108" s="35"/>
      <c r="B108" s="287" t="s">
        <v>625</v>
      </c>
      <c r="C108" s="560">
        <f>3!D601</f>
        <v>155340</v>
      </c>
      <c r="D108" s="560"/>
      <c r="E108" s="583">
        <f t="shared" si="3"/>
        <v>155340</v>
      </c>
    </row>
    <row r="109" spans="1:5" s="36" customFormat="1" ht="27" customHeight="1">
      <c r="A109" s="35" t="s">
        <v>322</v>
      </c>
      <c r="B109" s="1302" t="s">
        <v>402</v>
      </c>
      <c r="C109" s="560"/>
      <c r="D109" s="560"/>
      <c r="E109" s="583"/>
    </row>
    <row r="110" spans="1:5" s="36" customFormat="1" ht="13.5" customHeight="1">
      <c r="A110" s="35"/>
      <c r="B110" s="287" t="s">
        <v>623</v>
      </c>
      <c r="C110" s="560">
        <f>3!D603</f>
        <v>452109</v>
      </c>
      <c r="D110" s="560"/>
      <c r="E110" s="583">
        <f t="shared" si="3"/>
        <v>452109</v>
      </c>
    </row>
    <row r="111" spans="1:5" s="36" customFormat="1" ht="13.5" customHeight="1">
      <c r="A111" s="35"/>
      <c r="B111" s="287" t="s">
        <v>624</v>
      </c>
      <c r="C111" s="560">
        <f>3!D604</f>
        <v>872439</v>
      </c>
      <c r="D111" s="560"/>
      <c r="E111" s="583">
        <f t="shared" si="3"/>
        <v>872439</v>
      </c>
    </row>
    <row r="112" spans="1:5" s="36" customFormat="1" ht="13.5" customHeight="1" thickBot="1">
      <c r="A112" s="35"/>
      <c r="B112" s="287" t="s">
        <v>625</v>
      </c>
      <c r="C112" s="560">
        <f>3!D605</f>
        <v>863941</v>
      </c>
      <c r="D112" s="581"/>
      <c r="E112" s="582">
        <f>SUM(C112:D112)</f>
        <v>863941</v>
      </c>
    </row>
    <row r="113" spans="1:5" s="38" customFormat="1" ht="12" thickBot="1" thickTop="1">
      <c r="A113" s="37"/>
      <c r="B113" s="238" t="s">
        <v>374</v>
      </c>
      <c r="C113" s="561"/>
      <c r="D113" s="561"/>
      <c r="E113" s="584"/>
    </row>
    <row r="114" spans="1:5" s="38" customFormat="1" ht="12" thickTop="1">
      <c r="A114" s="393"/>
      <c r="B114" s="353" t="s">
        <v>623</v>
      </c>
      <c r="C114" s="563">
        <f>C90+C94+C98+C102+C106+C110</f>
        <v>1876072</v>
      </c>
      <c r="D114" s="371"/>
      <c r="E114" s="585">
        <f>C114</f>
        <v>1876072</v>
      </c>
    </row>
    <row r="115" spans="1:5" s="38" customFormat="1" ht="11.25">
      <c r="A115" s="394"/>
      <c r="B115" s="287" t="s">
        <v>624</v>
      </c>
      <c r="C115" s="373">
        <f>C91+C95+C99+C103+C107+C111</f>
        <v>2407783</v>
      </c>
      <c r="D115" s="373"/>
      <c r="E115" s="583">
        <f>C115</f>
        <v>2407783</v>
      </c>
    </row>
    <row r="116" spans="1:5" s="38" customFormat="1" ht="12" thickBot="1">
      <c r="A116" s="395"/>
      <c r="B116" s="354" t="s">
        <v>625</v>
      </c>
      <c r="C116" s="586">
        <f>C92+C96+C100+C104+C108+C112</f>
        <v>2210909</v>
      </c>
      <c r="D116" s="586"/>
      <c r="E116" s="587">
        <f>C116</f>
        <v>2210909</v>
      </c>
    </row>
    <row r="117" spans="1:5" s="33" customFormat="1" ht="15" customHeight="1" thickTop="1">
      <c r="A117" s="417" t="s">
        <v>366</v>
      </c>
      <c r="B117" s="667" t="s">
        <v>375</v>
      </c>
      <c r="C117" s="668"/>
      <c r="D117" s="668"/>
      <c r="E117" s="573"/>
    </row>
    <row r="118" spans="1:5" s="36" customFormat="1" ht="13.5" customHeight="1">
      <c r="A118" s="35" t="s">
        <v>312</v>
      </c>
      <c r="B118" s="236" t="s">
        <v>376</v>
      </c>
      <c r="C118" s="581"/>
      <c r="D118" s="581"/>
      <c r="E118" s="582"/>
    </row>
    <row r="119" spans="1:5" s="36" customFormat="1" ht="13.5" customHeight="1">
      <c r="A119" s="35"/>
      <c r="B119" s="287" t="s">
        <v>623</v>
      </c>
      <c r="C119" s="560"/>
      <c r="D119" s="560">
        <f>3!E613+3!E617</f>
        <v>873036</v>
      </c>
      <c r="E119" s="583">
        <f>D119</f>
        <v>873036</v>
      </c>
    </row>
    <row r="120" spans="1:5" s="36" customFormat="1" ht="13.5" customHeight="1">
      <c r="A120" s="35"/>
      <c r="B120" s="287" t="s">
        <v>624</v>
      </c>
      <c r="C120" s="560"/>
      <c r="D120" s="560">
        <f>3!E614+3!E618</f>
        <v>1345696</v>
      </c>
      <c r="E120" s="583">
        <f aca="true" t="shared" si="4" ref="E120:E128">D120</f>
        <v>1345696</v>
      </c>
    </row>
    <row r="121" spans="1:5" s="36" customFormat="1" ht="13.5" customHeight="1">
      <c r="A121" s="35"/>
      <c r="B121" s="287" t="s">
        <v>625</v>
      </c>
      <c r="C121" s="560"/>
      <c r="D121" s="560">
        <f>3!E615+3!E619</f>
        <v>161556</v>
      </c>
      <c r="E121" s="583">
        <f t="shared" si="4"/>
        <v>161556</v>
      </c>
    </row>
    <row r="122" spans="1:5" s="36" customFormat="1" ht="12" customHeight="1">
      <c r="A122" s="35" t="s">
        <v>314</v>
      </c>
      <c r="B122" s="418" t="s">
        <v>377</v>
      </c>
      <c r="C122" s="560"/>
      <c r="D122" s="560"/>
      <c r="E122" s="583"/>
    </row>
    <row r="123" spans="1:5" s="36" customFormat="1" ht="12" customHeight="1">
      <c r="A123" s="35"/>
      <c r="B123" s="287" t="s">
        <v>623</v>
      </c>
      <c r="C123" s="560"/>
      <c r="D123" s="560">
        <f>3!E621+3!E625</f>
        <v>399065</v>
      </c>
      <c r="E123" s="583">
        <f t="shared" si="4"/>
        <v>399065</v>
      </c>
    </row>
    <row r="124" spans="1:5" s="36" customFormat="1" ht="12" customHeight="1">
      <c r="A124" s="35"/>
      <c r="B124" s="287" t="s">
        <v>624</v>
      </c>
      <c r="C124" s="560"/>
      <c r="D124" s="560">
        <f>3!E622+3!E626</f>
        <v>203832</v>
      </c>
      <c r="E124" s="583">
        <f t="shared" si="4"/>
        <v>203832</v>
      </c>
    </row>
    <row r="125" spans="1:5" s="36" customFormat="1" ht="12" customHeight="1">
      <c r="A125" s="35"/>
      <c r="B125" s="287" t="s">
        <v>625</v>
      </c>
      <c r="C125" s="560"/>
      <c r="D125" s="560">
        <f>3!E623+3!E627</f>
        <v>72137</v>
      </c>
      <c r="E125" s="583">
        <f t="shared" si="4"/>
        <v>72137</v>
      </c>
    </row>
    <row r="126" spans="1:5" s="36" customFormat="1" ht="12" customHeight="1">
      <c r="A126" s="35" t="s">
        <v>316</v>
      </c>
      <c r="B126" s="237" t="s">
        <v>1294</v>
      </c>
      <c r="C126" s="560"/>
      <c r="D126" s="560"/>
      <c r="E126" s="583"/>
    </row>
    <row r="127" spans="1:5" s="36" customFormat="1" ht="12" customHeight="1">
      <c r="A127" s="35"/>
      <c r="B127" s="287" t="s">
        <v>623</v>
      </c>
      <c r="C127" s="560"/>
      <c r="D127" s="560">
        <f>3!E635+3!E639</f>
        <v>10622</v>
      </c>
      <c r="E127" s="583">
        <f t="shared" si="4"/>
        <v>10622</v>
      </c>
    </row>
    <row r="128" spans="1:5" s="36" customFormat="1" ht="12" customHeight="1">
      <c r="A128" s="35"/>
      <c r="B128" s="287" t="s">
        <v>624</v>
      </c>
      <c r="C128" s="560"/>
      <c r="D128" s="560">
        <f>3!E636+3!E640</f>
        <v>38266</v>
      </c>
      <c r="E128" s="583">
        <f t="shared" si="4"/>
        <v>38266</v>
      </c>
    </row>
    <row r="129" spans="1:5" s="36" customFormat="1" ht="12" customHeight="1" thickBot="1">
      <c r="A129" s="35"/>
      <c r="B129" s="287" t="s">
        <v>625</v>
      </c>
      <c r="C129" s="581"/>
      <c r="D129" s="581">
        <f>3!E637+3!E641</f>
        <v>8952</v>
      </c>
      <c r="E129" s="582">
        <f>D129</f>
        <v>8952</v>
      </c>
    </row>
    <row r="130" spans="1:5" s="38" customFormat="1" ht="12.75" customHeight="1" thickBot="1" thickTop="1">
      <c r="A130" s="37"/>
      <c r="B130" s="238" t="s">
        <v>374</v>
      </c>
      <c r="C130" s="561"/>
      <c r="D130" s="561"/>
      <c r="E130" s="584"/>
    </row>
    <row r="131" spans="1:5" s="38" customFormat="1" ht="12.75" customHeight="1" thickTop="1">
      <c r="A131" s="393"/>
      <c r="B131" s="353" t="s">
        <v>623</v>
      </c>
      <c r="C131" s="371"/>
      <c r="D131" s="371">
        <f>D119+D123+D127</f>
        <v>1282723</v>
      </c>
      <c r="E131" s="372">
        <f>D131</f>
        <v>1282723</v>
      </c>
    </row>
    <row r="132" spans="1:5" s="38" customFormat="1" ht="12.75" customHeight="1">
      <c r="A132" s="394"/>
      <c r="B132" s="287" t="s">
        <v>624</v>
      </c>
      <c r="C132" s="373"/>
      <c r="D132" s="373">
        <f>D120+D124+D128</f>
        <v>1587794</v>
      </c>
      <c r="E132" s="374">
        <f>D132</f>
        <v>1587794</v>
      </c>
    </row>
    <row r="133" spans="1:5" s="38" customFormat="1" ht="12.75" customHeight="1" thickBot="1">
      <c r="A133" s="395"/>
      <c r="B133" s="354" t="s">
        <v>625</v>
      </c>
      <c r="C133" s="586"/>
      <c r="D133" s="586">
        <f>D121+D125+D129</f>
        <v>242645</v>
      </c>
      <c r="E133" s="589">
        <f>D133</f>
        <v>242645</v>
      </c>
    </row>
    <row r="134" spans="1:5" s="33" customFormat="1" ht="15" customHeight="1" thickTop="1">
      <c r="A134" s="34" t="s">
        <v>378</v>
      </c>
      <c r="B134" s="235" t="s">
        <v>357</v>
      </c>
      <c r="C134" s="588"/>
      <c r="D134" s="588"/>
      <c r="E134" s="576"/>
    </row>
    <row r="135" spans="1:5" s="36" customFormat="1" ht="13.5" customHeight="1">
      <c r="A135" s="35" t="s">
        <v>312</v>
      </c>
      <c r="B135" s="236" t="s">
        <v>379</v>
      </c>
      <c r="C135" s="581"/>
      <c r="D135" s="581"/>
      <c r="E135" s="582"/>
    </row>
    <row r="136" spans="1:5" s="36" customFormat="1" ht="13.5" customHeight="1">
      <c r="A136" s="35"/>
      <c r="B136" s="287" t="s">
        <v>623</v>
      </c>
      <c r="C136" s="560">
        <v>7000</v>
      </c>
      <c r="D136" s="560"/>
      <c r="E136" s="374">
        <f>SUM(C136:D136)</f>
        <v>7000</v>
      </c>
    </row>
    <row r="137" spans="1:5" s="36" customFormat="1" ht="13.5" customHeight="1">
      <c r="A137" s="35"/>
      <c r="B137" s="287" t="s">
        <v>624</v>
      </c>
      <c r="C137" s="560">
        <f>3!D650</f>
        <v>4000</v>
      </c>
      <c r="D137" s="560"/>
      <c r="E137" s="374">
        <f aca="true" t="shared" si="5" ref="E137:E145">SUM(C137:D137)</f>
        <v>4000</v>
      </c>
    </row>
    <row r="138" spans="1:5" s="36" customFormat="1" ht="13.5" customHeight="1">
      <c r="A138" s="35"/>
      <c r="B138" s="287" t="s">
        <v>625</v>
      </c>
      <c r="C138" s="560">
        <f>3!D651</f>
        <v>0</v>
      </c>
      <c r="D138" s="560"/>
      <c r="E138" s="374">
        <f t="shared" si="5"/>
        <v>0</v>
      </c>
    </row>
    <row r="139" spans="1:5" s="36" customFormat="1" ht="12" customHeight="1">
      <c r="A139" s="35" t="s">
        <v>314</v>
      </c>
      <c r="B139" s="237" t="s">
        <v>380</v>
      </c>
      <c r="C139" s="560"/>
      <c r="D139" s="560"/>
      <c r="E139" s="374"/>
    </row>
    <row r="140" spans="1:5" s="36" customFormat="1" ht="12" customHeight="1">
      <c r="A140" s="35"/>
      <c r="B140" s="287" t="s">
        <v>623</v>
      </c>
      <c r="C140" s="560">
        <v>15447</v>
      </c>
      <c r="D140" s="560"/>
      <c r="E140" s="374">
        <f t="shared" si="5"/>
        <v>15447</v>
      </c>
    </row>
    <row r="141" spans="1:5" s="36" customFormat="1" ht="12" customHeight="1">
      <c r="A141" s="35"/>
      <c r="B141" s="287" t="s">
        <v>624</v>
      </c>
      <c r="C141" s="560">
        <f>3!D654</f>
        <v>11667</v>
      </c>
      <c r="D141" s="560"/>
      <c r="E141" s="374">
        <f t="shared" si="5"/>
        <v>11667</v>
      </c>
    </row>
    <row r="142" spans="1:5" s="36" customFormat="1" ht="12" customHeight="1">
      <c r="A142" s="35"/>
      <c r="B142" s="287" t="s">
        <v>625</v>
      </c>
      <c r="C142" s="560">
        <f>3!D655</f>
        <v>0</v>
      </c>
      <c r="D142" s="560"/>
      <c r="E142" s="374">
        <f t="shared" si="5"/>
        <v>0</v>
      </c>
    </row>
    <row r="143" spans="1:5" s="36" customFormat="1" ht="12" customHeight="1">
      <c r="A143" s="35" t="s">
        <v>316</v>
      </c>
      <c r="B143" s="278" t="s">
        <v>574</v>
      </c>
      <c r="C143" s="560"/>
      <c r="D143" s="560"/>
      <c r="E143" s="374"/>
    </row>
    <row r="144" spans="1:5" s="36" customFormat="1" ht="12" customHeight="1">
      <c r="A144" s="35"/>
      <c r="B144" s="287" t="s">
        <v>623</v>
      </c>
      <c r="C144" s="560">
        <f>3!D657</f>
        <v>0</v>
      </c>
      <c r="D144" s="560">
        <f>3!E657</f>
        <v>300000</v>
      </c>
      <c r="E144" s="374">
        <f t="shared" si="5"/>
        <v>300000</v>
      </c>
    </row>
    <row r="145" spans="1:5" s="36" customFormat="1" ht="12" customHeight="1">
      <c r="A145" s="35"/>
      <c r="B145" s="287" t="s">
        <v>624</v>
      </c>
      <c r="C145" s="560">
        <f>3!D658</f>
        <v>0</v>
      </c>
      <c r="D145" s="560">
        <f>3!E658</f>
        <v>300000</v>
      </c>
      <c r="E145" s="374">
        <f t="shared" si="5"/>
        <v>300000</v>
      </c>
    </row>
    <row r="146" spans="1:5" s="36" customFormat="1" ht="12" customHeight="1" thickBot="1">
      <c r="A146" s="35"/>
      <c r="B146" s="287" t="s">
        <v>625</v>
      </c>
      <c r="C146" s="581">
        <f>3!D659</f>
        <v>0</v>
      </c>
      <c r="D146" s="581">
        <f>3!E659</f>
        <v>0</v>
      </c>
      <c r="E146" s="582">
        <f>SUM(C146:D146)</f>
        <v>0</v>
      </c>
    </row>
    <row r="147" spans="1:5" s="38" customFormat="1" ht="12.75" customHeight="1" thickBot="1" thickTop="1">
      <c r="A147" s="37"/>
      <c r="B147" s="238" t="s">
        <v>374</v>
      </c>
      <c r="C147" s="561"/>
      <c r="D147" s="561"/>
      <c r="E147" s="584"/>
    </row>
    <row r="148" spans="1:5" s="38" customFormat="1" ht="12.75" customHeight="1" thickTop="1">
      <c r="A148" s="393"/>
      <c r="B148" s="288" t="s">
        <v>623</v>
      </c>
      <c r="C148" s="563">
        <f aca="true" t="shared" si="6" ref="C148:D150">C136+C140+C144</f>
        <v>22447</v>
      </c>
      <c r="D148" s="563">
        <f t="shared" si="6"/>
        <v>300000</v>
      </c>
      <c r="E148" s="590">
        <f>C148+D148</f>
        <v>322447</v>
      </c>
    </row>
    <row r="149" spans="1:5" s="38" customFormat="1" ht="12.75" customHeight="1">
      <c r="A149" s="394"/>
      <c r="B149" s="287" t="s">
        <v>624</v>
      </c>
      <c r="C149" s="373">
        <f t="shared" si="6"/>
        <v>15667</v>
      </c>
      <c r="D149" s="373">
        <f t="shared" si="6"/>
        <v>300000</v>
      </c>
      <c r="E149" s="583">
        <f>C149+D149</f>
        <v>315667</v>
      </c>
    </row>
    <row r="150" spans="1:5" s="38" customFormat="1" ht="12.75" customHeight="1" thickBot="1">
      <c r="A150" s="395"/>
      <c r="B150" s="299" t="s">
        <v>625</v>
      </c>
      <c r="C150" s="566">
        <f t="shared" si="6"/>
        <v>0</v>
      </c>
      <c r="D150" s="566">
        <f t="shared" si="6"/>
        <v>0</v>
      </c>
      <c r="E150" s="591">
        <f>C150+D150</f>
        <v>0</v>
      </c>
    </row>
    <row r="151" spans="1:5" s="38" customFormat="1" ht="6.75" customHeight="1" thickBot="1" thickTop="1">
      <c r="A151" s="37"/>
      <c r="B151" s="238"/>
      <c r="C151" s="561"/>
      <c r="D151" s="561"/>
      <c r="E151" s="584"/>
    </row>
    <row r="152" spans="1:5" s="39" customFormat="1" ht="15" customHeight="1" thickBot="1" thickTop="1">
      <c r="A152" s="1954" t="s">
        <v>381</v>
      </c>
      <c r="B152" s="1955"/>
      <c r="C152" s="567"/>
      <c r="D152" s="567"/>
      <c r="E152" s="574"/>
    </row>
    <row r="153" spans="1:5" ht="11.25" thickTop="1">
      <c r="A153" s="391"/>
      <c r="B153" s="370" t="s">
        <v>623</v>
      </c>
      <c r="C153" s="371">
        <f>C114+C131+C148</f>
        <v>1898519</v>
      </c>
      <c r="D153" s="371">
        <f>D114+D131+D148</f>
        <v>1582723</v>
      </c>
      <c r="E153" s="372">
        <f>E114+E131+E148</f>
        <v>3481242</v>
      </c>
    </row>
    <row r="154" spans="1:5" ht="10.5">
      <c r="A154" s="392"/>
      <c r="B154" s="320" t="s">
        <v>624</v>
      </c>
      <c r="C154" s="373">
        <f aca="true" t="shared" si="7" ref="C154:E155">C115+C132+C149</f>
        <v>2423450</v>
      </c>
      <c r="D154" s="373">
        <f t="shared" si="7"/>
        <v>1887794</v>
      </c>
      <c r="E154" s="374">
        <f t="shared" si="7"/>
        <v>4311244</v>
      </c>
    </row>
    <row r="155" spans="1:5" ht="11.25" thickBot="1">
      <c r="A155" s="639"/>
      <c r="B155" s="350" t="s">
        <v>625</v>
      </c>
      <c r="C155" s="586">
        <f t="shared" si="7"/>
        <v>2210909</v>
      </c>
      <c r="D155" s="586">
        <f t="shared" si="7"/>
        <v>242645</v>
      </c>
      <c r="E155" s="589">
        <f t="shared" si="7"/>
        <v>2453554</v>
      </c>
    </row>
    <row r="156" spans="1:5" ht="11.25" thickTop="1">
      <c r="A156" s="635" t="s">
        <v>409</v>
      </c>
      <c r="B156" s="636" t="s">
        <v>913</v>
      </c>
      <c r="C156" s="637"/>
      <c r="D156" s="637"/>
      <c r="E156" s="638"/>
    </row>
    <row r="157" spans="1:5" ht="11.25">
      <c r="A157" s="625"/>
      <c r="B157" s="287" t="s">
        <v>623</v>
      </c>
      <c r="C157" s="1389">
        <v>0</v>
      </c>
      <c r="D157" s="1389">
        <v>978</v>
      </c>
      <c r="E157" s="1390">
        <f>D157+C157</f>
        <v>978</v>
      </c>
    </row>
    <row r="158" spans="1:5" ht="11.25">
      <c r="A158" s="625"/>
      <c r="B158" s="287" t="s">
        <v>624</v>
      </c>
      <c r="C158" s="560">
        <f>3!D666</f>
        <v>86358</v>
      </c>
      <c r="D158" s="560">
        <f>3!E666</f>
        <v>978</v>
      </c>
      <c r="E158" s="583">
        <f>C158+D158</f>
        <v>87336</v>
      </c>
    </row>
    <row r="159" spans="1:5" ht="12" thickBot="1">
      <c r="A159" s="625"/>
      <c r="B159" s="288" t="s">
        <v>625</v>
      </c>
      <c r="C159" s="581">
        <f>3!D667</f>
        <v>86358</v>
      </c>
      <c r="D159" s="581">
        <f>3!E667</f>
        <v>978</v>
      </c>
      <c r="E159" s="582">
        <f>C159+D159</f>
        <v>87336</v>
      </c>
    </row>
    <row r="160" spans="1:5" ht="14.25" customHeight="1" thickBot="1" thickTop="1">
      <c r="A160" s="1954" t="s">
        <v>871</v>
      </c>
      <c r="B160" s="1955"/>
      <c r="C160" s="1384"/>
      <c r="D160" s="1388"/>
      <c r="E160" s="1386"/>
    </row>
    <row r="161" spans="1:5" ht="12" thickTop="1">
      <c r="A161" s="391"/>
      <c r="B161" s="518" t="s">
        <v>623</v>
      </c>
      <c r="C161" s="565">
        <f aca="true" t="shared" si="8" ref="C161:D163">C153+C157</f>
        <v>1898519</v>
      </c>
      <c r="D161" s="565">
        <f t="shared" si="8"/>
        <v>1583701</v>
      </c>
      <c r="E161" s="582">
        <f>C161+D161</f>
        <v>3482220</v>
      </c>
    </row>
    <row r="162" spans="1:5" ht="11.25">
      <c r="A162" s="392"/>
      <c r="B162" s="520" t="s">
        <v>624</v>
      </c>
      <c r="C162" s="373">
        <f t="shared" si="8"/>
        <v>2509808</v>
      </c>
      <c r="D162" s="373">
        <f t="shared" si="8"/>
        <v>1888772</v>
      </c>
      <c r="E162" s="583">
        <f>C162+D162</f>
        <v>4398580</v>
      </c>
    </row>
    <row r="163" spans="1:5" ht="12" thickBot="1">
      <c r="A163" s="1385"/>
      <c r="B163" s="1387" t="s">
        <v>625</v>
      </c>
      <c r="C163" s="1391">
        <f t="shared" si="8"/>
        <v>2297267</v>
      </c>
      <c r="D163" s="1391">
        <f t="shared" si="8"/>
        <v>243623</v>
      </c>
      <c r="E163" s="626">
        <f>C163+D163</f>
        <v>2540890</v>
      </c>
    </row>
  </sheetData>
  <sheetProtection/>
  <mergeCells count="10">
    <mergeCell ref="A152:B152"/>
    <mergeCell ref="A160:B160"/>
    <mergeCell ref="A87:E87"/>
    <mergeCell ref="A7:B8"/>
    <mergeCell ref="E7:E8"/>
    <mergeCell ref="A10:E10"/>
    <mergeCell ref="A84:B85"/>
    <mergeCell ref="E84:E85"/>
    <mergeCell ref="A60:B60"/>
    <mergeCell ref="A64:B6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10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oroszizsuzsanna</cp:lastModifiedBy>
  <cp:lastPrinted>2012-04-13T06:29:58Z</cp:lastPrinted>
  <dcterms:created xsi:type="dcterms:W3CDTF">2006-02-08T00:02:41Z</dcterms:created>
  <dcterms:modified xsi:type="dcterms:W3CDTF">2012-06-05T16:40:20Z</dcterms:modified>
  <cp:category/>
  <cp:version/>
  <cp:contentType/>
  <cp:contentStatus/>
</cp:coreProperties>
</file>