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8" activeTab="9"/>
  </bookViews>
  <sheets>
    <sheet name="Előir (1)" sheetId="1" r:id="rId1"/>
    <sheet name="Össz(2)" sheetId="2" r:id="rId2"/>
    <sheet name="Kis." sheetId="3" r:id="rId3"/>
    <sheet name="Bev.,kiad.mód (3)" sheetId="4" r:id="rId4"/>
    <sheet name="Int.bev(4)" sheetId="5" r:id="rId5"/>
    <sheet name="Kiad.(5)" sheetId="6" r:id="rId6"/>
    <sheet name="Beruh.,felúj. (6)" sheetId="7" r:id="rId7"/>
    <sheet name="céltart(7)" sheetId="8" r:id="rId8"/>
    <sheet name="Több éves kimut." sheetId="9" r:id="rId9"/>
    <sheet name="Gördülő terv (9)" sheetId="10" r:id="rId10"/>
    <sheet name="EU tám. projektek (10)" sheetId="11" r:id="rId11"/>
  </sheets>
  <definedNames>
    <definedName name="_xlnm.Print_Titles" localSheetId="6">'Beruh.,felúj. (6)'!$4:$6</definedName>
    <definedName name="_xlnm.Print_Titles" localSheetId="3">'Bev.,kiad.mód (3)'!$6:$7</definedName>
    <definedName name="_xlnm.Print_Titles" localSheetId="9">'Gördülő terv (9)'!$5:$9</definedName>
    <definedName name="_xlnm.Print_Titles" localSheetId="4">'Int.bev(4)'!$9:$12</definedName>
    <definedName name="_xlnm.Print_Titles" localSheetId="5">'Kiad.(5)'!$6:$8</definedName>
    <definedName name="_xlnm.Print_Titles" localSheetId="8">'Több éves kimut.'!$4:$4</definedName>
    <definedName name="_xlnm.Print_Area" localSheetId="9">'Gördülő terv (9)'!$A$1:$L$136</definedName>
    <definedName name="_xlnm.Print_Area" localSheetId="8">'Több éves kimut.'!$A$1:$I$35</definedName>
  </definedNames>
  <calcPr fullCalcOnLoad="1"/>
</workbook>
</file>

<file path=xl/sharedStrings.xml><?xml version="1.0" encoding="utf-8"?>
<sst xmlns="http://schemas.openxmlformats.org/spreadsheetml/2006/main" count="1508" uniqueCount="669">
  <si>
    <t>Ezer Ft - ban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</si>
  <si>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</si>
  <si>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</si>
  <si>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</si>
  <si>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</si>
  <si>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</si>
  <si>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</si>
  <si>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</si>
  <si>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</si>
  <si>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</si>
  <si>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</si>
  <si>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</si>
  <si>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</si>
  <si>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</si>
  <si>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</si>
  <si>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</si>
  <si>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Intézményi működési bevételek</t>
  </si>
  <si>
    <t>2.</t>
  </si>
  <si>
    <t>Önkormányzat saját folyó bevétele</t>
  </si>
  <si>
    <t>3.</t>
  </si>
  <si>
    <t>Helyi adók</t>
  </si>
  <si>
    <t>4.</t>
  </si>
  <si>
    <t>Átengedett központi adók</t>
  </si>
  <si>
    <t>5.</t>
  </si>
  <si>
    <t>Önkormányzat egyéb sajátos bevételei</t>
  </si>
  <si>
    <t>6.</t>
  </si>
  <si>
    <t>Központi kltsgvetésből kapott tám.</t>
  </si>
  <si>
    <t>7.</t>
  </si>
  <si>
    <t>8.</t>
  </si>
  <si>
    <t>Hitelek</t>
  </si>
  <si>
    <t>9.</t>
  </si>
  <si>
    <t>Felhalmozási célú bevételek (+felh. pm)</t>
  </si>
  <si>
    <t>10.</t>
  </si>
  <si>
    <t>11.</t>
  </si>
  <si>
    <t>KIADÁSI ELŐIRÁNYZAT FELHASZNÁLÁS ALAKULÁSA</t>
  </si>
  <si>
    <t>Személyi juttatások</t>
  </si>
  <si>
    <t>Munkaadókat terhelő járulékok</t>
  </si>
  <si>
    <t>Dologi kiadások</t>
  </si>
  <si>
    <t>Felhalmozási célú kiadások</t>
  </si>
  <si>
    <t>Tartalékok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</si>
  <si>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</si>
  <si>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</si>
  <si>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</si>
  <si>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</si>
  <si>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</si>
  <si>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</si>
  <si>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</si>
  <si>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Intézményi bevételek</t>
  </si>
  <si>
    <t>II.</t>
  </si>
  <si>
    <t>Központosított bevételek</t>
  </si>
  <si>
    <t>Önkormányzatok egyéb sajátos bevételei</t>
  </si>
  <si>
    <t>Felhalmozási és tőke jellegű bevételek</t>
  </si>
  <si>
    <t>Központi költségvetésből kapott támogatás</t>
  </si>
  <si>
    <t>Pályázaton nyert támogatások</t>
  </si>
  <si>
    <t>Összesen ( II./1-9.)</t>
  </si>
  <si>
    <t>BEVÉTELEK ÖSSZESEN</t>
  </si>
  <si>
    <t>Az önkormányzati költségvetés működési hiánya</t>
  </si>
  <si>
    <t>KIADÁSOK</t>
  </si>
  <si>
    <t>Működési célú kiadások</t>
  </si>
  <si>
    <t>Ellátottak pénzbeli juttatása</t>
  </si>
  <si>
    <t xml:space="preserve">Összesen </t>
  </si>
  <si>
    <t>Felhalmozási jellegű kiadások</t>
  </si>
  <si>
    <t>Beruházások</t>
  </si>
  <si>
    <t>Felújítások</t>
  </si>
  <si>
    <t>Egyéb felhalmozási jellegű kiadások</t>
  </si>
  <si>
    <t>III.</t>
  </si>
  <si>
    <t>Általános tartalék</t>
  </si>
  <si>
    <t>Céltartalék</t>
  </si>
  <si>
    <t>KIADÁSOK ÖSSZESEN</t>
  </si>
  <si>
    <t>Ezer Ft-ban</t>
  </si>
  <si>
    <t>M E G N E V E Z É S</t>
  </si>
  <si>
    <t xml:space="preserve">B E V É T E L E K </t>
  </si>
  <si>
    <t>A./</t>
  </si>
  <si>
    <t>INTÉZMÉNYI BEVÉTELEK</t>
  </si>
  <si>
    <t>Intézményi alaptevékenység és egyéb tevékenység</t>
  </si>
  <si>
    <t>B./</t>
  </si>
  <si>
    <t>KÖZPONTOSÍTOTT FOLYÓ BEVÉTELEK</t>
  </si>
  <si>
    <t>Alaptevékenységhez kapcsolódó és hatósági bevételek</t>
  </si>
  <si>
    <t>Bérleti díjak ( közterület, garázs, föld )</t>
  </si>
  <si>
    <t>Helyiség bérleti díjak</t>
  </si>
  <si>
    <t>Helyőrségi Klub bérleti díja</t>
  </si>
  <si>
    <t>Általános forgalmi adó bevételek, visszatérítés</t>
  </si>
  <si>
    <t>Krimpeni ház bérleti díja</t>
  </si>
  <si>
    <t>Egyéb számlázott bevételek</t>
  </si>
  <si>
    <t>Továbbszámlázott szolgáltatás bevétele</t>
  </si>
  <si>
    <t>Gépjárműadó</t>
  </si>
  <si>
    <t>Idegenforgalmi adó bevételek</t>
  </si>
  <si>
    <t>Személyi jövedelemadó helyben maradó része</t>
  </si>
  <si>
    <t>Talajterhelési díj</t>
  </si>
  <si>
    <t>Önkormányzati tulajdonú ingatlanok értékesítése</t>
  </si>
  <si>
    <t>Önkormányzati lakások értékesítése</t>
  </si>
  <si>
    <t>Kamatmentes lakástámogatás törlesztése</t>
  </si>
  <si>
    <t>Részvények értékesítése, hozama</t>
  </si>
  <si>
    <t>IV.</t>
  </si>
  <si>
    <t>Ápolási díj</t>
  </si>
  <si>
    <t>Rendszeres szociális segély</t>
  </si>
  <si>
    <t>Időskorúak járadéka</t>
  </si>
  <si>
    <t>Lakásfenntartás támogatása</t>
  </si>
  <si>
    <t>Polgári védelmi feladatok ellátása</t>
  </si>
  <si>
    <t>Közhasznú munkások foglalkoztatása</t>
  </si>
  <si>
    <t>Mezőőri feladatok ellátására támogatás</t>
  </si>
  <si>
    <t>12.</t>
  </si>
  <si>
    <t>V.</t>
  </si>
  <si>
    <t>Volt állami tulajdonban lévő lakásvásárlási kölcsönök és szociális lakástámogatás törlesztéséből származó bevételek</t>
  </si>
  <si>
    <t>13.</t>
  </si>
  <si>
    <t>VI.</t>
  </si>
  <si>
    <t>Költségvetési támogatás</t>
  </si>
  <si>
    <t>VII.</t>
  </si>
  <si>
    <t>Központosított állami támogatások</t>
  </si>
  <si>
    <t>Német Kisebbségi Önkormányzat támogatása</t>
  </si>
  <si>
    <t>Szlovák Kisebbségi Önkormányzat támogatása</t>
  </si>
  <si>
    <t>Cigány Kisebbségi Önkormányzat támogatása</t>
  </si>
  <si>
    <t>VIII.</t>
  </si>
  <si>
    <t>Rövidlejáratú hitel (hiány)</t>
  </si>
  <si>
    <t>Felhalmozási célú pályázaton nyert támogatások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</si>
  <si>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</si>
  <si>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</si>
  <si>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</si>
  <si>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</si>
  <si>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</si>
  <si>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</si>
  <si>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</si>
  <si>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</si>
  <si>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</si>
  <si>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</si>
  <si>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</si>
  <si>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Központosított bevételek összesen</t>
  </si>
  <si>
    <t>ÖNKORMÁNYZATI BEVÉTELEK ÖSSZESEN</t>
  </si>
  <si>
    <t>K I A DÁ S O K</t>
  </si>
  <si>
    <t>Személyi jellegű kiadások</t>
  </si>
  <si>
    <t>Speciális célú támogatások</t>
  </si>
  <si>
    <t>Központosított beruházások</t>
  </si>
  <si>
    <t>Intézményi beruházások</t>
  </si>
  <si>
    <t>Központosított felújítások</t>
  </si>
  <si>
    <t>Egyéb felhalmozási célú kiadások</t>
  </si>
  <si>
    <t>Lakáscélú szociális támogatás</t>
  </si>
  <si>
    <t>Céltartalékok</t>
  </si>
  <si>
    <t>ÖNKORMÁNYZATI KIADÁSOK ÖSSZESEN</t>
  </si>
  <si>
    <t>Intézmények saját bevétele</t>
  </si>
  <si>
    <t>Cím,</t>
  </si>
  <si>
    <t>Cím</t>
  </si>
  <si>
    <t>TB finan-</t>
  </si>
  <si>
    <t>Összes</t>
  </si>
  <si>
    <t>szám</t>
  </si>
  <si>
    <t>megnevezése</t>
  </si>
  <si>
    <t>Alap-tevékenység</t>
  </si>
  <si>
    <t>Működési célú</t>
  </si>
  <si>
    <t xml:space="preserve">Felhal-mozási </t>
  </si>
  <si>
    <t>szírozás</t>
  </si>
  <si>
    <t>bevétel</t>
  </si>
  <si>
    <t>bevétele</t>
  </si>
  <si>
    <t>bevételek</t>
  </si>
  <si>
    <t>célú bevételek</t>
  </si>
  <si>
    <t>Cím ,</t>
  </si>
  <si>
    <t>Személyi</t>
  </si>
  <si>
    <t>Munkaadót</t>
  </si>
  <si>
    <t>Dologi</t>
  </si>
  <si>
    <t>Ellátottak</t>
  </si>
  <si>
    <t>Beruházá-</t>
  </si>
  <si>
    <t>Egyéb felhalm.</t>
  </si>
  <si>
    <t>Létszám-</t>
  </si>
  <si>
    <t>Alcím</t>
  </si>
  <si>
    <t xml:space="preserve">             alcím megnevezése</t>
  </si>
  <si>
    <t>jellegű</t>
  </si>
  <si>
    <t xml:space="preserve">terhelő </t>
  </si>
  <si>
    <t>kiadások</t>
  </si>
  <si>
    <t>pénzbeli</t>
  </si>
  <si>
    <t>célú kiadások</t>
  </si>
  <si>
    <t>sok, felújí-</t>
  </si>
  <si>
    <t>keret</t>
  </si>
  <si>
    <t>Szám</t>
  </si>
  <si>
    <t>járulékok</t>
  </si>
  <si>
    <t>juttatása</t>
  </si>
  <si>
    <t>tások</t>
  </si>
  <si>
    <t>támogatása</t>
  </si>
  <si>
    <t>Kisegítő mezőgazdasági szolgáltatás</t>
  </si>
  <si>
    <t>Helyi közutak  létesítése és felújítása</t>
  </si>
  <si>
    <t>Helyi közutak létesítése és felújítása</t>
  </si>
  <si>
    <t>Helyi közutak  üzemeltetése, fenntartása</t>
  </si>
  <si>
    <t>Helyi közutak karbantartása</t>
  </si>
  <si>
    <t xml:space="preserve">Buszváró üzemeltetése, fenntartása </t>
  </si>
  <si>
    <t>Saját vagy bérelt ingatlan hasznosítása</t>
  </si>
  <si>
    <t>Önkormányzati igazgatási tevékenység</t>
  </si>
  <si>
    <t>Kiskőrösi Többcélú Kistérségi Társulás működésének támogatása</t>
  </si>
  <si>
    <t>Testületi feladatok ellátása</t>
  </si>
  <si>
    <t>Önkéntes Tűzoltóság működtetése</t>
  </si>
  <si>
    <t>Polgári védelmi tevékenység</t>
  </si>
  <si>
    <t xml:space="preserve">Önkormányzat által szervezett közcélú foglalkoztatás                </t>
  </si>
  <si>
    <t>Költségvetési tartalékok</t>
  </si>
  <si>
    <t>Belvíz elvezetés</t>
  </si>
  <si>
    <t>25.</t>
  </si>
  <si>
    <t>Város -és községgazdálkodási szolgáltatás</t>
  </si>
  <si>
    <t>26.</t>
  </si>
  <si>
    <t>Települési vízellátás és vízminőségvédelem</t>
  </si>
  <si>
    <t>27.</t>
  </si>
  <si>
    <t>Közvilágítás</t>
  </si>
  <si>
    <t>28.</t>
  </si>
  <si>
    <t>Oktatást kiegészítő egyéb tevékenység</t>
  </si>
  <si>
    <t xml:space="preserve"> Szociálisan rászoruló gyerekek továbbtanulásának támogatása (Bursa )</t>
  </si>
  <si>
    <t>29.</t>
  </si>
  <si>
    <t>Egyéb szociális és egészségügyi feladatok</t>
  </si>
  <si>
    <t>30.</t>
  </si>
  <si>
    <t>Állategészségügyi tevékenység</t>
  </si>
  <si>
    <t>31.</t>
  </si>
  <si>
    <t>Rendszeres pénzbeli ellátások</t>
  </si>
  <si>
    <t>32.</t>
  </si>
  <si>
    <t>Eseti pénzbeni ellátások</t>
  </si>
  <si>
    <t>33.</t>
  </si>
  <si>
    <t>Szennyvízelvezetés- és kezelés</t>
  </si>
  <si>
    <t>34.</t>
  </si>
  <si>
    <t>Települési hulladékok kezelése, egyéb köztisztasági tevékenység</t>
  </si>
  <si>
    <t>35.</t>
  </si>
  <si>
    <t>Egyéb szórakoztatási és közművelődési és sport tevékenység</t>
  </si>
  <si>
    <t>Temetkezés és ehhez kapcsolódó szolgáltatás</t>
  </si>
  <si>
    <t>Fürdő - és strandszolgáltatás</t>
  </si>
  <si>
    <t>Német Kisebbségi Önkormányzat</t>
  </si>
  <si>
    <t>Szlovák Kisebbségi Önkormányzat</t>
  </si>
  <si>
    <t>Cigány Kisebbségi Önkormányzat</t>
  </si>
  <si>
    <t>e Ft-ban</t>
  </si>
  <si>
    <t>A.</t>
  </si>
  <si>
    <t>Központosított</t>
  </si>
  <si>
    <t>B.</t>
  </si>
  <si>
    <t>Intézményi</t>
  </si>
  <si>
    <t>Ö S S Z E S E N</t>
  </si>
  <si>
    <t>Egyéb felhalmozás jellegű kiadások</t>
  </si>
  <si>
    <t>BERUHÁZÁSOK, FELÚJÍTÁSOK ÉS EGYÉB FELHALMOZÁSI</t>
  </si>
  <si>
    <t>JELLEGŰ KIADÁSOK ÖSSZESEN</t>
  </si>
  <si>
    <t xml:space="preserve"> </t>
  </si>
  <si>
    <t>Összesen:</t>
  </si>
  <si>
    <t>Fejlesztési célra átvett pénzeszközök</t>
  </si>
  <si>
    <t>Támogatásértékű bevételek</t>
  </si>
  <si>
    <t>Rendszeres gyermekvédelmi kedvezmény</t>
  </si>
  <si>
    <t>Kiegészítő gyermekvédelmi támogatás</t>
  </si>
  <si>
    <t>Támogatásértékű kiadások</t>
  </si>
  <si>
    <t>Támogatás- értékű kiadások</t>
  </si>
  <si>
    <t xml:space="preserve">Ellátottak pénzbeli juttatása </t>
  </si>
  <si>
    <t>Társ., szoc.pol. és egyéb juttatás/tám.</t>
  </si>
  <si>
    <t>Társadalom-, szociálpolitikai és egyéb juttatás, támogatás</t>
  </si>
  <si>
    <t>Társ.szoc. pol. és egyéb juttatás/tám</t>
  </si>
  <si>
    <t>Támogatásértékű működési bevételek</t>
  </si>
  <si>
    <t>Véglegesen átvett pénzeszközök</t>
  </si>
  <si>
    <t>Mindösszesen</t>
  </si>
  <si>
    <t>Fejlesztési célú hitel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</si>
  <si>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</si>
  <si>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</si>
  <si>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</si>
  <si>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</si>
  <si>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</si>
  <si>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</si>
  <si>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</si>
  <si>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</si>
  <si>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</si>
  <si>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</si>
  <si>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</si>
  <si>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</si>
  <si>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Sikeres Magyarországért Panel Plusz Hitelprogram</t>
  </si>
  <si>
    <t>Humán Szolgáltató Központ</t>
  </si>
  <si>
    <t>Mezőgazdasági tevékenység ( mezőőri feladatok )</t>
  </si>
  <si>
    <t>Parkfenntartás, parképítés</t>
  </si>
  <si>
    <t>Önkormányzati vagyon és épületek hasznosításával kapcsolatos    kiadások</t>
  </si>
  <si>
    <t xml:space="preserve">Önkormányzati lakások karbantartása, felújítása, építés,                             </t>
  </si>
  <si>
    <t xml:space="preserve">Értékesítéshez  kapcsolódó általános forgalmi adó kiadások </t>
  </si>
  <si>
    <t>Nyilvános WC üzemeltetése</t>
  </si>
  <si>
    <t>Hivatali igazgatási feladatok ellátása</t>
  </si>
  <si>
    <t>Közterület-felügyelők</t>
  </si>
  <si>
    <t>Építésrendészeti feladatok</t>
  </si>
  <si>
    <t>Nyugdíjas köztisztviselők juttatásai</t>
  </si>
  <si>
    <t>Közhasznú munkások foglalkoztatás</t>
  </si>
  <si>
    <t>Terményvédelem, bűnmegelőzés</t>
  </si>
  <si>
    <t>Építési tilalom alatt álló ingatlan kártalanítása</t>
  </si>
  <si>
    <t>Védett épületek felújításának támogatása</t>
  </si>
  <si>
    <t xml:space="preserve"> Városi Polgárőrség Bűnmegelőzési és Önvéd. Egy. tám.</t>
  </si>
  <si>
    <t>Vízellátás, vízminőségvédelem</t>
  </si>
  <si>
    <t>Dél-Alföldi ivóvízjavítási program</t>
  </si>
  <si>
    <t>ÁNTSZ ártézi kút vizsgálata</t>
  </si>
  <si>
    <t>Közvilágítási feladatok</t>
  </si>
  <si>
    <t>Oktatási célok és egyéb feladatok</t>
  </si>
  <si>
    <t>Tehetséges gyerekek továbbtanulásának támogatása</t>
  </si>
  <si>
    <t>Kábítószer fogyasztás elleni védekezés támogatása</t>
  </si>
  <si>
    <t xml:space="preserve">Kiskőrös Városért Alapítvány működésének támogatása </t>
  </si>
  <si>
    <t xml:space="preserve">PPP projekt Térségi uszoda </t>
  </si>
  <si>
    <t>PPP projekt Petőfi Sándor Általános Iskola tornaterem</t>
  </si>
  <si>
    <t>Evangélikus Egyház szociális tevékenységének támogatása</t>
  </si>
  <si>
    <t>Szociális feladatok ellátása ( hivatásos gondnoki feladatok )</t>
  </si>
  <si>
    <t>Többcélú Kistérségi Társulás bentlakásos intézmény támogatása</t>
  </si>
  <si>
    <t>Lakásfenntartási támogatás</t>
  </si>
  <si>
    <t>Rendszeres szociális segély (felnőttek)</t>
  </si>
  <si>
    <t>Lakbértámogatás</t>
  </si>
  <si>
    <t>Tartásdíj támogatása</t>
  </si>
  <si>
    <t>Átmeneti segély (felnőttek eseti segélyezése)</t>
  </si>
  <si>
    <t>Közgyógy-ellátás</t>
  </si>
  <si>
    <t>Rendkívüli gyermekvédelmi támogatás</t>
  </si>
  <si>
    <t>Köztemetés</t>
  </si>
  <si>
    <t>Kiegészítő gyermekvédelmi  támogatás</t>
  </si>
  <si>
    <t>Sikeres Magyarországért Panel Plusz  Hitelprogram</t>
  </si>
  <si>
    <t>Temetési segély</t>
  </si>
  <si>
    <t>Mozgáskorlátozottak támogatása</t>
  </si>
  <si>
    <t>Otthonteremtési támogatás</t>
  </si>
  <si>
    <t>Lakosság támogatása szennyvízcsatorna építésére ( LTP ) VI.</t>
  </si>
  <si>
    <t>Települési hulladékok szállítása</t>
  </si>
  <si>
    <t>Egyéb köztisztasági tevékenység</t>
  </si>
  <si>
    <t xml:space="preserve">Regionális hulladéklerakó </t>
  </si>
  <si>
    <t xml:space="preserve">Hulladéklerakó szigetek létesítése, működtetése </t>
  </si>
  <si>
    <t>Petőfi Sándor Társaság támogatása</t>
  </si>
  <si>
    <t>KisKőrös TV</t>
  </si>
  <si>
    <t>Sajtó kiadványok, PR</t>
  </si>
  <si>
    <t>Kézilabda sportcélok támogatása</t>
  </si>
  <si>
    <t>Kiskőrösi labdarugó klub támogatása</t>
  </si>
  <si>
    <t>Labdarúgó utánpótlás- FOCISULI</t>
  </si>
  <si>
    <t>Cselgáncs sportcélok támogatása</t>
  </si>
  <si>
    <t>Birkózás sportcélok támogatása</t>
  </si>
  <si>
    <t>Szüreti Napok megrendezése</t>
  </si>
  <si>
    <t>Városi rendezvények</t>
  </si>
  <si>
    <t>Testvérvárosi kapcsolatok</t>
  </si>
  <si>
    <t>Közművelődési megállapodás alapján végzett szolgáltatás</t>
  </si>
  <si>
    <t>Keresztény Ifjúsági Egyesület támogatása</t>
  </si>
  <si>
    <t>KŐRÖSVÍZ Kft - nek pénzeszköz átadás</t>
  </si>
  <si>
    <t>Társadalombiztosítás finanszírozása</t>
  </si>
  <si>
    <t>Buszváró lakás bérleti díja</t>
  </si>
  <si>
    <t xml:space="preserve">I. </t>
  </si>
  <si>
    <t>Felhalmozási és tőke jellegű bevételek összesen</t>
  </si>
  <si>
    <t>1.13</t>
  </si>
  <si>
    <t>1.14</t>
  </si>
  <si>
    <t>Otthonteremtő támogatás</t>
  </si>
  <si>
    <t xml:space="preserve">IV. </t>
  </si>
  <si>
    <t>Támogatásértékű bevételek mindösszesen</t>
  </si>
  <si>
    <t>Költségvetési támogatás összesen</t>
  </si>
  <si>
    <t>Központosított állami támogatások összesen</t>
  </si>
  <si>
    <t>Hitelek összesen</t>
  </si>
  <si>
    <t>Felhalmozási célú pályázaton nyert támogatások összesen</t>
  </si>
  <si>
    <t>Központosított egyéb felhalmozási célú kiadások</t>
  </si>
  <si>
    <t>Pénzmaradvány</t>
  </si>
  <si>
    <t xml:space="preserve">Kistérségi szintű építéshatósági feladatok </t>
  </si>
  <si>
    <t>Hegyközség támogatása</t>
  </si>
  <si>
    <t>1.15</t>
  </si>
  <si>
    <t>1.16</t>
  </si>
  <si>
    <t>IX.</t>
  </si>
  <si>
    <t>1.17</t>
  </si>
  <si>
    <t>Három város borversenye</t>
  </si>
  <si>
    <t>Művelődési Ház, Könyvtár fejlesztési célú hitelfelvétel kamattámogatása</t>
  </si>
  <si>
    <t>Kiskőrösi Többcélú Kistérségi Társulás Háziorvosi ügyelet működtetési támogatás</t>
  </si>
  <si>
    <t>Művelődési Ház, Könyvtár hitelfelvétel  kamatfizetés</t>
  </si>
  <si>
    <t>Alapfokú Művészetoktatás telephelyei általi befizetések</t>
  </si>
  <si>
    <t>Kiskőrösi Többcélú Kistérségi Társulás oktatási, nevelési feladatainak támogatása</t>
  </si>
  <si>
    <t>Petőfi Sándor Városi Könyvtár</t>
  </si>
  <si>
    <t xml:space="preserve">Városi Alapfokú Művészeti Iskola </t>
  </si>
  <si>
    <t xml:space="preserve">Városi Sportigazgatóság </t>
  </si>
  <si>
    <t xml:space="preserve">Petőfi Szülőház és Emlékmúzeum </t>
  </si>
  <si>
    <t xml:space="preserve">Hivatásos Önkormányzati Tűzoltóság </t>
  </si>
  <si>
    <t>Intézmények összesen       1-7. sorok</t>
  </si>
  <si>
    <t xml:space="preserve">Humán Szolgáltató Központ </t>
  </si>
  <si>
    <t xml:space="preserve">Városi Alapfokú Művészetoktatási Intézmény </t>
  </si>
  <si>
    <t>Városi Sportigazgatóság</t>
  </si>
  <si>
    <r>
      <t xml:space="preserve">INTÉZMÉNYEK ÖSSZESEN </t>
    </r>
    <r>
      <rPr>
        <sz val="8"/>
        <rFont val="Times New Roman CE"/>
        <family val="1"/>
      </rPr>
      <t>( 1-7 sorok )</t>
    </r>
  </si>
  <si>
    <r>
      <t xml:space="preserve">KÖZPONTOSÍTOTT KIADÁSOK ÖSSZESEN </t>
    </r>
    <r>
      <rPr>
        <sz val="8"/>
        <rFont val="Times New Roman CE"/>
        <family val="1"/>
      </rPr>
      <t>( 8-36 sorok )</t>
    </r>
  </si>
  <si>
    <r>
      <t xml:space="preserve">KIADÁSOK ÖSSZESEN </t>
    </r>
    <r>
      <rPr>
        <sz val="8"/>
        <rFont val="Times New Roman CE"/>
        <family val="1"/>
      </rPr>
      <t>( 1-36 sorok )</t>
    </r>
  </si>
  <si>
    <t>Érékbecslések, tulajdoni lapok, térképkivonatok, vázrajzok</t>
  </si>
  <si>
    <t>Önkormányzati értékesített  bérlakások fizetési részletei</t>
  </si>
  <si>
    <t>MTT TEKI Pozsonyi u. burkolatának javítása, felületi zárás</t>
  </si>
  <si>
    <t>MTT TEKI Hunyadi, Wesselényi, Dobozi, Nádasdi utcák burkolatának javítása, felületi zárás</t>
  </si>
  <si>
    <t>MTT TEKI Víztorony köz, Bánk, Szondi utcák burkolatának javítása, felületi zárás</t>
  </si>
  <si>
    <t>MTT CEDA Polgármesteri Hivatal emeleti mosdó és WC átalakítása</t>
  </si>
  <si>
    <t>Hunyadi, Wesselényi, Dobozi, Nádasdi utcák burkolatának javítása, felületi zárás</t>
  </si>
  <si>
    <t>Víztorony köz, Bánk, Szondi utcák burkolatának javítása, felületi zárás</t>
  </si>
  <si>
    <t>Pozsonyi u. burkolatának javítása, felületi zárás</t>
  </si>
  <si>
    <t>Lakbérbevételek</t>
  </si>
  <si>
    <t>Dolgozóknak, intézményi dolgozóknak nyújtott lakásvásárlási, lakásépítési kölcsön visszatérítése</t>
  </si>
  <si>
    <t>Tagdíj befizetések</t>
  </si>
  <si>
    <t>Dél-Alföldi Ivóvízminőségjavítási program tervdokumnetáció önerő</t>
  </si>
  <si>
    <t>Dolgozóknak nyújtott lakásvásárlási-, lakásépítési kölcsön</t>
  </si>
  <si>
    <t>Épületek, építmények értékesítése (Parókia)</t>
  </si>
  <si>
    <t>Gondozási szükséglet vizsgálata házi segítségnyújtásnál</t>
  </si>
  <si>
    <t>Önkormányzat saját bevételei</t>
  </si>
  <si>
    <t>Önkormányzat saját bevételei összesen</t>
  </si>
  <si>
    <t>Önkormányzat sajátos bevételei</t>
  </si>
  <si>
    <t>Önkormányzat sajátos bevételei összesen</t>
  </si>
  <si>
    <t>Jövedelemkülönbség mérséklése</t>
  </si>
  <si>
    <t>Környezetvédelmi bírság</t>
  </si>
  <si>
    <t>Építésügyi bírság</t>
  </si>
  <si>
    <t>Termőföld bérbeadásából származó jövedelem adó</t>
  </si>
  <si>
    <t>Lakossághoz és feladatmutatóhoz kötött normatív hozzájárulás</t>
  </si>
  <si>
    <t>Kiegészítő támogatás egyes közoktatási feladatokhoz</t>
  </si>
  <si>
    <t>Helyi önkormányzati hivatásos tűzoltóságok támogatása</t>
  </si>
  <si>
    <t>Kiegészítő támogatás egyes szociális feladatokhoz</t>
  </si>
  <si>
    <t>Önkormány-zati hozzá-járulás</t>
  </si>
  <si>
    <t>Egészségügyi Szolgálat</t>
  </si>
  <si>
    <t>Polgármesteri Hivatal saját bevétele</t>
  </si>
  <si>
    <t>VI. számú szennyvízcsatorna lakossági hozzájárulás</t>
  </si>
  <si>
    <t>Hrúz Mária sáhor csatorna lefedése</t>
  </si>
  <si>
    <t>Szarvas utca 2. beruházás - előleg visszafizetés</t>
  </si>
  <si>
    <t>Díszkivilágítás fel- és leszerelése</t>
  </si>
  <si>
    <t>Kistérségi képeskönyv megjelenítetése</t>
  </si>
  <si>
    <t>Térfigyelő rendszer</t>
  </si>
  <si>
    <t>Térfigyelő rendszer - önerő</t>
  </si>
  <si>
    <t>Iparűzési adó</t>
  </si>
  <si>
    <t>Magánszemélyek kommunális adója</t>
  </si>
  <si>
    <t>Útfelújításokhoz önerő</t>
  </si>
  <si>
    <t xml:space="preserve">Felújítások </t>
  </si>
  <si>
    <t>Normatíva visszafizetés</t>
  </si>
  <si>
    <t>Krimpeni Ház működési kiadásai</t>
  </si>
  <si>
    <t>Helyőrségi Klub működési kiadásai</t>
  </si>
  <si>
    <t>Lakosságtól útépítésre átvett pénzeszköz</t>
  </si>
  <si>
    <t>2728/95 helyrajzi számú út kiépítése</t>
  </si>
  <si>
    <t>Fürdő medence felújítása</t>
  </si>
  <si>
    <t>2008. évi bérpolitikai intézkedések támogatása</t>
  </si>
  <si>
    <t xml:space="preserve">Művelődési Ház hitelfelvétel törlesztése </t>
  </si>
  <si>
    <t>Petőfi Sándor Városi Könyvtár tetőfelújítás</t>
  </si>
  <si>
    <t>KTKT Petőfi Sándor Gimnázium - tűzérzékelő rendszer</t>
  </si>
  <si>
    <t>1.18</t>
  </si>
  <si>
    <t>1.19</t>
  </si>
  <si>
    <t>ÖTM szolgáltatási díj hozzájárulás - PPP tanuszoda</t>
  </si>
  <si>
    <t>ÖTM szolgáltatási díj hozzájárulás - PPP tornaterem</t>
  </si>
  <si>
    <t>Kamat és egyéb hitelfelvételi kiadások</t>
  </si>
  <si>
    <t>Szakképzési konrzorcium</t>
  </si>
  <si>
    <t>Kiskőrösi Mentő Alapítvány támogatása</t>
  </si>
  <si>
    <t>Vállalkozótól parkolóépítésre átvett pénzeszköz</t>
  </si>
  <si>
    <t>4db közterületi parkoló építése vállalkozói pénzeszköz átadásból</t>
  </si>
  <si>
    <t>Kiskőrös Város Fúvószenekarát és Mazsorett Csoportját Támogatók Egyesülete</t>
  </si>
  <si>
    <t>Kiskőrösi Ifjúsági Fúvószenekari Közhasznú Egyesület</t>
  </si>
  <si>
    <t>Kiskőrösi Városi Borverseny támogatása</t>
  </si>
  <si>
    <t>Kadarka Nemzetközi Nagydíj rose- és vörösborverseny támogatása</t>
  </si>
  <si>
    <t>Előző évi pénzmaradvány</t>
  </si>
  <si>
    <t>Intézményi pénzmaradvány</t>
  </si>
  <si>
    <t>Petőfi Szülőház és Emlékmúzeum</t>
  </si>
  <si>
    <t>Városi Alapfokú Művészetoktatási  Intézmény lakásépítési alap</t>
  </si>
  <si>
    <t>Városi Sportigazgatóság lakásépítési alap</t>
  </si>
  <si>
    <t>Városi Könyvtár lakásépítési alap</t>
  </si>
  <si>
    <t>Petőfi Szülőház és Emlékmúzeum lakásépítési alap</t>
  </si>
  <si>
    <t>Humán Szolgáltató Központ lakásépítési alap</t>
  </si>
  <si>
    <t>Egészségügyi Szolgálat lakásépítési alap</t>
  </si>
  <si>
    <t>Intézményi egyéb felhalmozási célú kiadások</t>
  </si>
  <si>
    <t>X.</t>
  </si>
  <si>
    <t>Központosított pénzmaradvány</t>
  </si>
  <si>
    <t>Bajtárs u.telkek kialakítása ( földterület, közművesítés)</t>
  </si>
  <si>
    <t>Polgármesteri Hivatal eszköz, szoftverbeszerzés önerő</t>
  </si>
  <si>
    <t>Rendezési tervvel kapcsolatos feladatok</t>
  </si>
  <si>
    <t>Polgármesteri Hivatal integrált ügyviteli rendszer kiépítése</t>
  </si>
  <si>
    <t>Városi Alapfokú Művészetoktatási Intézmény hangszerbeszerzés</t>
  </si>
  <si>
    <t>Béke-Petőfi csomópont kialakításához ingatlanok megvásárlása</t>
  </si>
  <si>
    <t>Polgári védelmi tevékenység eszközbeszerzése</t>
  </si>
  <si>
    <t>Közoktatás-fejlesztési célok támogatása</t>
  </si>
  <si>
    <t>Árpád utca 8. - Kiskőrösi szakrendelés kialakítása</t>
  </si>
  <si>
    <t>Családi-házas telekosztás, közművesítés Bajtárs u.</t>
  </si>
  <si>
    <t>Intézményi eszközök beszerzése, felújítások, beruházások</t>
  </si>
  <si>
    <t>Közoktatás-fejlesztési célok</t>
  </si>
  <si>
    <t>Önkéntes Tűzoltóság pályázati önerő</t>
  </si>
  <si>
    <t>Pozsonyi utca felületzárása önerő+pályázati támogatás</t>
  </si>
  <si>
    <t>Járdafelújítás József Attila, Klapka</t>
  </si>
  <si>
    <t xml:space="preserve">Költségvetési, Városfejlesztési és Mezőgazdasági Bizottság támogatásai </t>
  </si>
  <si>
    <t>Vizitdíj</t>
  </si>
  <si>
    <t>Egészségügyi Szolgálat számítógép beszerzés</t>
  </si>
  <si>
    <t>1.20</t>
  </si>
  <si>
    <t>Népszavazás</t>
  </si>
  <si>
    <t>Népszavazás költségei</t>
  </si>
  <si>
    <t>2. számú háziorvosi körzet működtetése</t>
  </si>
  <si>
    <t>1.21</t>
  </si>
  <si>
    <t>Ügyrendi és Összeférhetetlenségi Bizottság támogatásai</t>
  </si>
  <si>
    <t>Önkormányzati bérlakások felújítása, kialakítása - önerő</t>
  </si>
  <si>
    <t>Önkormányzati és intézményi felújításokhoz, beruházásokhoz önerő</t>
  </si>
  <si>
    <t>Kőrösvíz Kft. áthelyezési munkák</t>
  </si>
  <si>
    <t>Hitel (2007. évi működési hiány finanszírozása)</t>
  </si>
  <si>
    <t>Szakorvosi Rendelőintézet infrastrukturális fejlesztés - DAOP 2007.-4.1.1. önerő</t>
  </si>
  <si>
    <t>Belterületi csapadék-és belvízelvezetés DAOP-2007-5.2.1/A önerő</t>
  </si>
  <si>
    <t>Polgármesteri Hivatal komplex akadálymentesítése DAOP-2007.-4.3.1. önerő</t>
  </si>
  <si>
    <t>Jókai utca (Soós-Rákóczi közötti szakasz) felújítása Darft-TEUT 2008. önerő</t>
  </si>
  <si>
    <t>Járdafelújítás (Rákóczi:Tomori-Jókai közötti szakasza, Batthyány) Darft-TEKI 2008. önerő</t>
  </si>
  <si>
    <t>Polgármesteri Hivatal földszinti mosdó felújítása Darft-CÉDE 2008. önerő</t>
  </si>
  <si>
    <t>KTKT Petőfi Sándor Általános Iskola infrastrukturális fejlesztés</t>
  </si>
  <si>
    <t>Petőfi Sándor Művelődési Központ és a Bölcsőde infrastruktúrális fejlesztése- önerő</t>
  </si>
  <si>
    <t>Prémiumévek program támogatása</t>
  </si>
  <si>
    <t>Gyermekek tartásdíj támogatás</t>
  </si>
  <si>
    <t>Információs társadalom és tudásalapú gazdasági fejlesztés eMOP pályázat</t>
  </si>
  <si>
    <t>Hivatásos Tűzoltóság - számítógép felújítás</t>
  </si>
  <si>
    <t>1.22</t>
  </si>
  <si>
    <t>Alapfokú Művészetoktatás telephelyei általi befizetések 2007. év</t>
  </si>
  <si>
    <t>Díszvilágítás bővítése</t>
  </si>
  <si>
    <t>Szakorvosi Rendelőintézet infrastrukturális fejlesztése DAOP pályázat</t>
  </si>
  <si>
    <t>Művelődési , Közoktatási és Sport Bizottság támogatásai</t>
  </si>
  <si>
    <t>Egészségügyi és Szociálpolitikai Bizottság támogatásai</t>
  </si>
  <si>
    <t>Magyarországi Baptista Egyház Filadelfia Alapítványa támogatása</t>
  </si>
  <si>
    <t>Érdekeltségnövelő támogatás</t>
  </si>
  <si>
    <t>Kisebbségi önkormányzatok feladatalapú támogatása</t>
  </si>
  <si>
    <t>Egészségügyi Szolgálat pénzügyi lízing</t>
  </si>
  <si>
    <t>Hivatásos Tűzoltóság beruházás</t>
  </si>
  <si>
    <t>1.23</t>
  </si>
  <si>
    <t>Szakmai vizsgák lebonyolításának támogatása</t>
  </si>
  <si>
    <t>Fejlesztési célra átvett pénzeszközök összesen</t>
  </si>
  <si>
    <t>Petőfi Szülőház és Emlékmúzeum - Év tájháza díj</t>
  </si>
  <si>
    <t>Kamatbevételek - kisebbségi önkormányzatok</t>
  </si>
  <si>
    <t>5.1</t>
  </si>
  <si>
    <t>5.2</t>
  </si>
  <si>
    <t>5.3</t>
  </si>
  <si>
    <t>5.4</t>
  </si>
  <si>
    <t>5.5</t>
  </si>
  <si>
    <t>2006. évi költségvetési támogatással kapcsolatos elszámolások</t>
  </si>
  <si>
    <t>Petőfi Sándor Városi  Könyvtár eMOP pályázat - számítógép vásárlás</t>
  </si>
  <si>
    <t>Polgármesteri Hivatal számítás-, és irodatechnikai eszközök beszerzése</t>
  </si>
  <si>
    <t>Hivatásos Önkormányzati Tűzoltóság kiegészítő támogatása</t>
  </si>
  <si>
    <t>Nyári gyermekétkeztetés</t>
  </si>
  <si>
    <t>2007. évre vonatkozó 13. havi illetmény 2008. évben</t>
  </si>
  <si>
    <t>Tűzoltóság szakközépiskolai évek beszámítása</t>
  </si>
  <si>
    <t>Helyi önkormányzati szereknél fogl.eseti keresetkiegészítése</t>
  </si>
  <si>
    <t>OEP kör 13. havi illetménye</t>
  </si>
  <si>
    <t>Petőfi Szülőház és Emlékmúzeum - "A mi házunk" program: udvari sütőkemence készítése és nyitott favázas szín átépítése</t>
  </si>
  <si>
    <t>Petőfi Szülőház és Emlékmúzeum - "A mi programunk" pályázat: projektor és digitális fényképezőgép beszerzéséhez</t>
  </si>
  <si>
    <t>Nyári gyermekétkeztetés kiadásai</t>
  </si>
  <si>
    <t>Négy férőhelyes halotthűtő berendezés beszerzése</t>
  </si>
  <si>
    <t>Pénzbetét az ÜDE-Kunság Nonprofit Kft-be</t>
  </si>
  <si>
    <t>Hulladékudvar megközelíthetőségének biztosítása</t>
  </si>
  <si>
    <t>"Polgármesteri hivatalok szervezetfejlesztése" pályázat önerő</t>
  </si>
  <si>
    <t>Előrehozott öregségi nyugdíjjog.felt.köztisztv.egyes kifiz.tám.</t>
  </si>
  <si>
    <t>1.24</t>
  </si>
  <si>
    <t>1.25</t>
  </si>
  <si>
    <t>1.26</t>
  </si>
  <si>
    <t>1.27</t>
  </si>
  <si>
    <t>2007. évi jövedelemkülönbség mérséklése</t>
  </si>
  <si>
    <t>Országos Szlovák Önkormányzat támogatása</t>
  </si>
  <si>
    <t>Városi Sportcsarnokkal kapcsolatos beruházások</t>
  </si>
  <si>
    <t>Hivatásos Tűzoltóság iktató program beruházás</t>
  </si>
  <si>
    <t>Polgármesteri céltartalék felhasználás</t>
  </si>
  <si>
    <t>Szennyvízcsatorna-hálózat VII-VIII. ütemének kiépítése KEOP-1-2-0</t>
  </si>
  <si>
    <t>Tűzoltóság létszámfejlesztési támogatása</t>
  </si>
  <si>
    <t>Működési célra átvett pénzeszközök</t>
  </si>
  <si>
    <t>Vadvirág utca 23. telkek késedelmi kamatai</t>
  </si>
  <si>
    <t>2.2</t>
  </si>
  <si>
    <t>Biztosító - kártérítés</t>
  </si>
  <si>
    <t xml:space="preserve">Kamatbevételek </t>
  </si>
  <si>
    <t>Pótlék, bírság</t>
  </si>
  <si>
    <t>Alapfokú művészetoktatási intézmények támogatása</t>
  </si>
  <si>
    <t>Városi Alapfokú Művészetoktatási Intézmény pályázat</t>
  </si>
  <si>
    <t>Regionális Szilárdhulladék Kezelési Konzorcium 2008. évi tagdíj</t>
  </si>
  <si>
    <t>2.1</t>
  </si>
  <si>
    <t>2007. évi el nem költött bizottsági pénz visszafizetése</t>
  </si>
  <si>
    <t>Kelemensor útépítés kiadásai</t>
  </si>
  <si>
    <t>Erdőtelek útépítés kiadásai</t>
  </si>
  <si>
    <t>Hivatásos Tűzoltóság gépjráműfecskendő beszerzése önerő</t>
  </si>
  <si>
    <t>Intézményi felújítások</t>
  </si>
  <si>
    <t>OEP támogatás az 2. számú házirorvosi körzethez</t>
  </si>
  <si>
    <t>KTKT Kiskőrösi és Császártöltési Idősek Otthona - korszerűsítés - TIOP 3.4.2-08/1. pályázat önerő</t>
  </si>
  <si>
    <t>Bács-Kiskun Megyei Szakképzés-szervezési Kiemelten Közhasznú Zrt. tőkerész</t>
  </si>
  <si>
    <t>Legatum Kht. pályázata - Szlovák Tájház udvarán nyitott szín bővítése</t>
  </si>
  <si>
    <t>Városi Könyvtár infrastrukturális fejlesztése TIOP-1.2.3/08/01</t>
  </si>
  <si>
    <t>36.</t>
  </si>
  <si>
    <t>Akasztó-Kiskőrös közötti kerékpárút tervezése</t>
  </si>
  <si>
    <t>37.</t>
  </si>
  <si>
    <t>Kalocsa-Kiskőrös közötti útépítés</t>
  </si>
  <si>
    <t>Sportcsarnok miatti fejlesztési célú hitel (hiány)</t>
  </si>
  <si>
    <t xml:space="preserve">Sportcsarnok miatti fejlesztési hiány </t>
  </si>
  <si>
    <t>Támogatás értékű felhalmozási bevételek</t>
  </si>
  <si>
    <t>Akasztó-Kiskőrös közötti kerékpárút támogatása</t>
  </si>
  <si>
    <t>38.</t>
  </si>
  <si>
    <t>Délibáb utca 58. alatti lakóház bontási munkái</t>
  </si>
  <si>
    <t>Szarvas u. lakóházainak bontási munkái, PPP tornaterem beruházáshoz kapcsolódó kiadások</t>
  </si>
  <si>
    <t>39.</t>
  </si>
  <si>
    <t>PPP uszoda beruházáshoz kapcsolódó kiadások</t>
  </si>
  <si>
    <t>40.</t>
  </si>
  <si>
    <t>Árpád utca 2. társasház előtt és mellett járdaépítéshez engedélyezési terv</t>
  </si>
  <si>
    <t>Petőfi tér 2. értékesítése KTKT-nak 1. részlet</t>
  </si>
  <si>
    <t>41.</t>
  </si>
  <si>
    <t>42.</t>
  </si>
  <si>
    <t>Művelődési Központ kazánház átalakítási engedélyezési terv</t>
  </si>
  <si>
    <t>Csapadékcsatorna  fennmaradási engedély I-II-III-IV. ütem</t>
  </si>
  <si>
    <t>1.28</t>
  </si>
  <si>
    <t>Önkormányzati Minisztérium - Tárt Kapus Létesítmények Program - támogatás</t>
  </si>
  <si>
    <t>Tárt Kapus Létesítmények Program kiadásai</t>
  </si>
  <si>
    <t>Informatikai és szakmai fejlesztések támogatása</t>
  </si>
  <si>
    <t>43.</t>
  </si>
  <si>
    <t>Informatikai és szakmai fejlesztések</t>
  </si>
  <si>
    <t>Petőfi Sándor Városi Könyvtár számítógépbeszerzés</t>
  </si>
  <si>
    <t>1.29</t>
  </si>
  <si>
    <t>Agrármarketing Centrum - Szüreti Napok támogatása</t>
  </si>
  <si>
    <t>5.6</t>
  </si>
  <si>
    <t>Szüreti Napok támogatása</t>
  </si>
  <si>
    <t>44.</t>
  </si>
  <si>
    <t>Kisebbségi önkormányzatok kiegészítő támogatása</t>
  </si>
  <si>
    <t>Közművagyon bérbeadásából származó bevétel</t>
  </si>
  <si>
    <t>Szennyvízhálózat felújítása</t>
  </si>
  <si>
    <t>Kötvénykibocsátás fejlesztési feladatok finanszírozásához</t>
  </si>
  <si>
    <t>Kötvénykibocsátás fejlesztési feladatok finanszírozásáshoz</t>
  </si>
  <si>
    <t>Kötvénykibocsátás - óvadéki betét</t>
  </si>
  <si>
    <t>Tartalék - kötvénykibocsátás - óvadéki betét</t>
  </si>
  <si>
    <t>45.</t>
  </si>
  <si>
    <t>Kötvénykibocsátás fejlesztési feladatok ellátásához</t>
  </si>
  <si>
    <t>OKM támogatás érettségi vizsgák lebonyolításáshoz</t>
  </si>
  <si>
    <t>1.30</t>
  </si>
  <si>
    <t>Létszámcsökkentési pályázat</t>
  </si>
  <si>
    <t>Támogatás a hivatásos önkormányzati tűzoltóságok nyugdíj törvény változása miatti 2007. II. félévi többletkiadásaihoz</t>
  </si>
  <si>
    <t>Tűzoltók egyszeri kiegészítése</t>
  </si>
  <si>
    <t>XI</t>
  </si>
  <si>
    <t>A működésképtelen helyi önkormányzatok egyéb támogatása</t>
  </si>
  <si>
    <t>Központosított bevétel</t>
  </si>
  <si>
    <t>Egyéb</t>
  </si>
  <si>
    <t>Összesen ( I.)</t>
  </si>
  <si>
    <t>Speciális célú támogatás</t>
  </si>
  <si>
    <t>Országos Szlovák Önk. tám.</t>
  </si>
  <si>
    <t>Működésképtelen önk. tám.</t>
  </si>
  <si>
    <t>Kötvénykibocsátásból fedezett fejlesztési feladatok:</t>
  </si>
  <si>
    <t>ezer Ft-ban</t>
  </si>
  <si>
    <t>Sor-szám</t>
  </si>
  <si>
    <t>Feladat</t>
  </si>
  <si>
    <t>2008. évi előirányzat</t>
  </si>
  <si>
    <t>Az átcsoportosítás jogát gyakorolja</t>
  </si>
  <si>
    <t>Rendkívüli javítások, felújítások, tárgyi eszközök halaszthatatlan pótlásának fedezetére</t>
  </si>
  <si>
    <t>Polgármester</t>
  </si>
  <si>
    <t>Indokolt létszámcsökkentés végrehajtása érdekében felmerülő végkielégítés, egyéb nem tervezett rendkívüli személyi juttatás fedezetére</t>
  </si>
  <si>
    <t>Más forrásból nem finanszírozható városi feladatok ellátásának fedezetére</t>
  </si>
  <si>
    <t>Önkormányzati rendezvények, külkapcsolatok, városi kiadványokköltségeinek fedezetére</t>
  </si>
  <si>
    <t>Ügyrendi és Összeférhetetlenségi Bizottság</t>
  </si>
  <si>
    <t>Kulturális, oktatási tevékenységek, programok, pályázatok, valamint 1/2003 (I. 24.) önk. sportrendelet 8.§ (7) bekezdésében meghatározottak kiegészítő támogatására</t>
  </si>
  <si>
    <t>Művelődési, Közoktatási és Sport Bizottság</t>
  </si>
  <si>
    <t>Egészségügyi, szociális szervezetek, programok, pályázatok támogatására</t>
  </si>
  <si>
    <t>Egészségügyi és Szociálpolitikai Bizottság</t>
  </si>
  <si>
    <t>Mezőgazdasági, környezetvédelmi és idegenforgalmi feladatok ellátásának támogatására</t>
  </si>
  <si>
    <t>Költségvetési, Városfejlesztési és Mezőgazdasági Bizottság</t>
  </si>
  <si>
    <t>KÖTELEZETTSÉGEK</t>
  </si>
  <si>
    <t xml:space="preserve">2008. </t>
  </si>
  <si>
    <t>2009.</t>
  </si>
  <si>
    <t>2010.</t>
  </si>
  <si>
    <t>2011.</t>
  </si>
  <si>
    <t>2012.</t>
  </si>
  <si>
    <t xml:space="preserve"> VI.sz.Szennyvízcsatorna Társulat hitel kezességvállalás</t>
  </si>
  <si>
    <t>Rövid lejáratú hitel (önkormányzati költségvetési működési hiány)</t>
  </si>
  <si>
    <t>Fejlesztési célú hitel (ÖKIF Müvelődési Központ)</t>
  </si>
  <si>
    <t>Működési célú hitel visszafizetése</t>
  </si>
  <si>
    <t>PPP Tanuszoda szolgáltatási díj</t>
  </si>
  <si>
    <t>PPP Tornaterem szolgáltatási díj</t>
  </si>
  <si>
    <t>ÖSSZESEN:</t>
  </si>
  <si>
    <t>KÖVETELÉSEK</t>
  </si>
  <si>
    <t>Bérlakás vásárlás</t>
  </si>
  <si>
    <t>Megszűnt szennyvíz-, viziközmű társulásoktól átvett követelések</t>
  </si>
  <si>
    <t xml:space="preserve"> Volt állami tulajdonban lévő lakásvásárlási kölcsön</t>
  </si>
  <si>
    <t xml:space="preserve"> Szoc.lakásvásárlás, belvízlárosult lakások visszatérítendő támogatása</t>
  </si>
  <si>
    <t>ÖTM szolgáltatási díj hozzájárulás (limit) PPP Tanuszoda</t>
  </si>
  <si>
    <t>ÖTM szolgáltatási díj hozzájárulás (limit) PPP Tornaterem</t>
  </si>
  <si>
    <t>Szöveges indoklás</t>
  </si>
  <si>
    <t xml:space="preserve">Az   VI. sz. Szennyvízközmű Társulat által felvett hitelhez vállalt önkormányztai kezesség. A hitel visszafizetésének fedezetéül az engedményezett LTP érdekeltségi hozzájárulások szolgálnak. </t>
  </si>
  <si>
    <t xml:space="preserve">2008. évben a bevételi előirányzatok között  rövid lejáratú hitel (működési hiány), amelynek visszafizetéseütemezetten 2009-től várható </t>
  </si>
  <si>
    <t xml:space="preserve">2006-ban kötött 17.601 eFt összegű fejlesztési célú hitel  visszafizetési határideje 2026. és törlesztése 2008-ban kezdődik. (tőketörlesztés)                                                                        </t>
  </si>
  <si>
    <t>Az Egészségügyi Szolgálat pénzügyi lízing szerződése 2010-ig.</t>
  </si>
  <si>
    <t>A működési hitel átütemezett összege</t>
  </si>
  <si>
    <t>PPP szolgálttaási díjak és hozzájárulások: szerződés szerint számított összegek</t>
  </si>
  <si>
    <t>Követelések: a meglévő követelések tervezett megtérülése</t>
  </si>
  <si>
    <t>Felhalmozási célú</t>
  </si>
  <si>
    <t xml:space="preserve">B E V ÉT E L E K </t>
  </si>
  <si>
    <t>Társadalombiztosítás finanaszírozása</t>
  </si>
  <si>
    <t>Önkormányzat saját folyó bevételei</t>
  </si>
  <si>
    <t>Lakbérbevétel</t>
  </si>
  <si>
    <t>Önkormányzat sajátos folyó bevételei</t>
  </si>
  <si>
    <t>Önkormányzati értékesített bérlakások fizetési részletei</t>
  </si>
  <si>
    <t>Épületek, építmények értékesítése</t>
  </si>
  <si>
    <t xml:space="preserve">Sikeres Magyarországért Panel Plusz </t>
  </si>
  <si>
    <t>Gondozási szükségel viszgálata házi segítségnyújtásnál</t>
  </si>
  <si>
    <t>a,</t>
  </si>
  <si>
    <t>b,</t>
  </si>
  <si>
    <t xml:space="preserve">Lakosságtól útépítésre </t>
  </si>
  <si>
    <t>Lakossághoz és feladatmutatóhoz kötött normatív állami támogatás</t>
  </si>
  <si>
    <t>Kiegészítő támogatás egyes közoktatási feladatok ellátására</t>
  </si>
  <si>
    <t>Helyi önkormányzati tűzoltóságok támogatása</t>
  </si>
  <si>
    <t>Kiegészítő támogatás egyes szociális feladatok ellátására</t>
  </si>
  <si>
    <t>Támogatás értékű kiadások</t>
  </si>
  <si>
    <r>
      <t>PROJEKT MEGNEVEZÉSE</t>
    </r>
    <r>
      <rPr>
        <b/>
        <u val="single"/>
        <sz val="10"/>
        <rFont val="Tahoma"/>
        <family val="2"/>
      </rPr>
      <t xml:space="preserve">: </t>
    </r>
  </si>
  <si>
    <t>FORRÁSOK</t>
  </si>
  <si>
    <t>ÖSSZEG</t>
  </si>
  <si>
    <t>Saját (költségvetésben szerepel)</t>
  </si>
  <si>
    <t>Hazai - központi támogatás (várható)</t>
  </si>
  <si>
    <t>EU Reg.Fejl.Alap támogatása</t>
  </si>
  <si>
    <t>Források összesen</t>
  </si>
  <si>
    <t>KÖLTSÉGEK</t>
  </si>
  <si>
    <t>Beruházás költsége összesen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</si>
</sst>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</numFmts>
  <fonts count="9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9"/>
      <color indexed="8"/>
      <name val="Tahoma"/>
      <family val="2"/>
    </font>
    <font>
      <sz val="6"/>
      <color indexed="8"/>
      <name val="Tahoma"/>
      <family val="2"/>
    </font>
    <font>
      <b/>
      <sz val="6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7"/>
      <color indexed="9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7"/>
      <name val="Times New Roman"/>
      <family val="1"/>
    </font>
    <font>
      <sz val="9"/>
      <name val="Tahoma"/>
      <family val="2"/>
    </font>
    <font>
      <sz val="6.5"/>
      <color indexed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8"/>
      <name val="Arial CE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 CE"/>
      <family val="1"/>
    </font>
    <font>
      <sz val="8"/>
      <color indexed="8"/>
      <name val="Times New Roman"/>
      <family val="1"/>
    </font>
    <font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9"/>
      <name val="Tahoma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u val="single"/>
      <sz val="9"/>
      <name val="Times New Roman CE"/>
      <family val="1"/>
    </font>
    <font>
      <sz val="8"/>
      <color indexed="63"/>
      <name val="Times New Roman CE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sz val="8"/>
      <color indexed="9"/>
      <name val="Tahoma"/>
      <family val="2"/>
    </font>
    <font>
      <b/>
      <i/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7"/>
      <color indexed="63"/>
      <name val="Tahoma"/>
      <family val="2"/>
    </font>
    <font>
      <b/>
      <sz val="8"/>
      <color indexed="63"/>
      <name val="Tahoma"/>
      <family val="2"/>
    </font>
    <font>
      <u val="single"/>
      <sz val="10"/>
      <name val="Tahoma"/>
      <family val="2"/>
    </font>
    <font>
      <b/>
      <u val="single"/>
      <sz val="10"/>
      <name val="Tahoma"/>
      <family val="2"/>
    </font>
    <font>
      <b/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Tahoma"/>
      <family val="2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b/>
      <sz val="8"/>
      <color indexed="8"/>
      <name val="Arial CE"/>
      <family val="0"/>
    </font>
    <font>
      <b/>
      <sz val="6"/>
      <color indexed="8"/>
      <name val="Arial CE"/>
      <family val="0"/>
    </font>
    <font>
      <b/>
      <sz val="10"/>
      <color indexed="8"/>
      <name val="Tahoma"/>
      <family val="2"/>
    </font>
    <font>
      <b/>
      <sz val="7"/>
      <color indexed="8"/>
      <name val="Arial CE"/>
      <family val="0"/>
    </font>
    <font>
      <sz val="8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14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4" fillId="25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7" borderId="7" applyNumberFormat="0" applyFont="0" applyAlignment="0" applyProtection="0"/>
    <xf numFmtId="0" fontId="92" fillId="28" borderId="0" applyNumberFormat="0" applyBorder="0" applyAlignment="0" applyProtection="0"/>
    <xf numFmtId="0" fontId="93" fillId="29" borderId="8" applyNumberFormat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29" borderId="1" applyNumberFormat="0" applyAlignment="0" applyProtection="0"/>
    <xf numFmtId="9" fontId="0" fillId="0" borderId="0" applyFont="0" applyFill="0" applyBorder="0" applyAlignment="0" applyProtection="0"/>
  </cellStyleXfs>
  <cellXfs count="785">
    <xf numFmtId="0" fontId="0" fillId="0" borderId="0" xfId="0" applyAlignment="1">
      <alignment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3" fontId="9" fillId="0" borderId="17" xfId="0" applyNumberFormat="1" applyFont="1" applyFill="1" applyBorder="1" applyAlignment="1">
      <alignment horizontal="right" vertical="center" shrinkToFit="1"/>
    </xf>
    <xf numFmtId="3" fontId="10" fillId="0" borderId="18" xfId="0" applyNumberFormat="1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vertical="center" shrinkToFit="1"/>
    </xf>
    <xf numFmtId="3" fontId="9" fillId="0" borderId="20" xfId="0" applyNumberFormat="1" applyFont="1" applyFill="1" applyBorder="1" applyAlignment="1">
      <alignment horizontal="right" vertical="center" shrinkToFit="1"/>
    </xf>
    <xf numFmtId="3" fontId="10" fillId="0" borderId="21" xfId="0" applyNumberFormat="1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24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horizontal="right" vertical="center" shrinkToFit="1"/>
    </xf>
    <xf numFmtId="3" fontId="10" fillId="0" borderId="23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shrinkToFit="1"/>
    </xf>
    <xf numFmtId="0" fontId="11" fillId="0" borderId="0" xfId="0" applyFont="1" applyFill="1" applyAlignment="1">
      <alignment horizontal="justify" shrinkToFit="1"/>
    </xf>
    <xf numFmtId="0" fontId="12" fillId="0" borderId="0" xfId="0" applyFont="1" applyFill="1" applyAlignment="1">
      <alignment horizontal="right" shrinkToFit="1"/>
    </xf>
    <xf numFmtId="0" fontId="11" fillId="0" borderId="30" xfId="0" applyFont="1" applyFill="1" applyBorder="1" applyAlignment="1">
      <alignment shrinkToFit="1"/>
    </xf>
    <xf numFmtId="0" fontId="11" fillId="0" borderId="31" xfId="0" applyFont="1" applyFill="1" applyBorder="1" applyAlignment="1">
      <alignment shrinkToFit="1"/>
    </xf>
    <xf numFmtId="0" fontId="11" fillId="0" borderId="32" xfId="0" applyFont="1" applyFill="1" applyBorder="1" applyAlignment="1">
      <alignment horizontal="justify" shrinkToFit="1"/>
    </xf>
    <xf numFmtId="0" fontId="13" fillId="0" borderId="0" xfId="0" applyFont="1" applyFill="1" applyAlignment="1">
      <alignment shrinkToFit="1"/>
    </xf>
    <xf numFmtId="0" fontId="11" fillId="0" borderId="24" xfId="0" applyFont="1" applyFill="1" applyBorder="1" applyAlignment="1">
      <alignment shrinkToFit="1"/>
    </xf>
    <xf numFmtId="0" fontId="11" fillId="0" borderId="33" xfId="0" applyFont="1" applyFill="1" applyBorder="1" applyAlignment="1">
      <alignment shrinkToFit="1"/>
    </xf>
    <xf numFmtId="0" fontId="11" fillId="0" borderId="34" xfId="0" applyFont="1" applyFill="1" applyBorder="1" applyAlignment="1">
      <alignment horizontal="justify" shrinkToFit="1"/>
    </xf>
    <xf numFmtId="0" fontId="14" fillId="0" borderId="35" xfId="0" applyFont="1" applyFill="1" applyBorder="1" applyAlignment="1">
      <alignment horizontal="left" vertical="center" shrinkToFit="1"/>
    </xf>
    <xf numFmtId="0" fontId="14" fillId="0" borderId="36" xfId="0" applyFont="1" applyFill="1" applyBorder="1" applyAlignment="1">
      <alignment vertical="center" shrinkToFit="1"/>
    </xf>
    <xf numFmtId="3" fontId="15" fillId="0" borderId="36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vertical="center" shrinkToFit="1"/>
    </xf>
    <xf numFmtId="0" fontId="14" fillId="0" borderId="35" xfId="0" applyFont="1" applyFill="1" applyBorder="1" applyAlignment="1">
      <alignment vertical="center" shrinkToFit="1"/>
    </xf>
    <xf numFmtId="0" fontId="14" fillId="0" borderId="37" xfId="0" applyFont="1" applyFill="1" applyBorder="1" applyAlignment="1">
      <alignment vertical="center" shrinkToFit="1"/>
    </xf>
    <xf numFmtId="3" fontId="15" fillId="0" borderId="37" xfId="0" applyNumberFormat="1" applyFont="1" applyFill="1" applyBorder="1" applyAlignment="1">
      <alignment horizontal="justify" vertical="center" shrinkToFit="1"/>
    </xf>
    <xf numFmtId="0" fontId="15" fillId="0" borderId="35" xfId="0" applyFont="1" applyFill="1" applyBorder="1" applyAlignment="1">
      <alignment horizontal="right" shrinkToFit="1"/>
    </xf>
    <xf numFmtId="0" fontId="15" fillId="0" borderId="38" xfId="0" applyFont="1" applyFill="1" applyBorder="1" applyAlignment="1">
      <alignment shrinkToFit="1"/>
    </xf>
    <xf numFmtId="3" fontId="15" fillId="0" borderId="38" xfId="0" applyNumberFormat="1" applyFont="1" applyFill="1" applyBorder="1" applyAlignment="1">
      <alignment horizontal="right" shrinkToFit="1"/>
    </xf>
    <xf numFmtId="0" fontId="15" fillId="0" borderId="0" xfId="0" applyFont="1" applyFill="1" applyAlignment="1">
      <alignment shrinkToFit="1"/>
    </xf>
    <xf numFmtId="0" fontId="15" fillId="0" borderId="39" xfId="0" applyFont="1" applyFill="1" applyBorder="1" applyAlignment="1">
      <alignment shrinkToFit="1"/>
    </xf>
    <xf numFmtId="3" fontId="15" fillId="0" borderId="39" xfId="0" applyNumberFormat="1" applyFont="1" applyFill="1" applyBorder="1" applyAlignment="1">
      <alignment horizontal="right" shrinkToFit="1"/>
    </xf>
    <xf numFmtId="0" fontId="15" fillId="0" borderId="37" xfId="0" applyFont="1" applyFill="1" applyBorder="1" applyAlignment="1">
      <alignment shrinkToFit="1"/>
    </xf>
    <xf numFmtId="3" fontId="15" fillId="0" borderId="37" xfId="0" applyNumberFormat="1" applyFont="1" applyFill="1" applyBorder="1" applyAlignment="1">
      <alignment horizontal="right" shrinkToFit="1"/>
    </xf>
    <xf numFmtId="0" fontId="14" fillId="0" borderId="40" xfId="0" applyFont="1" applyFill="1" applyBorder="1" applyAlignment="1">
      <alignment horizontal="right" shrinkToFit="1"/>
    </xf>
    <xf numFmtId="0" fontId="14" fillId="0" borderId="41" xfId="0" applyFont="1" applyFill="1" applyBorder="1" applyAlignment="1">
      <alignment shrinkToFit="1"/>
    </xf>
    <xf numFmtId="3" fontId="14" fillId="0" borderId="41" xfId="0" applyNumberFormat="1" applyFont="1" applyFill="1" applyBorder="1" applyAlignment="1">
      <alignment horizontal="right" shrinkToFit="1"/>
    </xf>
    <xf numFmtId="0" fontId="14" fillId="0" borderId="0" xfId="0" applyFont="1" applyFill="1" applyAlignment="1">
      <alignment shrinkToFit="1"/>
    </xf>
    <xf numFmtId="0" fontId="14" fillId="0" borderId="40" xfId="0" applyFont="1" applyFill="1" applyBorder="1" applyAlignment="1">
      <alignment vertical="center" shrinkToFit="1"/>
    </xf>
    <xf numFmtId="0" fontId="14" fillId="0" borderId="41" xfId="0" applyFont="1" applyFill="1" applyBorder="1" applyAlignment="1">
      <alignment vertical="center" shrinkToFit="1"/>
    </xf>
    <xf numFmtId="3" fontId="14" fillId="0" borderId="41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 shrinkToFit="1"/>
    </xf>
    <xf numFmtId="0" fontId="14" fillId="0" borderId="42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shrinkToFit="1"/>
    </xf>
    <xf numFmtId="0" fontId="15" fillId="0" borderId="37" xfId="0" applyFont="1" applyFill="1" applyBorder="1" applyAlignment="1">
      <alignment horizontal="justify" vertical="center" shrinkToFit="1"/>
    </xf>
    <xf numFmtId="3" fontId="16" fillId="0" borderId="41" xfId="0" applyNumberFormat="1" applyFont="1" applyFill="1" applyBorder="1" applyAlignment="1">
      <alignment horizontal="right" shrinkToFit="1"/>
    </xf>
    <xf numFmtId="3" fontId="15" fillId="0" borderId="37" xfId="0" applyNumberFormat="1" applyFont="1" applyFill="1" applyBorder="1" applyAlignment="1">
      <alignment horizontal="right" vertical="center" shrinkToFit="1"/>
    </xf>
    <xf numFmtId="3" fontId="17" fillId="0" borderId="38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17" fillId="0" borderId="35" xfId="0" applyNumberFormat="1" applyFont="1" applyFill="1" applyBorder="1" applyAlignment="1">
      <alignment horizontal="center" vertical="center"/>
    </xf>
    <xf numFmtId="3" fontId="17" fillId="0" borderId="43" xfId="0" applyNumberFormat="1" applyFont="1" applyFill="1" applyBorder="1" applyAlignment="1">
      <alignment horizontal="center" vertical="center"/>
    </xf>
    <xf numFmtId="3" fontId="17" fillId="0" borderId="43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horizontal="center" vertical="center"/>
    </xf>
    <xf numFmtId="3" fontId="19" fillId="0" borderId="43" xfId="0" applyNumberFormat="1" applyFont="1" applyFill="1" applyBorder="1" applyAlignment="1">
      <alignment horizontal="center" vertical="center"/>
    </xf>
    <xf numFmtId="3" fontId="19" fillId="0" borderId="43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7" fillId="0" borderId="38" xfId="0" applyNumberFormat="1" applyFont="1" applyFill="1" applyBorder="1" applyAlignment="1">
      <alignment horizontal="justify" vertical="center"/>
    </xf>
    <xf numFmtId="3" fontId="18" fillId="0" borderId="18" xfId="0" applyNumberFormat="1" applyFont="1" applyFill="1" applyBorder="1" applyAlignment="1">
      <alignment vertical="center"/>
    </xf>
    <xf numFmtId="3" fontId="17" fillId="0" borderId="39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18" fillId="0" borderId="44" xfId="0" applyNumberFormat="1" applyFont="1" applyFill="1" applyBorder="1" applyAlignment="1">
      <alignment vertical="center"/>
    </xf>
    <xf numFmtId="3" fontId="18" fillId="0" borderId="40" xfId="0" applyNumberFormat="1" applyFont="1" applyFill="1" applyBorder="1" applyAlignment="1">
      <alignment horizontal="center" vertical="center"/>
    </xf>
    <xf numFmtId="3" fontId="18" fillId="0" borderId="45" xfId="0" applyNumberFormat="1" applyFont="1" applyFill="1" applyBorder="1" applyAlignment="1">
      <alignment horizontal="center" vertical="center"/>
    </xf>
    <xf numFmtId="3" fontId="18" fillId="0" borderId="45" xfId="0" applyNumberFormat="1" applyFont="1" applyFill="1" applyBorder="1" applyAlignment="1">
      <alignment vertical="center"/>
    </xf>
    <xf numFmtId="3" fontId="18" fillId="0" borderId="41" xfId="0" applyNumberFormat="1" applyFont="1" applyFill="1" applyBorder="1" applyAlignment="1">
      <alignment vertical="center"/>
    </xf>
    <xf numFmtId="3" fontId="18" fillId="0" borderId="46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9" fillId="0" borderId="47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horizontal="center" vertical="center"/>
    </xf>
    <xf numFmtId="3" fontId="18" fillId="0" borderId="43" xfId="0" applyNumberFormat="1" applyFont="1" applyFill="1" applyBorder="1" applyAlignment="1">
      <alignment horizontal="center" vertical="center"/>
    </xf>
    <xf numFmtId="3" fontId="18" fillId="0" borderId="43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8" fillId="0" borderId="48" xfId="0" applyNumberFormat="1" applyFont="1" applyFill="1" applyBorder="1" applyAlignment="1">
      <alignment vertical="center"/>
    </xf>
    <xf numFmtId="3" fontId="17" fillId="0" borderId="39" xfId="0" applyNumberFormat="1" applyFont="1" applyFill="1" applyBorder="1" applyAlignment="1">
      <alignment vertical="center" wrapText="1"/>
    </xf>
    <xf numFmtId="3" fontId="17" fillId="0" borderId="49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5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51" xfId="0" applyNumberFormat="1" applyFont="1" applyFill="1" applyBorder="1" applyAlignment="1">
      <alignment vertical="center"/>
    </xf>
    <xf numFmtId="3" fontId="18" fillId="0" borderId="3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3" fontId="17" fillId="0" borderId="36" xfId="0" applyNumberFormat="1" applyFont="1" applyBorder="1" applyAlignment="1">
      <alignment vertical="center" wrapText="1"/>
    </xf>
    <xf numFmtId="3" fontId="17" fillId="0" borderId="52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0" fontId="0" fillId="0" borderId="37" xfId="0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 shrinkToFit="1"/>
    </xf>
    <xf numFmtId="49" fontId="24" fillId="0" borderId="0" xfId="0" applyNumberFormat="1" applyFont="1" applyFill="1" applyAlignment="1">
      <alignment vertical="center" shrinkToFit="1"/>
    </xf>
    <xf numFmtId="3" fontId="24" fillId="0" borderId="0" xfId="0" applyNumberFormat="1" applyFont="1" applyFill="1" applyAlignment="1">
      <alignment horizontal="right" vertical="center" shrinkToFit="1"/>
    </xf>
    <xf numFmtId="3" fontId="25" fillId="0" borderId="51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justify" vertical="center" shrinkToFit="1"/>
    </xf>
    <xf numFmtId="0" fontId="10" fillId="0" borderId="35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10" fillId="0" borderId="37" xfId="0" applyNumberFormat="1" applyFont="1" applyFill="1" applyBorder="1" applyAlignment="1">
      <alignment vertical="center" shrinkToFit="1"/>
    </xf>
    <xf numFmtId="3" fontId="10" fillId="0" borderId="47" xfId="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3" fontId="13" fillId="0" borderId="47" xfId="0" applyNumberFormat="1" applyFont="1" applyFill="1" applyBorder="1" applyAlignment="1">
      <alignment horizontal="right" vertical="center" shrinkToFit="1"/>
    </xf>
    <xf numFmtId="0" fontId="11" fillId="0" borderId="35" xfId="0" applyFont="1" applyFill="1" applyBorder="1" applyAlignment="1">
      <alignment horizontal="justify" vertical="center" shrinkToFit="1"/>
    </xf>
    <xf numFmtId="3" fontId="10" fillId="0" borderId="46" xfId="0" applyNumberFormat="1" applyFont="1" applyFill="1" applyBorder="1" applyAlignment="1">
      <alignment horizontal="right" vertical="center" shrinkToFit="1"/>
    </xf>
    <xf numFmtId="3" fontId="9" fillId="0" borderId="47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 shrinkToFit="1"/>
    </xf>
    <xf numFmtId="3" fontId="10" fillId="0" borderId="47" xfId="0" applyNumberFormat="1" applyFont="1" applyFill="1" applyBorder="1" applyAlignment="1">
      <alignment horizontal="right" vertical="center" shrinkToFit="1"/>
    </xf>
    <xf numFmtId="0" fontId="9" fillId="0" borderId="53" xfId="0" applyFont="1" applyFill="1" applyBorder="1" applyAlignment="1">
      <alignment vertical="center" shrinkToFit="1"/>
    </xf>
    <xf numFmtId="0" fontId="9" fillId="0" borderId="54" xfId="0" applyFont="1" applyFill="1" applyBorder="1" applyAlignment="1">
      <alignment vertical="center" shrinkToFit="1"/>
    </xf>
    <xf numFmtId="49" fontId="10" fillId="0" borderId="55" xfId="0" applyNumberFormat="1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49" fontId="10" fillId="0" borderId="34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/>
    </xf>
    <xf numFmtId="3" fontId="17" fillId="0" borderId="39" xfId="0" applyNumberFormat="1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3" fontId="18" fillId="0" borderId="37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shrinkToFit="1"/>
    </xf>
    <xf numFmtId="0" fontId="13" fillId="0" borderId="42" xfId="0" applyFont="1" applyFill="1" applyBorder="1" applyAlignment="1">
      <alignment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 shrinkToFit="1"/>
    </xf>
    <xf numFmtId="49" fontId="17" fillId="0" borderId="43" xfId="0" applyNumberFormat="1" applyFont="1" applyFill="1" applyBorder="1" applyAlignment="1">
      <alignment horizontal="center" vertical="center"/>
    </xf>
    <xf numFmtId="49" fontId="31" fillId="0" borderId="39" xfId="0" applyNumberFormat="1" applyFont="1" applyFill="1" applyBorder="1" applyAlignment="1">
      <alignment horizontal="justify" vertical="center" shrinkToFit="1"/>
    </xf>
    <xf numFmtId="49" fontId="31" fillId="0" borderId="39" xfId="0" applyNumberFormat="1" applyFont="1" applyFill="1" applyBorder="1" applyAlignment="1">
      <alignment vertical="center" shrinkToFit="1"/>
    </xf>
    <xf numFmtId="49" fontId="31" fillId="0" borderId="39" xfId="0" applyNumberFormat="1" applyFont="1" applyFill="1" applyBorder="1" applyAlignment="1">
      <alignment horizontal="justify" vertical="center" wrapText="1" shrinkToFit="1"/>
    </xf>
    <xf numFmtId="0" fontId="31" fillId="0" borderId="0" xfId="0" applyFont="1" applyFill="1" applyBorder="1" applyAlignment="1">
      <alignment horizontal="center" vertical="center" shrinkToFit="1"/>
    </xf>
    <xf numFmtId="3" fontId="31" fillId="0" borderId="63" xfId="0" applyNumberFormat="1" applyFont="1" applyFill="1" applyBorder="1" applyAlignment="1">
      <alignment horizontal="right" vertical="center" shrinkToFit="1"/>
    </xf>
    <xf numFmtId="3" fontId="31" fillId="0" borderId="47" xfId="0" applyNumberFormat="1" applyFont="1" applyFill="1" applyBorder="1" applyAlignment="1">
      <alignment horizontal="right" vertical="center" shrinkToFit="1"/>
    </xf>
    <xf numFmtId="3" fontId="31" fillId="0" borderId="44" xfId="0" applyNumberFormat="1" applyFont="1" applyFill="1" applyBorder="1" applyAlignment="1">
      <alignment horizontal="right" vertical="center" shrinkToFit="1"/>
    </xf>
    <xf numFmtId="3" fontId="13" fillId="0" borderId="64" xfId="0" applyNumberFormat="1" applyFont="1" applyFill="1" applyBorder="1" applyAlignment="1">
      <alignment horizontal="right" vertical="center" shrinkToFit="1"/>
    </xf>
    <xf numFmtId="3" fontId="31" fillId="0" borderId="39" xfId="0" applyNumberFormat="1" applyFont="1" applyFill="1" applyBorder="1" applyAlignment="1">
      <alignment vertical="center" wrapText="1"/>
    </xf>
    <xf numFmtId="3" fontId="31" fillId="0" borderId="39" xfId="0" applyNumberFormat="1" applyFont="1" applyFill="1" applyBorder="1" applyAlignment="1">
      <alignment vertical="center"/>
    </xf>
    <xf numFmtId="3" fontId="18" fillId="0" borderId="56" xfId="0" applyNumberFormat="1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>
      <alignment vertical="center"/>
    </xf>
    <xf numFmtId="3" fontId="17" fillId="0" borderId="39" xfId="0" applyNumberFormat="1" applyFont="1" applyFill="1" applyBorder="1" applyAlignment="1">
      <alignment vertical="center"/>
    </xf>
    <xf numFmtId="3" fontId="20" fillId="0" borderId="39" xfId="0" applyNumberFormat="1" applyFont="1" applyFill="1" applyBorder="1" applyAlignment="1">
      <alignment horizontal="justify" vertical="center"/>
    </xf>
    <xf numFmtId="49" fontId="15" fillId="0" borderId="49" xfId="0" applyNumberFormat="1" applyFont="1" applyFill="1" applyBorder="1" applyAlignment="1">
      <alignment horizontal="left" shrinkToFit="1"/>
    </xf>
    <xf numFmtId="3" fontId="18" fillId="0" borderId="65" xfId="0" applyNumberFormat="1" applyFont="1" applyBorder="1" applyAlignment="1">
      <alignment vertical="center" wrapText="1"/>
    </xf>
    <xf numFmtId="0" fontId="29" fillId="0" borderId="19" xfId="0" applyFont="1" applyFill="1" applyBorder="1" applyAlignment="1">
      <alignment shrinkToFit="1"/>
    </xf>
    <xf numFmtId="3" fontId="29" fillId="0" borderId="19" xfId="0" applyNumberFormat="1" applyFont="1" applyFill="1" applyBorder="1" applyAlignment="1">
      <alignment horizontal="left" vertical="center" wrapText="1"/>
    </xf>
    <xf numFmtId="0" fontId="17" fillId="0" borderId="66" xfId="0" applyFont="1" applyBorder="1" applyAlignment="1">
      <alignment horizontal="center" vertical="center" wrapText="1"/>
    </xf>
    <xf numFmtId="3" fontId="28" fillId="0" borderId="0" xfId="0" applyNumberFormat="1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3" fontId="32" fillId="0" borderId="32" xfId="0" applyNumberFormat="1" applyFont="1" applyFill="1" applyBorder="1" applyAlignment="1">
      <alignment horizontal="center" vertical="center"/>
    </xf>
    <xf numFmtId="3" fontId="32" fillId="0" borderId="67" xfId="0" applyNumberFormat="1" applyFont="1" applyFill="1" applyBorder="1" applyAlignment="1">
      <alignment horizontal="center" vertical="center"/>
    </xf>
    <xf numFmtId="3" fontId="32" fillId="0" borderId="37" xfId="0" applyNumberFormat="1" applyFont="1" applyFill="1" applyBorder="1" applyAlignment="1">
      <alignment vertical="center"/>
    </xf>
    <xf numFmtId="3" fontId="32" fillId="0" borderId="37" xfId="0" applyNumberFormat="1" applyFont="1" applyFill="1" applyBorder="1" applyAlignment="1">
      <alignment horizontal="center" vertical="center"/>
    </xf>
    <xf numFmtId="3" fontId="32" fillId="0" borderId="47" xfId="0" applyNumberFormat="1" applyFont="1" applyFill="1" applyBorder="1" applyAlignment="1">
      <alignment horizontal="center" vertical="center"/>
    </xf>
    <xf numFmtId="3" fontId="32" fillId="0" borderId="34" xfId="0" applyNumberFormat="1" applyFont="1" applyFill="1" applyBorder="1" applyAlignment="1">
      <alignment vertical="center"/>
    </xf>
    <xf numFmtId="3" fontId="32" fillId="0" borderId="34" xfId="0" applyNumberFormat="1" applyFont="1" applyFill="1" applyBorder="1" applyAlignment="1">
      <alignment horizontal="center" vertical="center"/>
    </xf>
    <xf numFmtId="3" fontId="32" fillId="0" borderId="68" xfId="0" applyNumberFormat="1" applyFont="1" applyFill="1" applyBorder="1" applyAlignment="1">
      <alignment horizontal="center" vertical="center"/>
    </xf>
    <xf numFmtId="3" fontId="28" fillId="0" borderId="69" xfId="0" applyNumberFormat="1" applyFont="1" applyFill="1" applyBorder="1" applyAlignment="1">
      <alignment horizontal="left" vertical="center" indent="1"/>
    </xf>
    <xf numFmtId="3" fontId="28" fillId="0" borderId="69" xfId="0" applyNumberFormat="1" applyFont="1" applyFill="1" applyBorder="1" applyAlignment="1">
      <alignment vertical="center"/>
    </xf>
    <xf numFmtId="3" fontId="28" fillId="0" borderId="69" xfId="0" applyNumberFormat="1" applyFont="1" applyFill="1" applyBorder="1" applyAlignment="1">
      <alignment horizontal="right" vertical="center"/>
    </xf>
    <xf numFmtId="165" fontId="32" fillId="0" borderId="70" xfId="0" applyNumberFormat="1" applyFont="1" applyFill="1" applyBorder="1" applyAlignment="1">
      <alignment horizontal="center" vertical="center"/>
    </xf>
    <xf numFmtId="3" fontId="28" fillId="0" borderId="71" xfId="0" applyNumberFormat="1" applyFont="1" applyFill="1" applyBorder="1" applyAlignment="1">
      <alignment horizontal="right" vertical="center"/>
    </xf>
    <xf numFmtId="165" fontId="32" fillId="0" borderId="72" xfId="0" applyNumberFormat="1" applyFont="1" applyFill="1" applyBorder="1" applyAlignment="1">
      <alignment horizontal="center" vertical="center"/>
    </xf>
    <xf numFmtId="3" fontId="32" fillId="0" borderId="69" xfId="0" applyNumberFormat="1" applyFont="1" applyFill="1" applyBorder="1" applyAlignment="1">
      <alignment horizontal="right" vertical="center"/>
    </xf>
    <xf numFmtId="3" fontId="32" fillId="0" borderId="73" xfId="0" applyNumberFormat="1" applyFont="1" applyFill="1" applyBorder="1" applyAlignment="1">
      <alignment horizontal="right" vertical="center"/>
    </xf>
    <xf numFmtId="3" fontId="32" fillId="0" borderId="73" xfId="0" applyNumberFormat="1" applyFont="1" applyFill="1" applyBorder="1" applyAlignment="1">
      <alignment vertical="center"/>
    </xf>
    <xf numFmtId="164" fontId="32" fillId="0" borderId="70" xfId="0" applyNumberFormat="1" applyFont="1" applyFill="1" applyBorder="1" applyAlignment="1">
      <alignment horizontal="center" vertical="center"/>
    </xf>
    <xf numFmtId="3" fontId="32" fillId="0" borderId="71" xfId="0" applyNumberFormat="1" applyFont="1" applyFill="1" applyBorder="1" applyAlignment="1">
      <alignment horizontal="right" vertical="center"/>
    </xf>
    <xf numFmtId="164" fontId="32" fillId="0" borderId="74" xfId="0" applyNumberFormat="1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left" shrinkToFit="1"/>
    </xf>
    <xf numFmtId="3" fontId="22" fillId="0" borderId="75" xfId="0" applyNumberFormat="1" applyFont="1" applyFill="1" applyBorder="1" applyAlignment="1">
      <alignment horizontal="center" vertical="center"/>
    </xf>
    <xf numFmtId="3" fontId="20" fillId="0" borderId="76" xfId="0" applyNumberFormat="1" applyFont="1" applyFill="1" applyBorder="1" applyAlignment="1">
      <alignment vertical="center"/>
    </xf>
    <xf numFmtId="3" fontId="28" fillId="0" borderId="76" xfId="0" applyNumberFormat="1" applyFont="1" applyFill="1" applyBorder="1" applyAlignment="1">
      <alignment horizontal="right" vertical="center"/>
    </xf>
    <xf numFmtId="3" fontId="22" fillId="0" borderId="77" xfId="0" applyNumberFormat="1" applyFont="1" applyFill="1" applyBorder="1" applyAlignment="1">
      <alignment horizontal="center" vertical="center"/>
    </xf>
    <xf numFmtId="3" fontId="20" fillId="0" borderId="69" xfId="0" applyNumberFormat="1" applyFont="1" applyFill="1" applyBorder="1" applyAlignment="1">
      <alignment vertical="center"/>
    </xf>
    <xf numFmtId="3" fontId="20" fillId="0" borderId="69" xfId="0" applyNumberFormat="1" applyFont="1" applyFill="1" applyBorder="1" applyAlignment="1">
      <alignment horizontal="center" vertical="center"/>
    </xf>
    <xf numFmtId="3" fontId="28" fillId="0" borderId="69" xfId="0" applyNumberFormat="1" applyFont="1" applyFill="1" applyBorder="1" applyAlignment="1">
      <alignment horizontal="left" vertical="center" wrapText="1" indent="1"/>
    </xf>
    <xf numFmtId="3" fontId="20" fillId="0" borderId="77" xfId="0" applyNumberFormat="1" applyFont="1" applyFill="1" applyBorder="1" applyAlignment="1">
      <alignment horizontal="center" vertical="center"/>
    </xf>
    <xf numFmtId="49" fontId="28" fillId="0" borderId="69" xfId="0" applyNumberFormat="1" applyFont="1" applyFill="1" applyBorder="1" applyAlignment="1">
      <alignment horizontal="left" indent="1"/>
    </xf>
    <xf numFmtId="3" fontId="22" fillId="0" borderId="78" xfId="0" applyNumberFormat="1" applyFont="1" applyFill="1" applyBorder="1" applyAlignment="1">
      <alignment horizontal="center" vertical="center"/>
    </xf>
    <xf numFmtId="3" fontId="20" fillId="0" borderId="73" xfId="0" applyNumberFormat="1" applyFont="1" applyFill="1" applyBorder="1" applyAlignment="1">
      <alignment horizontal="center" vertical="center"/>
    </xf>
    <xf numFmtId="3" fontId="22" fillId="0" borderId="79" xfId="0" applyNumberFormat="1" applyFont="1" applyFill="1" applyBorder="1" applyAlignment="1">
      <alignment horizontal="center" vertical="center"/>
    </xf>
    <xf numFmtId="164" fontId="32" fillId="0" borderId="80" xfId="0" applyNumberFormat="1" applyFont="1" applyFill="1" applyBorder="1" applyAlignment="1">
      <alignment horizontal="center" vertical="center"/>
    </xf>
    <xf numFmtId="3" fontId="20" fillId="0" borderId="73" xfId="0" applyNumberFormat="1" applyFont="1" applyFill="1" applyBorder="1" applyAlignment="1">
      <alignment vertical="center"/>
    </xf>
    <xf numFmtId="3" fontId="20" fillId="0" borderId="71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vertical="center" shrinkToFit="1"/>
    </xf>
    <xf numFmtId="0" fontId="3" fillId="0" borderId="82" xfId="0" applyFont="1" applyFill="1" applyBorder="1" applyAlignment="1">
      <alignment vertical="center" shrinkToFit="1"/>
    </xf>
    <xf numFmtId="0" fontId="14" fillId="0" borderId="37" xfId="0" applyFont="1" applyFill="1" applyBorder="1" applyAlignment="1">
      <alignment horizontal="center" shrinkToFit="1"/>
    </xf>
    <xf numFmtId="0" fontId="11" fillId="0" borderId="83" xfId="0" applyFont="1" applyFill="1" applyBorder="1" applyAlignment="1">
      <alignment horizontal="center" shrinkToFit="1"/>
    </xf>
    <xf numFmtId="0" fontId="11" fillId="0" borderId="26" xfId="0" applyFont="1" applyFill="1" applyBorder="1" applyAlignment="1">
      <alignment horizont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shrinkToFit="1"/>
    </xf>
    <xf numFmtId="165" fontId="32" fillId="0" borderId="74" xfId="0" applyNumberFormat="1" applyFont="1" applyFill="1" applyBorder="1" applyAlignment="1">
      <alignment horizontal="center" vertical="center"/>
    </xf>
    <xf numFmtId="165" fontId="32" fillId="0" borderId="80" xfId="0" applyNumberFormat="1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center" vertical="center"/>
    </xf>
    <xf numFmtId="3" fontId="32" fillId="0" borderId="84" xfId="0" applyNumberFormat="1" applyFont="1" applyFill="1" applyBorder="1" applyAlignment="1">
      <alignment horizontal="right" vertical="center"/>
    </xf>
    <xf numFmtId="164" fontId="32" fillId="0" borderId="85" xfId="0" applyNumberFormat="1" applyFont="1" applyFill="1" applyBorder="1" applyAlignment="1">
      <alignment horizontal="center" vertical="center"/>
    </xf>
    <xf numFmtId="3" fontId="28" fillId="0" borderId="73" xfId="0" applyNumberFormat="1" applyFont="1" applyFill="1" applyBorder="1" applyAlignment="1">
      <alignment horizontal="left" vertical="center" indent="1"/>
    </xf>
    <xf numFmtId="3" fontId="28" fillId="0" borderId="73" xfId="0" applyNumberFormat="1" applyFont="1" applyFill="1" applyBorder="1" applyAlignment="1">
      <alignment horizontal="right" vertical="center"/>
    </xf>
    <xf numFmtId="3" fontId="28" fillId="0" borderId="71" xfId="0" applyNumberFormat="1" applyFont="1" applyFill="1" applyBorder="1" applyAlignment="1">
      <alignment horizontal="left" vertical="center" indent="1"/>
    </xf>
    <xf numFmtId="49" fontId="31" fillId="0" borderId="37" xfId="0" applyNumberFormat="1" applyFont="1" applyFill="1" applyBorder="1" applyAlignment="1">
      <alignment vertical="center" shrinkToFi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34" fillId="0" borderId="0" xfId="0" applyFont="1" applyAlignment="1">
      <alignment/>
    </xf>
    <xf numFmtId="0" fontId="18" fillId="0" borderId="15" xfId="0" applyFont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left" vertical="center" indent="1" shrinkToFit="1"/>
    </xf>
    <xf numFmtId="3" fontId="17" fillId="0" borderId="37" xfId="0" applyNumberFormat="1" applyFont="1" applyBorder="1" applyAlignment="1">
      <alignment vertical="center" wrapText="1"/>
    </xf>
    <xf numFmtId="3" fontId="17" fillId="0" borderId="43" xfId="0" applyNumberFormat="1" applyFont="1" applyBorder="1" applyAlignment="1">
      <alignment vertical="center" wrapText="1"/>
    </xf>
    <xf numFmtId="3" fontId="18" fillId="0" borderId="64" xfId="0" applyNumberFormat="1" applyFont="1" applyFill="1" applyBorder="1" applyAlignment="1">
      <alignment vertical="center"/>
    </xf>
    <xf numFmtId="3" fontId="14" fillId="0" borderId="86" xfId="0" applyNumberFormat="1" applyFont="1" applyFill="1" applyBorder="1" applyAlignment="1">
      <alignment horizontal="right" vertical="center" shrinkToFit="1"/>
    </xf>
    <xf numFmtId="3" fontId="15" fillId="0" borderId="15" xfId="0" applyNumberFormat="1" applyFont="1" applyFill="1" applyBorder="1" applyAlignment="1">
      <alignment horizontal="right" vertical="center" shrinkToFit="1"/>
    </xf>
    <xf numFmtId="3" fontId="14" fillId="0" borderId="18" xfId="0" applyNumberFormat="1" applyFont="1" applyFill="1" applyBorder="1" applyAlignment="1">
      <alignment horizontal="right" shrinkToFit="1"/>
    </xf>
    <xf numFmtId="3" fontId="14" fillId="0" borderId="46" xfId="0" applyNumberFormat="1" applyFont="1" applyFill="1" applyBorder="1" applyAlignment="1">
      <alignment horizontal="right" shrinkToFit="1"/>
    </xf>
    <xf numFmtId="3" fontId="14" fillId="0" borderId="46" xfId="0" applyNumberFormat="1" applyFont="1" applyFill="1" applyBorder="1" applyAlignment="1">
      <alignment horizontal="right" vertical="center" shrinkToFit="1"/>
    </xf>
    <xf numFmtId="3" fontId="14" fillId="0" borderId="23" xfId="0" applyNumberFormat="1" applyFont="1" applyFill="1" applyBorder="1" applyAlignment="1">
      <alignment horizontal="right" vertical="center" shrinkToFit="1"/>
    </xf>
    <xf numFmtId="3" fontId="14" fillId="0" borderId="23" xfId="0" applyNumberFormat="1" applyFont="1" applyFill="1" applyBorder="1" applyAlignment="1">
      <alignment horizontal="right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21" xfId="0" applyNumberFormat="1" applyFont="1" applyFill="1" applyBorder="1" applyAlignment="1">
      <alignment horizontal="right" shrinkToFit="1"/>
    </xf>
    <xf numFmtId="0" fontId="30" fillId="0" borderId="39" xfId="0" applyFont="1" applyFill="1" applyBorder="1" applyAlignment="1">
      <alignment vertical="center" shrinkToFit="1"/>
    </xf>
    <xf numFmtId="0" fontId="17" fillId="0" borderId="38" xfId="0" applyFont="1" applyBorder="1" applyAlignment="1">
      <alignment vertical="center" wrapText="1"/>
    </xf>
    <xf numFmtId="3" fontId="17" fillId="0" borderId="38" xfId="0" applyNumberFormat="1" applyFont="1" applyBorder="1" applyAlignment="1">
      <alignment vertical="center" wrapText="1"/>
    </xf>
    <xf numFmtId="3" fontId="17" fillId="0" borderId="87" xfId="0" applyNumberFormat="1" applyFont="1" applyBorder="1" applyAlignment="1">
      <alignment vertical="center" wrapText="1"/>
    </xf>
    <xf numFmtId="3" fontId="18" fillId="0" borderId="63" xfId="0" applyNumberFormat="1" applyFont="1" applyBorder="1" applyAlignment="1">
      <alignment vertical="center" wrapText="1"/>
    </xf>
    <xf numFmtId="3" fontId="28" fillId="0" borderId="73" xfId="0" applyNumberFormat="1" applyFont="1" applyFill="1" applyBorder="1" applyAlignment="1">
      <alignment vertical="center"/>
    </xf>
    <xf numFmtId="0" fontId="17" fillId="0" borderId="49" xfId="0" applyFont="1" applyBorder="1" applyAlignment="1">
      <alignment vertical="center" wrapText="1"/>
    </xf>
    <xf numFmtId="3" fontId="22" fillId="0" borderId="66" xfId="0" applyNumberFormat="1" applyFont="1" applyFill="1" applyBorder="1" applyAlignment="1">
      <alignment horizontal="center" vertical="center"/>
    </xf>
    <xf numFmtId="3" fontId="20" fillId="0" borderId="37" xfId="0" applyNumberFormat="1" applyFont="1" applyFill="1" applyBorder="1" applyAlignment="1">
      <alignment vertical="center"/>
    </xf>
    <xf numFmtId="3" fontId="14" fillId="0" borderId="44" xfId="0" applyNumberFormat="1" applyFont="1" applyFill="1" applyBorder="1" applyAlignment="1">
      <alignment horizontal="right" shrinkToFit="1"/>
    </xf>
    <xf numFmtId="0" fontId="18" fillId="0" borderId="8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right" vertical="center" shrinkToFit="1"/>
    </xf>
    <xf numFmtId="0" fontId="3" fillId="0" borderId="90" xfId="0" applyFont="1" applyFill="1" applyBorder="1" applyAlignment="1">
      <alignment vertical="center" shrinkToFit="1"/>
    </xf>
    <xf numFmtId="3" fontId="18" fillId="0" borderId="47" xfId="0" applyNumberFormat="1" applyFont="1" applyBorder="1" applyAlignment="1">
      <alignment vertical="center" wrapText="1"/>
    </xf>
    <xf numFmtId="0" fontId="17" fillId="0" borderId="91" xfId="0" applyFont="1" applyBorder="1" applyAlignment="1">
      <alignment vertical="center" wrapText="1"/>
    </xf>
    <xf numFmtId="3" fontId="18" fillId="0" borderId="92" xfId="0" applyNumberFormat="1" applyFont="1" applyBorder="1" applyAlignment="1">
      <alignment vertical="center" wrapText="1"/>
    </xf>
    <xf numFmtId="3" fontId="18" fillId="0" borderId="64" xfId="0" applyNumberFormat="1" applyFont="1" applyBorder="1" applyAlignment="1">
      <alignment vertical="center" wrapText="1"/>
    </xf>
    <xf numFmtId="0" fontId="23" fillId="0" borderId="92" xfId="0" applyFont="1" applyBorder="1" applyAlignment="1">
      <alignment vertical="center" wrapText="1"/>
    </xf>
    <xf numFmtId="3" fontId="28" fillId="0" borderId="37" xfId="0" applyNumberFormat="1" applyFont="1" applyFill="1" applyBorder="1" applyAlignment="1">
      <alignment horizontal="left" vertical="center" indent="1"/>
    </xf>
    <xf numFmtId="3" fontId="28" fillId="0" borderId="37" xfId="0" applyNumberFormat="1" applyFont="1" applyFill="1" applyBorder="1" applyAlignment="1">
      <alignment horizontal="right" vertical="center"/>
    </xf>
    <xf numFmtId="165" fontId="32" fillId="0" borderId="47" xfId="0" applyNumberFormat="1" applyFont="1" applyFill="1" applyBorder="1" applyAlignment="1">
      <alignment horizontal="center" vertical="center"/>
    </xf>
    <xf numFmtId="3" fontId="32" fillId="0" borderId="93" xfId="0" applyNumberFormat="1" applyFont="1" applyFill="1" applyBorder="1" applyAlignment="1">
      <alignment horizontal="right" vertical="center"/>
    </xf>
    <xf numFmtId="164" fontId="32" fillId="0" borderId="51" xfId="0" applyNumberFormat="1" applyFont="1" applyFill="1" applyBorder="1" applyAlignment="1">
      <alignment horizontal="center" vertical="center"/>
    </xf>
    <xf numFmtId="3" fontId="32" fillId="0" borderId="76" xfId="0" applyNumberFormat="1" applyFont="1" applyFill="1" applyBorder="1" applyAlignment="1">
      <alignment horizontal="right" vertical="center"/>
    </xf>
    <xf numFmtId="3" fontId="32" fillId="0" borderId="37" xfId="0" applyNumberFormat="1" applyFont="1" applyFill="1" applyBorder="1" applyAlignment="1">
      <alignment horizontal="right" vertical="center"/>
    </xf>
    <xf numFmtId="3" fontId="28" fillId="0" borderId="84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Alignment="1">
      <alignment horizontal="center" vertical="center"/>
    </xf>
    <xf numFmtId="3" fontId="20" fillId="0" borderId="79" xfId="0" applyNumberFormat="1" applyFont="1" applyFill="1" applyBorder="1" applyAlignment="1">
      <alignment horizontal="center" vertical="center"/>
    </xf>
    <xf numFmtId="165" fontId="32" fillId="0" borderId="85" xfId="0" applyNumberFormat="1" applyFont="1" applyFill="1" applyBorder="1" applyAlignment="1">
      <alignment horizontal="center" vertical="center"/>
    </xf>
    <xf numFmtId="3" fontId="32" fillId="0" borderId="93" xfId="0" applyNumberFormat="1" applyFont="1" applyFill="1" applyBorder="1" applyAlignment="1">
      <alignment vertical="center"/>
    </xf>
    <xf numFmtId="165" fontId="32" fillId="0" borderId="51" xfId="0" applyNumberFormat="1" applyFont="1" applyFill="1" applyBorder="1" applyAlignment="1">
      <alignment horizontal="center" vertical="center"/>
    </xf>
    <xf numFmtId="3" fontId="22" fillId="0" borderId="94" xfId="0" applyNumberFormat="1" applyFont="1" applyFill="1" applyBorder="1" applyAlignment="1">
      <alignment horizontal="center" vertical="center"/>
    </xf>
    <xf numFmtId="3" fontId="20" fillId="0" borderId="93" xfId="0" applyNumberFormat="1" applyFont="1" applyFill="1" applyBorder="1" applyAlignment="1">
      <alignment vertical="center"/>
    </xf>
    <xf numFmtId="3" fontId="20" fillId="0" borderId="93" xfId="0" applyNumberFormat="1" applyFont="1" applyFill="1" applyBorder="1" applyAlignment="1">
      <alignment horizontal="center" vertical="center"/>
    </xf>
    <xf numFmtId="3" fontId="22" fillId="0" borderId="93" xfId="0" applyNumberFormat="1" applyFont="1" applyFill="1" applyBorder="1" applyAlignment="1">
      <alignment vertical="center"/>
    </xf>
    <xf numFmtId="3" fontId="22" fillId="0" borderId="89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32" fillId="0" borderId="34" xfId="0" applyNumberFormat="1" applyFont="1" applyFill="1" applyBorder="1" applyAlignment="1">
      <alignment horizontal="right" vertical="center"/>
    </xf>
    <xf numFmtId="165" fontId="32" fillId="0" borderId="68" xfId="0" applyNumberFormat="1" applyFont="1" applyFill="1" applyBorder="1" applyAlignment="1">
      <alignment horizontal="center" vertical="center"/>
    </xf>
    <xf numFmtId="3" fontId="20" fillId="0" borderId="84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left" vertical="center" indent="1"/>
    </xf>
    <xf numFmtId="3" fontId="28" fillId="0" borderId="84" xfId="0" applyNumberFormat="1" applyFont="1" applyFill="1" applyBorder="1" applyAlignment="1">
      <alignment vertical="center"/>
    </xf>
    <xf numFmtId="3" fontId="32" fillId="0" borderId="76" xfId="0" applyNumberFormat="1" applyFont="1" applyFill="1" applyBorder="1" applyAlignment="1">
      <alignment vertical="center"/>
    </xf>
    <xf numFmtId="164" fontId="32" fillId="0" borderId="72" xfId="0" applyNumberFormat="1" applyFont="1" applyFill="1" applyBorder="1" applyAlignment="1">
      <alignment horizontal="center" vertical="center"/>
    </xf>
    <xf numFmtId="3" fontId="20" fillId="0" borderId="71" xfId="0" applyNumberFormat="1" applyFont="1" applyFill="1" applyBorder="1" applyAlignment="1">
      <alignment vertical="center"/>
    </xf>
    <xf numFmtId="3" fontId="32" fillId="0" borderId="76" xfId="0" applyNumberFormat="1" applyFont="1" applyFill="1" applyBorder="1" applyAlignment="1">
      <alignment vertical="center" shrinkToFit="1"/>
    </xf>
    <xf numFmtId="49" fontId="28" fillId="0" borderId="84" xfId="0" applyNumberFormat="1" applyFont="1" applyFill="1" applyBorder="1" applyAlignment="1">
      <alignment horizontal="left" indent="1"/>
    </xf>
    <xf numFmtId="3" fontId="28" fillId="0" borderId="84" xfId="0" applyNumberFormat="1" applyFont="1" applyFill="1" applyBorder="1" applyAlignment="1">
      <alignment horizontal="left" vertical="center" wrapText="1" indent="1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/>
    </xf>
    <xf numFmtId="3" fontId="18" fillId="0" borderId="32" xfId="0" applyNumberFormat="1" applyFont="1" applyFill="1" applyBorder="1" applyAlignment="1">
      <alignment horizontal="right" vertical="center"/>
    </xf>
    <xf numFmtId="3" fontId="18" fillId="0" borderId="37" xfId="0" applyNumberFormat="1" applyFont="1" applyFill="1" applyBorder="1" applyAlignment="1">
      <alignment horizontal="right" vertical="center"/>
    </xf>
    <xf numFmtId="3" fontId="19" fillId="0" borderId="37" xfId="0" applyNumberFormat="1" applyFont="1" applyFill="1" applyBorder="1" applyAlignment="1">
      <alignment horizontal="right" vertical="center"/>
    </xf>
    <xf numFmtId="3" fontId="17" fillId="0" borderId="37" xfId="0" applyNumberFormat="1" applyFont="1" applyFill="1" applyBorder="1" applyAlignment="1">
      <alignment horizontal="right" vertical="center"/>
    </xf>
    <xf numFmtId="3" fontId="17" fillId="0" borderId="38" xfId="0" applyNumberFormat="1" applyFont="1" applyFill="1" applyBorder="1" applyAlignment="1">
      <alignment horizontal="right" vertical="center"/>
    </xf>
    <xf numFmtId="3" fontId="17" fillId="0" borderId="39" xfId="0" applyNumberFormat="1" applyFont="1" applyFill="1" applyBorder="1" applyAlignment="1">
      <alignment horizontal="right" vertical="center"/>
    </xf>
    <xf numFmtId="3" fontId="18" fillId="0" borderId="41" xfId="0" applyNumberFormat="1" applyFont="1" applyFill="1" applyBorder="1" applyAlignment="1">
      <alignment horizontal="right" vertical="center"/>
    </xf>
    <xf numFmtId="3" fontId="17" fillId="0" borderId="49" xfId="0" applyNumberFormat="1" applyFont="1" applyFill="1" applyBorder="1" applyAlignment="1">
      <alignment horizontal="right" vertical="center"/>
    </xf>
    <xf numFmtId="3" fontId="18" fillId="0" borderId="39" xfId="0" applyNumberFormat="1" applyFont="1" applyFill="1" applyBorder="1" applyAlignment="1">
      <alignment horizontal="right" vertical="center"/>
    </xf>
    <xf numFmtId="3" fontId="18" fillId="0" borderId="49" xfId="0" applyNumberFormat="1" applyFont="1" applyFill="1" applyBorder="1" applyAlignment="1">
      <alignment horizontal="right" vertical="center"/>
    </xf>
    <xf numFmtId="3" fontId="18" fillId="0" borderId="93" xfId="0" applyNumberFormat="1" applyFont="1" applyFill="1" applyBorder="1" applyAlignment="1">
      <alignment horizontal="right" vertical="center"/>
    </xf>
    <xf numFmtId="3" fontId="11" fillId="0" borderId="39" xfId="0" applyNumberFormat="1" applyFont="1" applyFill="1" applyBorder="1" applyAlignment="1">
      <alignment horizontal="right" vertical="center" shrinkToFit="1"/>
    </xf>
    <xf numFmtId="3" fontId="31" fillId="0" borderId="39" xfId="0" applyNumberFormat="1" applyFont="1" applyFill="1" applyBorder="1" applyAlignment="1">
      <alignment horizontal="right" vertical="center" shrinkToFit="1"/>
    </xf>
    <xf numFmtId="3" fontId="18" fillId="0" borderId="95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3" fontId="28" fillId="0" borderId="76" xfId="0" applyNumberFormat="1" applyFont="1" applyFill="1" applyBorder="1" applyAlignment="1">
      <alignment horizontal="left" vertical="center" indent="1"/>
    </xf>
    <xf numFmtId="3" fontId="28" fillId="0" borderId="71" xfId="0" applyNumberFormat="1" applyFont="1" applyFill="1" applyBorder="1" applyAlignment="1">
      <alignment horizontal="left" vertical="center" wrapText="1" indent="1"/>
    </xf>
    <xf numFmtId="3" fontId="28" fillId="0" borderId="76" xfId="0" applyNumberFormat="1" applyFont="1" applyFill="1" applyBorder="1" applyAlignment="1">
      <alignment vertical="center"/>
    </xf>
    <xf numFmtId="3" fontId="28" fillId="0" borderId="37" xfId="0" applyNumberFormat="1" applyFont="1" applyFill="1" applyBorder="1" applyAlignment="1">
      <alignment vertical="center"/>
    </xf>
    <xf numFmtId="3" fontId="28" fillId="0" borderId="71" xfId="0" applyNumberFormat="1" applyFont="1" applyFill="1" applyBorder="1" applyAlignment="1">
      <alignment vertical="center"/>
    </xf>
    <xf numFmtId="3" fontId="32" fillId="0" borderId="71" xfId="0" applyNumberFormat="1" applyFont="1" applyFill="1" applyBorder="1" applyAlignment="1">
      <alignment vertical="center"/>
    </xf>
    <xf numFmtId="3" fontId="32" fillId="0" borderId="96" xfId="0" applyNumberFormat="1" applyFont="1" applyFill="1" applyBorder="1" applyAlignment="1">
      <alignment vertical="center"/>
    </xf>
    <xf numFmtId="3" fontId="32" fillId="0" borderId="69" xfId="0" applyNumberFormat="1" applyFont="1" applyFill="1" applyBorder="1" applyAlignment="1">
      <alignment vertical="center"/>
    </xf>
    <xf numFmtId="3" fontId="32" fillId="0" borderId="84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5" fillId="0" borderId="97" xfId="0" applyFont="1" applyBorder="1" applyAlignment="1">
      <alignment horizontal="left" vertical="center" shrinkToFit="1"/>
    </xf>
    <xf numFmtId="49" fontId="33" fillId="0" borderId="37" xfId="0" applyNumberFormat="1" applyFont="1" applyFill="1" applyBorder="1" applyAlignment="1">
      <alignment vertical="center" shrinkToFit="1"/>
    </xf>
    <xf numFmtId="0" fontId="31" fillId="0" borderId="98" xfId="0" applyFont="1" applyBorder="1" applyAlignment="1">
      <alignment horizontal="left" vertical="center" shrinkToFit="1"/>
    </xf>
    <xf numFmtId="0" fontId="31" fillId="0" borderId="99" xfId="0" applyFont="1" applyBorder="1" applyAlignment="1">
      <alignment horizontal="left" vertical="center" shrinkToFit="1"/>
    </xf>
    <xf numFmtId="49" fontId="33" fillId="0" borderId="37" xfId="0" applyNumberFormat="1" applyFont="1" applyFill="1" applyBorder="1" applyAlignment="1">
      <alignment horizontal="justify" vertical="center" shrinkToFit="1"/>
    </xf>
    <xf numFmtId="49" fontId="36" fillId="0" borderId="37" xfId="0" applyNumberFormat="1" applyFont="1" applyFill="1" applyBorder="1" applyAlignment="1">
      <alignment vertical="center" shrinkToFit="1"/>
    </xf>
    <xf numFmtId="3" fontId="31" fillId="0" borderId="37" xfId="0" applyNumberFormat="1" applyFont="1" applyFill="1" applyBorder="1" applyAlignment="1">
      <alignment vertical="center" wrapText="1"/>
    </xf>
    <xf numFmtId="49" fontId="31" fillId="0" borderId="37" xfId="0" applyNumberFormat="1" applyFont="1" applyFill="1" applyBorder="1" applyAlignment="1">
      <alignment horizontal="justify" vertical="center" shrinkToFit="1"/>
    </xf>
    <xf numFmtId="3" fontId="33" fillId="0" borderId="47" xfId="0" applyNumberFormat="1" applyFont="1" applyFill="1" applyBorder="1" applyAlignment="1">
      <alignment horizontal="right" vertical="center" shrinkToFit="1"/>
    </xf>
    <xf numFmtId="0" fontId="31" fillId="0" borderId="99" xfId="0" applyFont="1" applyBorder="1" applyAlignment="1">
      <alignment horizontal="left" vertical="center" wrapText="1"/>
    </xf>
    <xf numFmtId="0" fontId="31" fillId="0" borderId="98" xfId="0" applyFont="1" applyBorder="1" applyAlignment="1">
      <alignment horizontal="left" vertical="center" wrapText="1"/>
    </xf>
    <xf numFmtId="49" fontId="15" fillId="0" borderId="37" xfId="0" applyNumberFormat="1" applyFont="1" applyFill="1" applyBorder="1" applyAlignment="1">
      <alignment horizontal="left" shrinkToFit="1"/>
    </xf>
    <xf numFmtId="3" fontId="17" fillId="0" borderId="49" xfId="0" applyNumberFormat="1" applyFont="1" applyFill="1" applyBorder="1" applyAlignment="1">
      <alignment horizontal="right" vertical="center"/>
    </xf>
    <xf numFmtId="3" fontId="17" fillId="0" borderId="39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72" xfId="0" applyNumberFormat="1" applyFont="1" applyFill="1" applyBorder="1" applyAlignment="1">
      <alignment horizontal="center" vertical="center"/>
    </xf>
    <xf numFmtId="3" fontId="32" fillId="0" borderId="74" xfId="0" applyNumberFormat="1" applyFont="1" applyFill="1" applyBorder="1" applyAlignment="1">
      <alignment horizontal="center" vertical="center"/>
    </xf>
    <xf numFmtId="3" fontId="18" fillId="0" borderId="46" xfId="0" applyNumberFormat="1" applyFont="1" applyFill="1" applyBorder="1" applyAlignment="1">
      <alignment horizontal="right" vertical="center"/>
    </xf>
    <xf numFmtId="3" fontId="20" fillId="0" borderId="37" xfId="0" applyNumberFormat="1" applyFont="1" applyFill="1" applyBorder="1" applyAlignment="1">
      <alignment horizontal="center" vertical="center"/>
    </xf>
    <xf numFmtId="3" fontId="18" fillId="0" borderId="37" xfId="0" applyNumberFormat="1" applyFont="1" applyFill="1" applyBorder="1" applyAlignment="1">
      <alignment horizontal="center" vertical="center"/>
    </xf>
    <xf numFmtId="49" fontId="31" fillId="0" borderId="37" xfId="0" applyNumberFormat="1" applyFont="1" applyFill="1" applyBorder="1" applyAlignment="1">
      <alignment horizontal="justify" vertical="center" wrapText="1" shrinkToFit="1"/>
    </xf>
    <xf numFmtId="49" fontId="31" fillId="0" borderId="73" xfId="0" applyNumberFormat="1" applyFont="1" applyFill="1" applyBorder="1" applyAlignment="1">
      <alignment horizontal="justify" vertical="center" shrinkToFit="1"/>
    </xf>
    <xf numFmtId="49" fontId="33" fillId="0" borderId="37" xfId="0" applyNumberFormat="1" applyFont="1" applyFill="1" applyBorder="1" applyAlignment="1">
      <alignment horizontal="justify" vertical="center" wrapText="1" shrinkToFit="1"/>
    </xf>
    <xf numFmtId="0" fontId="37" fillId="0" borderId="0" xfId="0" applyFont="1" applyFill="1" applyBorder="1" applyAlignment="1">
      <alignment vertical="center" shrinkToFit="1"/>
    </xf>
    <xf numFmtId="3" fontId="11" fillId="0" borderId="37" xfId="0" applyNumberFormat="1" applyFont="1" applyFill="1" applyBorder="1" applyAlignment="1">
      <alignment horizontal="right" vertical="center" shrinkToFit="1"/>
    </xf>
    <xf numFmtId="3" fontId="31" fillId="0" borderId="37" xfId="0" applyNumberFormat="1" applyFont="1" applyFill="1" applyBorder="1" applyAlignment="1">
      <alignment horizontal="right" vertical="center" shrinkToFit="1"/>
    </xf>
    <xf numFmtId="3" fontId="17" fillId="0" borderId="100" xfId="0" applyNumberFormat="1" applyFont="1" applyFill="1" applyBorder="1" applyAlignment="1">
      <alignment vertical="center"/>
    </xf>
    <xf numFmtId="3" fontId="17" fillId="0" borderId="35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43" xfId="0" applyNumberFormat="1" applyFont="1" applyFill="1" applyBorder="1" applyAlignment="1">
      <alignment vertical="center"/>
    </xf>
    <xf numFmtId="3" fontId="17" fillId="0" borderId="37" xfId="0" applyNumberFormat="1" applyFont="1" applyFill="1" applyBorder="1" applyAlignment="1">
      <alignment horizontal="right" vertical="center"/>
    </xf>
    <xf numFmtId="3" fontId="17" fillId="0" borderId="47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17" fillId="0" borderId="43" xfId="0" applyNumberFormat="1" applyFont="1" applyFill="1" applyBorder="1" applyAlignment="1">
      <alignment horizontal="center" vertical="center"/>
    </xf>
    <xf numFmtId="3" fontId="17" fillId="0" borderId="101" xfId="0" applyNumberFormat="1" applyFont="1" applyFill="1" applyBorder="1" applyAlignment="1">
      <alignment vertical="center"/>
    </xf>
    <xf numFmtId="3" fontId="17" fillId="0" borderId="101" xfId="0" applyNumberFormat="1" applyFont="1" applyFill="1" applyBorder="1" applyAlignment="1">
      <alignment horizontal="right" vertical="center"/>
    </xf>
    <xf numFmtId="3" fontId="17" fillId="0" borderId="102" xfId="0" applyNumberFormat="1" applyFont="1" applyFill="1" applyBorder="1" applyAlignment="1">
      <alignment vertical="center"/>
    </xf>
    <xf numFmtId="3" fontId="18" fillId="0" borderId="103" xfId="0" applyNumberFormat="1" applyFont="1" applyFill="1" applyBorder="1" applyAlignment="1">
      <alignment horizontal="center" vertical="center"/>
    </xf>
    <xf numFmtId="3" fontId="18" fillId="0" borderId="104" xfId="0" applyNumberFormat="1" applyFont="1" applyFill="1" applyBorder="1" applyAlignment="1">
      <alignment horizontal="center" vertical="center"/>
    </xf>
    <xf numFmtId="3" fontId="18" fillId="0" borderId="84" xfId="0" applyNumberFormat="1" applyFont="1" applyFill="1" applyBorder="1" applyAlignment="1">
      <alignment vertical="center"/>
    </xf>
    <xf numFmtId="3" fontId="18" fillId="0" borderId="84" xfId="0" applyNumberFormat="1" applyFont="1" applyFill="1" applyBorder="1" applyAlignment="1">
      <alignment horizontal="right" vertical="center"/>
    </xf>
    <xf numFmtId="3" fontId="18" fillId="0" borderId="105" xfId="0" applyNumberFormat="1" applyFont="1" applyFill="1" applyBorder="1" applyAlignment="1">
      <alignment vertical="center"/>
    </xf>
    <xf numFmtId="49" fontId="31" fillId="0" borderId="49" xfId="0" applyNumberFormat="1" applyFont="1" applyFill="1" applyBorder="1" applyAlignment="1">
      <alignment horizontal="justify" vertical="center" shrinkToFit="1"/>
    </xf>
    <xf numFmtId="3" fontId="31" fillId="0" borderId="106" xfId="0" applyNumberFormat="1" applyFont="1" applyFill="1" applyBorder="1" applyAlignment="1">
      <alignment horizontal="right" vertical="center" shrinkToFit="1"/>
    </xf>
    <xf numFmtId="0" fontId="38" fillId="0" borderId="39" xfId="0" applyFont="1" applyFill="1" applyBorder="1" applyAlignment="1">
      <alignment horizontal="justify" vertical="center" shrinkToFit="1"/>
    </xf>
    <xf numFmtId="3" fontId="20" fillId="0" borderId="60" xfId="0" applyNumberFormat="1" applyFont="1" applyFill="1" applyBorder="1" applyAlignment="1">
      <alignment horizontal="center" vertical="center"/>
    </xf>
    <xf numFmtId="3" fontId="28" fillId="0" borderId="37" xfId="0" applyNumberFormat="1" applyFont="1" applyFill="1" applyBorder="1" applyAlignment="1">
      <alignment horizontal="left" vertical="center" wrapText="1" indent="1"/>
    </xf>
    <xf numFmtId="49" fontId="31" fillId="0" borderId="49" xfId="0" applyNumberFormat="1" applyFont="1" applyFill="1" applyBorder="1" applyAlignment="1">
      <alignment vertical="center" shrinkToFit="1"/>
    </xf>
    <xf numFmtId="0" fontId="38" fillId="0" borderId="37" xfId="0" applyFont="1" applyFill="1" applyBorder="1" applyAlignment="1">
      <alignment horizontal="justify" vertical="center" shrinkToFit="1"/>
    </xf>
    <xf numFmtId="1" fontId="32" fillId="0" borderId="80" xfId="0" applyNumberFormat="1" applyFont="1" applyFill="1" applyBorder="1" applyAlignment="1">
      <alignment horizontal="center" vertical="center"/>
    </xf>
    <xf numFmtId="164" fontId="17" fillId="0" borderId="43" xfId="0" applyNumberFormat="1" applyFont="1" applyFill="1" applyBorder="1" applyAlignment="1">
      <alignment horizontal="center" vertical="center"/>
    </xf>
    <xf numFmtId="3" fontId="33" fillId="0" borderId="37" xfId="0" applyNumberFormat="1" applyFont="1" applyFill="1" applyBorder="1" applyAlignment="1">
      <alignment vertical="center" wrapText="1"/>
    </xf>
    <xf numFmtId="3" fontId="18" fillId="0" borderId="106" xfId="0" applyNumberFormat="1" applyFont="1" applyFill="1" applyBorder="1" applyAlignment="1">
      <alignment vertical="center"/>
    </xf>
    <xf numFmtId="3" fontId="18" fillId="0" borderId="37" xfId="0" applyNumberFormat="1" applyFont="1" applyFill="1" applyBorder="1" applyAlignment="1">
      <alignment horizontal="right" vertical="center"/>
    </xf>
    <xf numFmtId="164" fontId="17" fillId="0" borderId="43" xfId="0" applyNumberFormat="1" applyFont="1" applyFill="1" applyBorder="1" applyAlignment="1" quotePrefix="1">
      <alignment horizontal="center" vertical="center"/>
    </xf>
    <xf numFmtId="3" fontId="17" fillId="0" borderId="100" xfId="0" applyNumberFormat="1" applyFont="1" applyFill="1" applyBorder="1" applyAlignment="1">
      <alignment horizontal="right" vertical="center"/>
    </xf>
    <xf numFmtId="3" fontId="18" fillId="0" borderId="107" xfId="0" applyNumberFormat="1" applyFont="1" applyFill="1" applyBorder="1" applyAlignment="1">
      <alignment vertical="center"/>
    </xf>
    <xf numFmtId="3" fontId="17" fillId="0" borderId="100" xfId="0" applyNumberFormat="1" applyFont="1" applyFill="1" applyBorder="1" applyAlignment="1">
      <alignment vertical="center" wrapText="1"/>
    </xf>
    <xf numFmtId="3" fontId="18" fillId="0" borderId="108" xfId="0" applyNumberFormat="1" applyFont="1" applyFill="1" applyBorder="1" applyAlignment="1">
      <alignment vertical="center"/>
    </xf>
    <xf numFmtId="3" fontId="33" fillId="0" borderId="39" xfId="0" applyNumberFormat="1" applyFont="1" applyFill="1" applyBorder="1" applyAlignment="1">
      <alignment vertical="center" wrapText="1"/>
    </xf>
    <xf numFmtId="3" fontId="18" fillId="0" borderId="39" xfId="0" applyNumberFormat="1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shrinkToFit="1"/>
    </xf>
    <xf numFmtId="0" fontId="13" fillId="0" borderId="41" xfId="0" applyFont="1" applyFill="1" applyBorder="1" applyAlignment="1">
      <alignment shrinkToFit="1"/>
    </xf>
    <xf numFmtId="3" fontId="13" fillId="0" borderId="41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shrinkToFit="1"/>
    </xf>
    <xf numFmtId="49" fontId="17" fillId="0" borderId="0" xfId="0" applyNumberFormat="1" applyFont="1" applyFill="1" applyBorder="1" applyAlignment="1">
      <alignment horizontal="center" vertical="center"/>
    </xf>
    <xf numFmtId="3" fontId="18" fillId="0" borderId="37" xfId="0" applyNumberFormat="1" applyFont="1" applyFill="1" applyBorder="1" applyAlignment="1">
      <alignment vertical="center"/>
    </xf>
    <xf numFmtId="3" fontId="18" fillId="0" borderId="47" xfId="0" applyNumberFormat="1" applyFont="1" applyFill="1" applyBorder="1" applyAlignment="1">
      <alignment vertical="center"/>
    </xf>
    <xf numFmtId="3" fontId="18" fillId="0" borderId="44" xfId="0" applyNumberFormat="1" applyFont="1" applyFill="1" applyBorder="1" applyAlignment="1">
      <alignment vertical="center"/>
    </xf>
    <xf numFmtId="3" fontId="17" fillId="0" borderId="109" xfId="0" applyNumberFormat="1" applyFont="1" applyFill="1" applyBorder="1" applyAlignment="1">
      <alignment vertical="center"/>
    </xf>
    <xf numFmtId="3" fontId="17" fillId="0" borderId="110" xfId="0" applyNumberFormat="1" applyFont="1" applyFill="1" applyBorder="1" applyAlignment="1">
      <alignment horizontal="right" vertical="center"/>
    </xf>
    <xf numFmtId="3" fontId="17" fillId="0" borderId="110" xfId="0" applyNumberFormat="1" applyFont="1" applyFill="1" applyBorder="1" applyAlignment="1">
      <alignment horizontal="right" vertical="center"/>
    </xf>
    <xf numFmtId="3" fontId="18" fillId="0" borderId="111" xfId="0" applyNumberFormat="1" applyFont="1" applyFill="1" applyBorder="1" applyAlignment="1">
      <alignment vertical="center"/>
    </xf>
    <xf numFmtId="3" fontId="17" fillId="0" borderId="99" xfId="0" applyNumberFormat="1" applyFont="1" applyFill="1" applyBorder="1" applyAlignment="1">
      <alignment vertical="center"/>
    </xf>
    <xf numFmtId="3" fontId="17" fillId="0" borderId="98" xfId="0" applyNumberFormat="1" applyFont="1" applyFill="1" applyBorder="1" applyAlignment="1">
      <alignment vertical="center"/>
    </xf>
    <xf numFmtId="0" fontId="38" fillId="0" borderId="38" xfId="0" applyFont="1" applyFill="1" applyBorder="1" applyAlignment="1">
      <alignment horizontal="justify" vertical="center" shrinkToFit="1"/>
    </xf>
    <xf numFmtId="0" fontId="24" fillId="0" borderId="30" xfId="0" applyFont="1" applyFill="1" applyBorder="1" applyAlignment="1">
      <alignment vertical="center" shrinkToFit="1"/>
    </xf>
    <xf numFmtId="0" fontId="24" fillId="0" borderId="90" xfId="0" applyFont="1" applyFill="1" applyBorder="1" applyAlignment="1">
      <alignment vertical="center" shrinkToFit="1"/>
    </xf>
    <xf numFmtId="3" fontId="24" fillId="0" borderId="83" xfId="0" applyNumberFormat="1" applyFont="1" applyFill="1" applyBorder="1" applyAlignment="1">
      <alignment horizontal="right" vertical="center" shrinkToFit="1"/>
    </xf>
    <xf numFmtId="0" fontId="24" fillId="0" borderId="35" xfId="0" applyFont="1" applyFill="1" applyBorder="1" applyAlignment="1">
      <alignment vertical="center" shrinkToFit="1"/>
    </xf>
    <xf numFmtId="3" fontId="24" fillId="0" borderId="15" xfId="0" applyNumberFormat="1" applyFont="1" applyFill="1" applyBorder="1" applyAlignment="1">
      <alignment horizontal="right" vertical="center" shrinkToFit="1"/>
    </xf>
    <xf numFmtId="3" fontId="24" fillId="0" borderId="18" xfId="0" applyNumberFormat="1" applyFont="1" applyFill="1" applyBorder="1" applyAlignment="1">
      <alignment horizontal="right" vertical="center" shrinkToFit="1"/>
    </xf>
    <xf numFmtId="3" fontId="24" fillId="0" borderId="21" xfId="0" applyNumberFormat="1" applyFont="1" applyFill="1" applyBorder="1" applyAlignment="1">
      <alignment horizontal="right" vertical="center" shrinkToFit="1"/>
    </xf>
    <xf numFmtId="3" fontId="24" fillId="0" borderId="48" xfId="0" applyNumberFormat="1" applyFont="1" applyFill="1" applyBorder="1" applyAlignment="1">
      <alignment horizontal="right" vertical="center" shrinkToFit="1"/>
    </xf>
    <xf numFmtId="49" fontId="25" fillId="0" borderId="32" xfId="0" applyNumberFormat="1" applyFont="1" applyFill="1" applyBorder="1" applyAlignment="1">
      <alignment vertical="center" shrinkToFit="1"/>
    </xf>
    <xf numFmtId="49" fontId="25" fillId="0" borderId="37" xfId="0" applyNumberFormat="1" applyFont="1" applyFill="1" applyBorder="1" applyAlignment="1">
      <alignment vertical="center" shrinkToFit="1"/>
    </xf>
    <xf numFmtId="0" fontId="24" fillId="0" borderId="112" xfId="0" applyFont="1" applyFill="1" applyBorder="1" applyAlignment="1">
      <alignment vertical="center" shrinkToFit="1"/>
    </xf>
    <xf numFmtId="0" fontId="24" fillId="0" borderId="82" xfId="0" applyFont="1" applyFill="1" applyBorder="1" applyAlignment="1">
      <alignment vertical="center" shrinkToFit="1"/>
    </xf>
    <xf numFmtId="49" fontId="37" fillId="0" borderId="95" xfId="0" applyNumberFormat="1" applyFont="1" applyFill="1" applyBorder="1" applyAlignment="1">
      <alignment vertical="center" shrinkToFit="1"/>
    </xf>
    <xf numFmtId="3" fontId="37" fillId="0" borderId="113" xfId="0" applyNumberFormat="1" applyFont="1" applyFill="1" applyBorder="1" applyAlignment="1">
      <alignment horizontal="right" vertical="center" shrinkToFit="1"/>
    </xf>
    <xf numFmtId="3" fontId="17" fillId="0" borderId="49" xfId="0" applyNumberFormat="1" applyFont="1" applyFill="1" applyBorder="1" applyAlignment="1">
      <alignment vertical="center" wrapText="1"/>
    </xf>
    <xf numFmtId="3" fontId="17" fillId="0" borderId="40" xfId="0" applyNumberFormat="1" applyFont="1" applyFill="1" applyBorder="1" applyAlignment="1">
      <alignment horizontal="center" vertical="center"/>
    </xf>
    <xf numFmtId="3" fontId="17" fillId="0" borderId="56" xfId="0" applyNumberFormat="1" applyFont="1" applyFill="1" applyBorder="1" applyAlignment="1">
      <alignment horizontal="center" vertical="center"/>
    </xf>
    <xf numFmtId="3" fontId="17" fillId="0" borderId="45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horizontal="right" vertical="center"/>
    </xf>
    <xf numFmtId="3" fontId="18" fillId="0" borderId="46" xfId="0" applyNumberFormat="1" applyFont="1" applyFill="1" applyBorder="1" applyAlignment="1">
      <alignment vertical="center"/>
    </xf>
    <xf numFmtId="0" fontId="31" fillId="0" borderId="49" xfId="0" applyFont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vertical="center"/>
    </xf>
    <xf numFmtId="3" fontId="40" fillId="0" borderId="37" xfId="0" applyNumberFormat="1" applyFont="1" applyFill="1" applyBorder="1" applyAlignment="1">
      <alignment horizontal="right" vertical="center"/>
    </xf>
    <xf numFmtId="3" fontId="39" fillId="0" borderId="49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18" fillId="0" borderId="41" xfId="0" applyNumberFormat="1" applyFont="1" applyFill="1" applyBorder="1" applyAlignment="1">
      <alignment horizontal="right" vertical="center"/>
    </xf>
    <xf numFmtId="0" fontId="11" fillId="0" borderId="83" xfId="0" applyFont="1" applyFill="1" applyBorder="1" applyAlignment="1">
      <alignment horizontal="justify" shrinkToFit="1"/>
    </xf>
    <xf numFmtId="0" fontId="14" fillId="0" borderId="37" xfId="0" applyFont="1" applyFill="1" applyBorder="1" applyAlignment="1">
      <alignment horizontal="justify" shrinkToFit="1"/>
    </xf>
    <xf numFmtId="0" fontId="11" fillId="0" borderId="26" xfId="0" applyFont="1" applyFill="1" applyBorder="1" applyAlignment="1">
      <alignment horizontal="justify" shrinkToFit="1"/>
    </xf>
    <xf numFmtId="3" fontId="15" fillId="0" borderId="15" xfId="0" applyNumberFormat="1" applyFont="1" applyFill="1" applyBorder="1" applyAlignment="1">
      <alignment horizontal="justify" vertical="center" shrinkToFit="1"/>
    </xf>
    <xf numFmtId="3" fontId="15" fillId="0" borderId="39" xfId="0" applyNumberFormat="1" applyFont="1" applyFill="1" applyBorder="1" applyAlignment="1">
      <alignment horizontal="right" shrinkToFit="1"/>
    </xf>
    <xf numFmtId="0" fontId="15" fillId="0" borderId="0" xfId="0" applyFont="1" applyFill="1" applyAlignment="1">
      <alignment horizontal="justify" shrinkToFit="1"/>
    </xf>
    <xf numFmtId="0" fontId="11" fillId="0" borderId="90" xfId="0" applyFont="1" applyFill="1" applyBorder="1" applyAlignment="1">
      <alignment shrinkToFit="1"/>
    </xf>
    <xf numFmtId="0" fontId="15" fillId="0" borderId="15" xfId="0" applyFont="1" applyFill="1" applyBorder="1" applyAlignment="1">
      <alignment horizontal="justify" vertical="center" shrinkToFit="1"/>
    </xf>
    <xf numFmtId="0" fontId="14" fillId="0" borderId="0" xfId="0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right" vertical="center" shrinkToFit="1"/>
    </xf>
    <xf numFmtId="0" fontId="15" fillId="0" borderId="100" xfId="0" applyFont="1" applyFill="1" applyBorder="1" applyAlignment="1">
      <alignment shrinkToFit="1"/>
    </xf>
    <xf numFmtId="3" fontId="15" fillId="0" borderId="100" xfId="0" applyNumberFormat="1" applyFont="1" applyFill="1" applyBorder="1" applyAlignment="1">
      <alignment horizontal="right" shrinkToFit="1"/>
    </xf>
    <xf numFmtId="3" fontId="14" fillId="0" borderId="107" xfId="0" applyNumberFormat="1" applyFont="1" applyFill="1" applyBorder="1" applyAlignment="1">
      <alignment horizontal="right" shrinkToFit="1"/>
    </xf>
    <xf numFmtId="0" fontId="8" fillId="0" borderId="35" xfId="0" applyFont="1" applyFill="1" applyBorder="1" applyAlignment="1">
      <alignment horizontal="center" vertical="center" shrinkToFit="1"/>
    </xf>
    <xf numFmtId="3" fontId="9" fillId="0" borderId="14" xfId="0" applyNumberFormat="1" applyFont="1" applyFill="1" applyBorder="1" applyAlignment="1">
      <alignment horizontal="right" vertical="center" shrinkToFit="1"/>
    </xf>
    <xf numFmtId="3" fontId="10" fillId="0" borderId="15" xfId="0" applyNumberFormat="1" applyFont="1" applyFill="1" applyBorder="1" applyAlignment="1">
      <alignment horizontal="right" vertical="center" shrinkToFit="1"/>
    </xf>
    <xf numFmtId="0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41" fillId="0" borderId="94" xfId="0" applyNumberFormat="1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 wrapText="1"/>
    </xf>
    <xf numFmtId="3" fontId="41" fillId="0" borderId="93" xfId="0" applyNumberFormat="1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/>
    </xf>
    <xf numFmtId="0" fontId="29" fillId="0" borderId="78" xfId="0" applyNumberFormat="1" applyFont="1" applyBorder="1" applyAlignment="1">
      <alignment horizontal="center" vertical="center" wrapText="1"/>
    </xf>
    <xf numFmtId="0" fontId="29" fillId="0" borderId="73" xfId="0" applyFont="1" applyBorder="1" applyAlignment="1">
      <alignment vertical="center" wrapText="1"/>
    </xf>
    <xf numFmtId="3" fontId="29" fillId="0" borderId="73" xfId="0" applyNumberFormat="1" applyFont="1" applyBorder="1" applyAlignment="1">
      <alignment vertical="center"/>
    </xf>
    <xf numFmtId="0" fontId="29" fillId="0" borderId="74" xfId="0" applyFont="1" applyBorder="1" applyAlignment="1">
      <alignment horizontal="center" vertical="center"/>
    </xf>
    <xf numFmtId="0" fontId="29" fillId="0" borderId="77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vertical="center" wrapText="1"/>
    </xf>
    <xf numFmtId="0" fontId="29" fillId="0" borderId="70" xfId="0" applyFont="1" applyBorder="1" applyAlignment="1">
      <alignment horizontal="center" vertical="center"/>
    </xf>
    <xf numFmtId="0" fontId="29" fillId="0" borderId="60" xfId="0" applyNumberFormat="1" applyFont="1" applyBorder="1" applyAlignment="1">
      <alignment horizontal="center" vertical="center" wrapText="1"/>
    </xf>
    <xf numFmtId="0" fontId="29" fillId="0" borderId="84" xfId="0" applyFont="1" applyBorder="1" applyAlignment="1">
      <alignment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32" borderId="114" xfId="0" applyNumberFormat="1" applyFont="1" applyFill="1" applyBorder="1" applyAlignment="1">
      <alignment horizontal="center" vertical="center" wrapText="1"/>
    </xf>
    <xf numFmtId="0" fontId="41" fillId="0" borderId="115" xfId="0" applyFont="1" applyBorder="1" applyAlignment="1">
      <alignment horizontal="left" vertical="center" wrapText="1"/>
    </xf>
    <xf numFmtId="3" fontId="41" fillId="0" borderId="114" xfId="0" applyNumberFormat="1" applyFont="1" applyBorder="1" applyAlignment="1">
      <alignment horizontal="right" vertical="center" wrapText="1"/>
    </xf>
    <xf numFmtId="0" fontId="29" fillId="32" borderId="11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76" xfId="0" applyFont="1" applyBorder="1" applyAlignment="1">
      <alignment horizontal="center" wrapText="1"/>
    </xf>
    <xf numFmtId="0" fontId="43" fillId="0" borderId="116" xfId="0" applyFont="1" applyBorder="1" applyAlignment="1">
      <alignment horizontal="center"/>
    </xf>
    <xf numFmtId="0" fontId="43" fillId="0" borderId="11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77" xfId="0" applyFont="1" applyBorder="1" applyAlignment="1">
      <alignment/>
    </xf>
    <xf numFmtId="0" fontId="42" fillId="0" borderId="104" xfId="0" applyFont="1" applyBorder="1" applyAlignment="1">
      <alignment/>
    </xf>
    <xf numFmtId="3" fontId="42" fillId="0" borderId="69" xfId="0" applyNumberFormat="1" applyFont="1" applyBorder="1" applyAlignment="1">
      <alignment/>
    </xf>
    <xf numFmtId="3" fontId="42" fillId="0" borderId="118" xfId="0" applyNumberFormat="1" applyFont="1" applyBorder="1" applyAlignment="1">
      <alignment/>
    </xf>
    <xf numFmtId="0" fontId="42" fillId="0" borderId="119" xfId="0" applyFont="1" applyBorder="1" applyAlignment="1">
      <alignment/>
    </xf>
    <xf numFmtId="3" fontId="42" fillId="0" borderId="84" xfId="0" applyNumberFormat="1" applyFont="1" applyBorder="1" applyAlignment="1">
      <alignment/>
    </xf>
    <xf numFmtId="3" fontId="42" fillId="0" borderId="105" xfId="0" applyNumberFormat="1" applyFont="1" applyBorder="1" applyAlignment="1">
      <alignment/>
    </xf>
    <xf numFmtId="0" fontId="42" fillId="0" borderId="69" xfId="0" applyFont="1" applyBorder="1" applyAlignment="1">
      <alignment/>
    </xf>
    <xf numFmtId="0" fontId="42" fillId="0" borderId="89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3" fontId="43" fillId="0" borderId="71" xfId="0" applyNumberFormat="1" applyFont="1" applyBorder="1" applyAlignment="1">
      <alignment vertical="center"/>
    </xf>
    <xf numFmtId="3" fontId="43" fillId="0" borderId="8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9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2" fillId="0" borderId="119" xfId="0" applyFont="1" applyBorder="1" applyAlignment="1">
      <alignment horizontal="left"/>
    </xf>
    <xf numFmtId="0" fontId="42" fillId="0" borderId="104" xfId="0" applyFont="1" applyBorder="1" applyAlignment="1">
      <alignment horizontal="left"/>
    </xf>
    <xf numFmtId="3" fontId="42" fillId="0" borderId="69" xfId="0" applyNumberFormat="1" applyFont="1" applyBorder="1" applyAlignment="1">
      <alignment/>
    </xf>
    <xf numFmtId="0" fontId="42" fillId="0" borderId="60" xfId="0" applyFont="1" applyBorder="1" applyAlignment="1">
      <alignment/>
    </xf>
    <xf numFmtId="3" fontId="42" fillId="0" borderId="84" xfId="0" applyNumberFormat="1" applyFont="1" applyBorder="1" applyAlignment="1">
      <alignment/>
    </xf>
    <xf numFmtId="0" fontId="42" fillId="0" borderId="79" xfId="0" applyFont="1" applyBorder="1" applyAlignment="1">
      <alignment vertical="center"/>
    </xf>
    <xf numFmtId="0" fontId="43" fillId="0" borderId="71" xfId="0" applyFont="1" applyBorder="1" applyAlignment="1">
      <alignment vertical="center"/>
    </xf>
    <xf numFmtId="3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45" fillId="0" borderId="0" xfId="0" applyFont="1" applyAlignment="1" quotePrefix="1">
      <alignment horizontal="center" vertical="top"/>
    </xf>
    <xf numFmtId="0" fontId="42" fillId="0" borderId="0" xfId="0" applyFont="1" applyAlignment="1">
      <alignment horizontal="center"/>
    </xf>
    <xf numFmtId="3" fontId="46" fillId="0" borderId="0" xfId="0" applyNumberFormat="1" applyFont="1" applyFill="1" applyAlignment="1">
      <alignment horizontal="center" vertical="center" shrinkToFit="1"/>
    </xf>
    <xf numFmtId="3" fontId="11" fillId="0" borderId="0" xfId="0" applyNumberFormat="1" applyFont="1" applyFill="1" applyAlignment="1">
      <alignment vertical="center" shrinkToFit="1"/>
    </xf>
    <xf numFmtId="3" fontId="4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 vertical="center" shrinkToFit="1"/>
    </xf>
    <xf numFmtId="3" fontId="46" fillId="0" borderId="30" xfId="0" applyNumberFormat="1" applyFont="1" applyFill="1" applyBorder="1" applyAlignment="1">
      <alignment horizontal="center" vertical="center" shrinkToFit="1"/>
    </xf>
    <xf numFmtId="3" fontId="46" fillId="0" borderId="90" xfId="0" applyNumberFormat="1" applyFont="1" applyFill="1" applyBorder="1" applyAlignment="1">
      <alignment horizontal="center" vertical="center" shrinkToFit="1"/>
    </xf>
    <xf numFmtId="3" fontId="11" fillId="0" borderId="31" xfId="0" applyNumberFormat="1" applyFont="1" applyFill="1" applyBorder="1" applyAlignment="1">
      <alignment vertical="center" shrinkToFit="1"/>
    </xf>
    <xf numFmtId="3" fontId="13" fillId="0" borderId="120" xfId="0" applyNumberFormat="1" applyFont="1" applyFill="1" applyBorder="1" applyAlignment="1">
      <alignment horizontal="center" vertical="center" shrinkToFit="1"/>
    </xf>
    <xf numFmtId="3" fontId="46" fillId="0" borderId="24" xfId="0" applyNumberFormat="1" applyFont="1" applyFill="1" applyBorder="1" applyAlignment="1">
      <alignment horizontal="center" vertical="center" shrinkToFit="1"/>
    </xf>
    <xf numFmtId="3" fontId="46" fillId="0" borderId="25" xfId="0" applyNumberFormat="1" applyFont="1" applyFill="1" applyBorder="1" applyAlignment="1">
      <alignment horizontal="center" vertical="center" shrinkToFit="1"/>
    </xf>
    <xf numFmtId="3" fontId="11" fillId="0" borderId="33" xfId="0" applyNumberFormat="1" applyFont="1" applyFill="1" applyBorder="1" applyAlignment="1">
      <alignment vertical="center" shrinkToFit="1"/>
    </xf>
    <xf numFmtId="3" fontId="13" fillId="0" borderId="34" xfId="0" applyNumberFormat="1" applyFont="1" applyFill="1" applyBorder="1" applyAlignment="1">
      <alignment horizontal="center" vertical="center" shrinkToFit="1"/>
    </xf>
    <xf numFmtId="3" fontId="13" fillId="0" borderId="51" xfId="0" applyNumberFormat="1" applyFont="1" applyFill="1" applyBorder="1" applyAlignment="1">
      <alignment horizontal="center" vertical="center" shrinkToFit="1"/>
    </xf>
    <xf numFmtId="3" fontId="48" fillId="0" borderId="35" xfId="0" applyNumberFormat="1" applyFont="1" applyFill="1" applyBorder="1" applyAlignment="1">
      <alignment horizontal="center" vertical="center" shrinkToFit="1"/>
    </xf>
    <xf numFmtId="3" fontId="48" fillId="0" borderId="43" xfId="0" applyNumberFormat="1" applyFont="1" applyFill="1" applyBorder="1" applyAlignment="1">
      <alignment horizontal="center" vertical="center" shrinkToFit="1"/>
    </xf>
    <xf numFmtId="3" fontId="48" fillId="0" borderId="43" xfId="0" applyNumberFormat="1" applyFont="1" applyFill="1" applyBorder="1" applyAlignment="1">
      <alignment vertical="center" shrinkToFit="1"/>
    </xf>
    <xf numFmtId="3" fontId="48" fillId="0" borderId="37" xfId="0" applyNumberFormat="1" applyFont="1" applyFill="1" applyBorder="1" applyAlignment="1">
      <alignment vertical="center" shrinkToFit="1"/>
    </xf>
    <xf numFmtId="3" fontId="48" fillId="0" borderId="32" xfId="0" applyNumberFormat="1" applyFont="1" applyFill="1" applyBorder="1" applyAlignment="1">
      <alignment vertical="center" shrinkToFit="1"/>
    </xf>
    <xf numFmtId="3" fontId="48" fillId="0" borderId="67" xfId="0" applyNumberFormat="1" applyFont="1" applyFill="1" applyBorder="1" applyAlignment="1">
      <alignment vertical="center" shrinkToFit="1"/>
    </xf>
    <xf numFmtId="3" fontId="15" fillId="0" borderId="35" xfId="0" applyNumberFormat="1" applyFont="1" applyFill="1" applyBorder="1" applyAlignment="1">
      <alignment horizontal="center" vertical="center" shrinkToFit="1"/>
    </xf>
    <xf numFmtId="3" fontId="15" fillId="0" borderId="43" xfId="0" applyNumberFormat="1" applyFont="1" applyFill="1" applyBorder="1" applyAlignment="1">
      <alignment horizontal="center" vertical="center" shrinkToFit="1"/>
    </xf>
    <xf numFmtId="3" fontId="11" fillId="0" borderId="43" xfId="0" applyNumberFormat="1" applyFont="1" applyFill="1" applyBorder="1" applyAlignment="1">
      <alignment vertical="center" shrinkToFit="1"/>
    </xf>
    <xf numFmtId="3" fontId="11" fillId="0" borderId="37" xfId="0" applyNumberFormat="1" applyFont="1" applyFill="1" applyBorder="1" applyAlignment="1">
      <alignment vertical="center" shrinkToFit="1"/>
    </xf>
    <xf numFmtId="3" fontId="11" fillId="0" borderId="47" xfId="0" applyNumberFormat="1" applyFont="1" applyFill="1" applyBorder="1" applyAlignment="1">
      <alignment vertical="center" shrinkToFit="1"/>
    </xf>
    <xf numFmtId="3" fontId="11" fillId="0" borderId="38" xfId="0" applyNumberFormat="1" applyFont="1" applyFill="1" applyBorder="1" applyAlignment="1">
      <alignment horizontal="justify" vertical="center" shrinkToFit="1"/>
    </xf>
    <xf numFmtId="3" fontId="11" fillId="0" borderId="38" xfId="0" applyNumberFormat="1" applyFont="1" applyFill="1" applyBorder="1" applyAlignment="1">
      <alignment vertical="center" shrinkToFit="1"/>
    </xf>
    <xf numFmtId="1" fontId="11" fillId="0" borderId="38" xfId="0" applyNumberFormat="1" applyFont="1" applyFill="1" applyBorder="1" applyAlignment="1">
      <alignment vertical="center" shrinkToFit="1"/>
    </xf>
    <xf numFmtId="3" fontId="13" fillId="0" borderId="38" xfId="0" applyNumberFormat="1" applyFont="1" applyFill="1" applyBorder="1" applyAlignment="1">
      <alignment vertical="center" shrinkToFit="1"/>
    </xf>
    <xf numFmtId="3" fontId="13" fillId="0" borderId="63" xfId="0" applyNumberFormat="1" applyFont="1" applyFill="1" applyBorder="1" applyAlignment="1">
      <alignment vertical="center" shrinkToFit="1"/>
    </xf>
    <xf numFmtId="3" fontId="11" fillId="0" borderId="39" xfId="0" applyNumberFormat="1" applyFont="1" applyFill="1" applyBorder="1" applyAlignment="1">
      <alignment vertical="center" shrinkToFit="1"/>
    </xf>
    <xf numFmtId="1" fontId="11" fillId="0" borderId="39" xfId="0" applyNumberFormat="1" applyFont="1" applyFill="1" applyBorder="1" applyAlignment="1">
      <alignment vertical="center" shrinkToFit="1"/>
    </xf>
    <xf numFmtId="3" fontId="49" fillId="0" borderId="39" xfId="0" applyNumberFormat="1" applyFont="1" applyFill="1" applyBorder="1" applyAlignment="1">
      <alignment vertical="center" shrinkToFit="1"/>
    </xf>
    <xf numFmtId="3" fontId="13" fillId="0" borderId="39" xfId="0" applyNumberFormat="1" applyFont="1" applyFill="1" applyBorder="1" applyAlignment="1">
      <alignment vertical="center" shrinkToFit="1"/>
    </xf>
    <xf numFmtId="3" fontId="14" fillId="0" borderId="40" xfId="0" applyNumberFormat="1" applyFont="1" applyFill="1" applyBorder="1" applyAlignment="1">
      <alignment horizontal="center" vertical="center" shrinkToFit="1"/>
    </xf>
    <xf numFmtId="3" fontId="14" fillId="0" borderId="45" xfId="0" applyNumberFormat="1" applyFont="1" applyFill="1" applyBorder="1" applyAlignment="1">
      <alignment horizontal="center" vertical="center" shrinkToFit="1"/>
    </xf>
    <xf numFmtId="3" fontId="13" fillId="0" borderId="45" xfId="0" applyNumberFormat="1" applyFont="1" applyFill="1" applyBorder="1" applyAlignment="1">
      <alignment vertical="center" shrinkToFit="1"/>
    </xf>
    <xf numFmtId="3" fontId="13" fillId="0" borderId="41" xfId="0" applyNumberFormat="1" applyFont="1" applyFill="1" applyBorder="1" applyAlignment="1">
      <alignment vertical="center" shrinkToFit="1"/>
    </xf>
    <xf numFmtId="1" fontId="13" fillId="0" borderId="41" xfId="0" applyNumberFormat="1" applyFont="1" applyFill="1" applyBorder="1" applyAlignment="1">
      <alignment vertical="center" shrinkToFit="1"/>
    </xf>
    <xf numFmtId="3" fontId="13" fillId="0" borderId="46" xfId="0" applyNumberFormat="1" applyFont="1" applyFill="1" applyBorder="1" applyAlignment="1">
      <alignment vertical="center" shrinkToFit="1"/>
    </xf>
    <xf numFmtId="3" fontId="48" fillId="0" borderId="43" xfId="0" applyNumberFormat="1" applyFont="1" applyFill="1" applyBorder="1" applyAlignment="1">
      <alignment vertical="center"/>
    </xf>
    <xf numFmtId="3" fontId="50" fillId="0" borderId="37" xfId="0" applyNumberFormat="1" applyFont="1" applyFill="1" applyBorder="1" applyAlignment="1">
      <alignment vertical="center" shrinkToFit="1"/>
    </xf>
    <xf numFmtId="1" fontId="48" fillId="0" borderId="37" xfId="0" applyNumberFormat="1" applyFont="1" applyFill="1" applyBorder="1" applyAlignment="1">
      <alignment vertical="center" shrinkToFit="1"/>
    </xf>
    <xf numFmtId="3" fontId="50" fillId="0" borderId="121" xfId="0" applyNumberFormat="1" applyFont="1" applyFill="1" applyBorder="1" applyAlignment="1">
      <alignment vertical="center" shrinkToFit="1"/>
    </xf>
    <xf numFmtId="3" fontId="11" fillId="0" borderId="43" xfId="0" applyNumberFormat="1" applyFont="1" applyFill="1" applyBorder="1" applyAlignment="1">
      <alignment vertical="center"/>
    </xf>
    <xf numFmtId="3" fontId="49" fillId="0" borderId="37" xfId="0" applyNumberFormat="1" applyFont="1" applyFill="1" applyBorder="1" applyAlignment="1">
      <alignment vertical="center" shrinkToFit="1"/>
    </xf>
    <xf numFmtId="1" fontId="11" fillId="0" borderId="37" xfId="0" applyNumberFormat="1" applyFont="1" applyFill="1" applyBorder="1" applyAlignment="1">
      <alignment vertical="center" shrinkToFit="1"/>
    </xf>
    <xf numFmtId="3" fontId="49" fillId="0" borderId="47" xfId="0" applyNumberFormat="1" applyFont="1" applyFill="1" applyBorder="1" applyAlignment="1">
      <alignment vertical="center" shrinkToFit="1"/>
    </xf>
    <xf numFmtId="3" fontId="14" fillId="0" borderId="35" xfId="0" applyNumberFormat="1" applyFont="1" applyFill="1" applyBorder="1" applyAlignment="1">
      <alignment horizontal="center" vertical="center" shrinkToFit="1"/>
    </xf>
    <xf numFmtId="3" fontId="14" fillId="0" borderId="43" xfId="0" applyNumberFormat="1" applyFont="1" applyFill="1" applyBorder="1" applyAlignment="1">
      <alignment horizontal="center" vertical="center" shrinkToFit="1"/>
    </xf>
    <xf numFmtId="3" fontId="13" fillId="0" borderId="43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 shrinkToFit="1"/>
    </xf>
    <xf numFmtId="3" fontId="51" fillId="0" borderId="37" xfId="0" applyNumberFormat="1" applyFont="1" applyFill="1" applyBorder="1" applyAlignment="1">
      <alignment vertical="center" shrinkToFit="1"/>
    </xf>
    <xf numFmtId="1" fontId="13" fillId="0" borderId="37" xfId="0" applyNumberFormat="1" applyFont="1" applyFill="1" applyBorder="1" applyAlignment="1">
      <alignment vertical="center" shrinkToFit="1"/>
    </xf>
    <xf numFmtId="3" fontId="51" fillId="0" borderId="47" xfId="0" applyNumberFormat="1" applyFont="1" applyFill="1" applyBorder="1" applyAlignment="1">
      <alignment vertical="center" shrinkToFit="1"/>
    </xf>
    <xf numFmtId="3" fontId="11" fillId="0" borderId="38" xfId="0" applyNumberFormat="1" applyFont="1" applyFill="1" applyBorder="1" applyAlignment="1">
      <alignment vertical="center" wrapText="1"/>
    </xf>
    <xf numFmtId="3" fontId="49" fillId="0" borderId="38" xfId="0" applyNumberFormat="1" applyFont="1" applyFill="1" applyBorder="1" applyAlignment="1">
      <alignment vertical="center" shrinkToFit="1"/>
    </xf>
    <xf numFmtId="3" fontId="11" fillId="0" borderId="39" xfId="0" applyNumberFormat="1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 wrapText="1"/>
    </xf>
    <xf numFmtId="1" fontId="51" fillId="0" borderId="37" xfId="0" applyNumberFormat="1" applyFont="1" applyFill="1" applyBorder="1" applyAlignment="1">
      <alignment vertical="center" shrinkToFit="1"/>
    </xf>
    <xf numFmtId="3" fontId="51" fillId="0" borderId="121" xfId="0" applyNumberFormat="1" applyFont="1" applyFill="1" applyBorder="1" applyAlignment="1">
      <alignment vertical="center" shrinkToFit="1"/>
    </xf>
    <xf numFmtId="1" fontId="49" fillId="0" borderId="37" xfId="0" applyNumberFormat="1" applyFont="1" applyFill="1" applyBorder="1" applyAlignment="1">
      <alignment vertical="center" shrinkToFit="1"/>
    </xf>
    <xf numFmtId="3" fontId="11" fillId="0" borderId="38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 wrapText="1"/>
    </xf>
    <xf numFmtId="3" fontId="14" fillId="0" borderId="35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vertical="center" shrinkToFit="1"/>
    </xf>
    <xf numFmtId="3" fontId="14" fillId="0" borderId="112" xfId="0" applyNumberFormat="1" applyFont="1" applyFill="1" applyBorder="1" applyAlignment="1">
      <alignment horizontal="center" vertical="center" shrinkToFit="1"/>
    </xf>
    <xf numFmtId="3" fontId="14" fillId="0" borderId="92" xfId="0" applyNumberFormat="1" applyFont="1" applyFill="1" applyBorder="1" applyAlignment="1">
      <alignment horizontal="center" vertical="center" shrinkToFit="1"/>
    </xf>
    <xf numFmtId="3" fontId="13" fillId="0" borderId="92" xfId="0" applyNumberFormat="1" applyFont="1" applyFill="1" applyBorder="1" applyAlignment="1">
      <alignment vertical="center" shrinkToFit="1"/>
    </xf>
    <xf numFmtId="3" fontId="51" fillId="0" borderId="95" xfId="0" applyNumberFormat="1" applyFont="1" applyFill="1" applyBorder="1" applyAlignment="1">
      <alignment vertical="center" shrinkToFit="1"/>
    </xf>
    <xf numFmtId="1" fontId="13" fillId="0" borderId="95" xfId="0" applyNumberFormat="1" applyFont="1" applyFill="1" applyBorder="1" applyAlignment="1">
      <alignment vertical="center" shrinkToFit="1"/>
    </xf>
    <xf numFmtId="3" fontId="13" fillId="0" borderId="95" xfId="0" applyNumberFormat="1" applyFont="1" applyFill="1" applyBorder="1" applyAlignment="1">
      <alignment vertical="center" shrinkToFit="1"/>
    </xf>
    <xf numFmtId="3" fontId="13" fillId="0" borderId="64" xfId="0" applyNumberFormat="1" applyFont="1" applyFill="1" applyBorder="1" applyAlignment="1">
      <alignment vertical="center" shrinkToFit="1"/>
    </xf>
    <xf numFmtId="3" fontId="51" fillId="0" borderId="32" xfId="0" applyNumberFormat="1" applyFont="1" applyFill="1" applyBorder="1" applyAlignment="1">
      <alignment vertical="center" shrinkToFit="1"/>
    </xf>
    <xf numFmtId="3" fontId="51" fillId="0" borderId="67" xfId="0" applyNumberFormat="1" applyFont="1" applyFill="1" applyBorder="1" applyAlignment="1">
      <alignment vertical="center" shrinkToFit="1"/>
    </xf>
    <xf numFmtId="49" fontId="11" fillId="0" borderId="39" xfId="0" applyNumberFormat="1" applyFont="1" applyFill="1" applyBorder="1" applyAlignment="1">
      <alignment horizontal="left" shrinkToFit="1"/>
    </xf>
    <xf numFmtId="49" fontId="11" fillId="0" borderId="37" xfId="0" applyNumberFormat="1" applyFont="1" applyFill="1" applyBorder="1" applyAlignment="1">
      <alignment horizontal="left" shrinkToFit="1"/>
    </xf>
    <xf numFmtId="3" fontId="13" fillId="0" borderId="49" xfId="0" applyNumberFormat="1" applyFont="1" applyFill="1" applyBorder="1" applyAlignment="1">
      <alignment vertical="center" shrinkToFit="1"/>
    </xf>
    <xf numFmtId="3" fontId="13" fillId="0" borderId="47" xfId="0" applyNumberFormat="1" applyFont="1" applyFill="1" applyBorder="1" applyAlignment="1">
      <alignment vertical="center" shrinkToFit="1"/>
    </xf>
    <xf numFmtId="3" fontId="13" fillId="0" borderId="43" xfId="0" applyNumberFormat="1" applyFont="1" applyFill="1" applyBorder="1" applyAlignment="1">
      <alignment vertical="center" shrinkToFit="1"/>
    </xf>
    <xf numFmtId="3" fontId="15" fillId="0" borderId="43" xfId="0" applyNumberFormat="1" applyFont="1" applyFill="1" applyBorder="1" applyAlignment="1">
      <alignment horizontal="center" vertical="center"/>
    </xf>
    <xf numFmtId="3" fontId="51" fillId="0" borderId="41" xfId="0" applyNumberFormat="1" applyFont="1" applyFill="1" applyBorder="1" applyAlignment="1">
      <alignment vertical="center" shrinkToFit="1"/>
    </xf>
    <xf numFmtId="3" fontId="52" fillId="0" borderId="40" xfId="0" applyNumberFormat="1" applyFont="1" applyFill="1" applyBorder="1" applyAlignment="1">
      <alignment horizontal="left" vertical="center"/>
    </xf>
    <xf numFmtId="3" fontId="52" fillId="0" borderId="45" xfId="0" applyNumberFormat="1" applyFont="1" applyFill="1" applyBorder="1" applyAlignment="1">
      <alignment horizontal="center" vertical="center" shrinkToFit="1"/>
    </xf>
    <xf numFmtId="3" fontId="53" fillId="0" borderId="45" xfId="0" applyNumberFormat="1" applyFont="1" applyFill="1" applyBorder="1" applyAlignment="1">
      <alignment vertical="center"/>
    </xf>
    <xf numFmtId="3" fontId="53" fillId="0" borderId="41" xfId="0" applyNumberFormat="1" applyFont="1" applyFill="1" applyBorder="1" applyAlignment="1">
      <alignment vertical="center" shrinkToFit="1"/>
    </xf>
    <xf numFmtId="3" fontId="53" fillId="0" borderId="46" xfId="0" applyNumberFormat="1" applyFont="1" applyFill="1" applyBorder="1" applyAlignment="1">
      <alignment vertical="center" shrinkToFit="1"/>
    </xf>
    <xf numFmtId="3" fontId="14" fillId="0" borderId="50" xfId="0" applyNumberFormat="1" applyFont="1" applyFill="1" applyBorder="1" applyAlignment="1">
      <alignment horizontal="left" vertical="center"/>
    </xf>
    <xf numFmtId="3" fontId="14" fillId="0" borderId="122" xfId="0" applyNumberFormat="1" applyFont="1" applyFill="1" applyBorder="1" applyAlignment="1">
      <alignment horizontal="center" vertical="center" shrinkToFit="1"/>
    </xf>
    <xf numFmtId="3" fontId="13" fillId="0" borderId="122" xfId="0" applyNumberFormat="1" applyFont="1" applyFill="1" applyBorder="1" applyAlignment="1">
      <alignment vertical="center" shrinkToFit="1"/>
    </xf>
    <xf numFmtId="3" fontId="13" fillId="0" borderId="110" xfId="0" applyNumberFormat="1" applyFont="1" applyFill="1" applyBorder="1" applyAlignment="1">
      <alignment vertical="center" shrinkToFit="1"/>
    </xf>
    <xf numFmtId="3" fontId="51" fillId="0" borderId="110" xfId="0" applyNumberFormat="1" applyFont="1" applyFill="1" applyBorder="1" applyAlignment="1">
      <alignment vertical="center" shrinkToFit="1"/>
    </xf>
    <xf numFmtId="3" fontId="51" fillId="0" borderId="108" xfId="0" applyNumberFormat="1" applyFont="1" applyFill="1" applyBorder="1" applyAlignment="1">
      <alignment vertical="center" shrinkToFit="1"/>
    </xf>
    <xf numFmtId="3" fontId="14" fillId="0" borderId="35" xfId="0" applyNumberFormat="1" applyFont="1" applyFill="1" applyBorder="1" applyAlignment="1">
      <alignment horizontal="left" vertical="center"/>
    </xf>
    <xf numFmtId="3" fontId="46" fillId="0" borderId="53" xfId="0" applyNumberFormat="1" applyFont="1" applyFill="1" applyBorder="1" applyAlignment="1">
      <alignment horizontal="center" vertical="center" shrinkToFit="1"/>
    </xf>
    <xf numFmtId="3" fontId="46" fillId="0" borderId="54" xfId="0" applyNumberFormat="1" applyFont="1" applyFill="1" applyBorder="1" applyAlignment="1">
      <alignment horizontal="center" vertical="center" shrinkToFit="1"/>
    </xf>
    <xf numFmtId="3" fontId="11" fillId="0" borderId="123" xfId="0" applyNumberFormat="1" applyFont="1" applyFill="1" applyBorder="1" applyAlignment="1">
      <alignment vertical="center" shrinkToFit="1"/>
    </xf>
    <xf numFmtId="3" fontId="11" fillId="0" borderId="55" xfId="0" applyNumberFormat="1" applyFont="1" applyFill="1" applyBorder="1" applyAlignment="1">
      <alignment vertical="center" shrinkToFit="1"/>
    </xf>
    <xf numFmtId="3" fontId="49" fillId="0" borderId="55" xfId="0" applyNumberFormat="1" applyFont="1" applyFill="1" applyBorder="1" applyAlignment="1">
      <alignment vertical="center" shrinkToFit="1"/>
    </xf>
    <xf numFmtId="3" fontId="51" fillId="0" borderId="55" xfId="0" applyNumberFormat="1" applyFont="1" applyFill="1" applyBorder="1" applyAlignment="1">
      <alignment vertical="center" shrinkToFit="1"/>
    </xf>
    <xf numFmtId="3" fontId="13" fillId="0" borderId="35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3" fontId="13" fillId="0" borderId="37" xfId="0" applyNumberFormat="1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/>
    </xf>
    <xf numFmtId="3" fontId="46" fillId="0" borderId="50" xfId="0" applyNumberFormat="1" applyFont="1" applyFill="1" applyBorder="1" applyAlignment="1">
      <alignment horizontal="center" vertical="center" shrinkToFit="1"/>
    </xf>
    <xf numFmtId="3" fontId="46" fillId="0" borderId="109" xfId="0" applyNumberFormat="1" applyFont="1" applyFill="1" applyBorder="1" applyAlignment="1">
      <alignment horizontal="center" vertical="center" shrinkToFit="1"/>
    </xf>
    <xf numFmtId="3" fontId="11" fillId="0" borderId="122" xfId="0" applyNumberFormat="1" applyFont="1" applyFill="1" applyBorder="1" applyAlignment="1">
      <alignment vertical="center" shrinkToFit="1"/>
    </xf>
    <xf numFmtId="3" fontId="11" fillId="0" borderId="110" xfId="0" applyNumberFormat="1" applyFont="1" applyFill="1" applyBorder="1" applyAlignment="1">
      <alignment vertical="center" shrinkToFit="1"/>
    </xf>
    <xf numFmtId="3" fontId="49" fillId="0" borderId="110" xfId="0" applyNumberFormat="1" applyFont="1" applyFill="1" applyBorder="1" applyAlignment="1">
      <alignment vertical="center" shrinkToFit="1"/>
    </xf>
    <xf numFmtId="3" fontId="46" fillId="0" borderId="35" xfId="0" applyNumberFormat="1" applyFont="1" applyFill="1" applyBorder="1" applyAlignment="1">
      <alignment horizontal="center" vertical="center" shrinkToFit="1"/>
    </xf>
    <xf numFmtId="3" fontId="46" fillId="0" borderId="0" xfId="0" applyNumberFormat="1" applyFont="1" applyFill="1" applyBorder="1" applyAlignment="1">
      <alignment horizontal="center" vertical="center" shrinkToFit="1"/>
    </xf>
    <xf numFmtId="3" fontId="13" fillId="0" borderId="47" xfId="0" applyNumberFormat="1" applyFont="1" applyFill="1" applyBorder="1" applyAlignment="1">
      <alignment horizontal="center" vertical="center" shrinkToFit="1"/>
    </xf>
    <xf numFmtId="3" fontId="13" fillId="0" borderId="32" xfId="0" applyNumberFormat="1" applyFont="1" applyFill="1" applyBorder="1" applyAlignment="1">
      <alignment horizontal="center" vertical="center" shrinkToFit="1"/>
    </xf>
    <xf numFmtId="3" fontId="13" fillId="0" borderId="67" xfId="0" applyNumberFormat="1" applyFont="1" applyFill="1" applyBorder="1" applyAlignment="1">
      <alignment horizontal="center" vertical="center" shrinkToFit="1"/>
    </xf>
    <xf numFmtId="3" fontId="13" fillId="0" borderId="97" xfId="0" applyNumberFormat="1" applyFont="1" applyFill="1" applyBorder="1" applyAlignment="1">
      <alignment vertical="center" shrinkToFit="1"/>
    </xf>
    <xf numFmtId="3" fontId="11" fillId="0" borderId="97" xfId="0" applyNumberFormat="1" applyFont="1" applyFill="1" applyBorder="1" applyAlignment="1">
      <alignment vertical="center" shrinkToFit="1"/>
    </xf>
    <xf numFmtId="3" fontId="13" fillId="0" borderId="124" xfId="0" applyNumberFormat="1" applyFont="1" applyFill="1" applyBorder="1" applyAlignment="1">
      <alignment vertical="center" shrinkToFit="1"/>
    </xf>
    <xf numFmtId="3" fontId="11" fillId="0" borderId="49" xfId="0" applyNumberFormat="1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horizontal="left" vertical="center" wrapText="1"/>
    </xf>
    <xf numFmtId="3" fontId="13" fillId="0" borderId="125" xfId="0" applyNumberFormat="1" applyFont="1" applyFill="1" applyBorder="1" applyAlignment="1">
      <alignment vertical="center" shrinkToFit="1"/>
    </xf>
    <xf numFmtId="3" fontId="13" fillId="0" borderId="45" xfId="0" applyNumberFormat="1" applyFont="1" applyFill="1" applyBorder="1" applyAlignment="1">
      <alignment vertical="center"/>
    </xf>
    <xf numFmtId="3" fontId="46" fillId="0" borderId="123" xfId="0" applyNumberFormat="1" applyFont="1" applyFill="1" applyBorder="1" applyAlignment="1">
      <alignment horizontal="center" vertical="center" shrinkToFit="1"/>
    </xf>
    <xf numFmtId="3" fontId="11" fillId="0" borderId="123" xfId="0" applyNumberFormat="1" applyFont="1" applyFill="1" applyBorder="1" applyAlignment="1">
      <alignment vertical="center"/>
    </xf>
    <xf numFmtId="3" fontId="11" fillId="0" borderId="126" xfId="0" applyNumberFormat="1" applyFont="1" applyFill="1" applyBorder="1" applyAlignment="1">
      <alignment vertical="center" shrinkToFit="1"/>
    </xf>
    <xf numFmtId="3" fontId="11" fillId="0" borderId="37" xfId="0" applyNumberFormat="1" applyFont="1" applyFill="1" applyBorder="1" applyAlignment="1">
      <alignment vertical="center"/>
    </xf>
    <xf numFmtId="3" fontId="13" fillId="0" borderId="98" xfId="0" applyNumberFormat="1" applyFont="1" applyFill="1" applyBorder="1" applyAlignment="1">
      <alignment vertical="center" shrinkToFit="1"/>
    </xf>
    <xf numFmtId="3" fontId="15" fillId="0" borderId="0" xfId="0" applyNumberFormat="1" applyFont="1" applyFill="1" applyBorder="1" applyAlignment="1">
      <alignment horizontal="center" vertical="center" shrinkToFit="1"/>
    </xf>
    <xf numFmtId="3" fontId="15" fillId="0" borderId="53" xfId="0" applyNumberFormat="1" applyFont="1" applyFill="1" applyBorder="1" applyAlignment="1">
      <alignment horizontal="center" vertical="center" shrinkToFit="1"/>
    </xf>
    <xf numFmtId="3" fontId="15" fillId="0" borderId="54" xfId="0" applyNumberFormat="1" applyFont="1" applyFill="1" applyBorder="1" applyAlignment="1">
      <alignment horizontal="center" vertical="center" shrinkToFit="1"/>
    </xf>
    <xf numFmtId="3" fontId="13" fillId="0" borderId="126" xfId="0" applyNumberFormat="1" applyFont="1" applyFill="1" applyBorder="1" applyAlignment="1">
      <alignment vertical="center" shrinkToFit="1"/>
    </xf>
    <xf numFmtId="3" fontId="13" fillId="0" borderId="121" xfId="0" applyNumberFormat="1" applyFont="1" applyFill="1" applyBorder="1" applyAlignment="1">
      <alignment vertical="center" shrinkToFit="1"/>
    </xf>
    <xf numFmtId="3" fontId="15" fillId="0" borderId="50" xfId="0" applyNumberFormat="1" applyFont="1" applyFill="1" applyBorder="1" applyAlignment="1">
      <alignment horizontal="center" vertical="center" shrinkToFit="1"/>
    </xf>
    <xf numFmtId="3" fontId="15" fillId="0" borderId="109" xfId="0" applyNumberFormat="1" applyFont="1" applyFill="1" applyBorder="1" applyAlignment="1">
      <alignment horizontal="center" vertical="center" shrinkToFit="1"/>
    </xf>
    <xf numFmtId="3" fontId="13" fillId="0" borderId="127" xfId="0" applyNumberFormat="1" applyFont="1" applyFill="1" applyBorder="1" applyAlignment="1">
      <alignment vertical="center" shrinkToFit="1"/>
    </xf>
    <xf numFmtId="0" fontId="54" fillId="0" borderId="0" xfId="0" applyFont="1" applyFill="1" applyAlignment="1">
      <alignment horizontal="left" shrinkToFit="1"/>
    </xf>
    <xf numFmtId="0" fontId="55" fillId="0" borderId="0" xfId="0" applyFont="1" applyFill="1" applyAlignment="1">
      <alignment horizontal="left" shrinkToFit="1"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 horizontal="left" shrinkToFit="1"/>
    </xf>
    <xf numFmtId="0" fontId="56" fillId="0" borderId="0" xfId="0" applyFont="1" applyFill="1" applyAlignment="1">
      <alignment shrinkToFit="1"/>
    </xf>
    <xf numFmtId="3" fontId="14" fillId="0" borderId="18" xfId="0" applyNumberFormat="1" applyFont="1" applyFill="1" applyBorder="1" applyAlignment="1">
      <alignment horizontal="center" shrinkToFit="1"/>
    </xf>
    <xf numFmtId="0" fontId="47" fillId="0" borderId="40" xfId="0" applyFont="1" applyFill="1" applyBorder="1" applyAlignment="1">
      <alignment horizontal="center" vertical="center" shrinkToFit="1"/>
    </xf>
    <xf numFmtId="0" fontId="47" fillId="0" borderId="56" xfId="0" applyFont="1" applyFill="1" applyBorder="1" applyAlignment="1">
      <alignment horizontal="center" vertical="center" shrinkToFit="1"/>
    </xf>
    <xf numFmtId="3" fontId="47" fillId="0" borderId="41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3" fontId="47" fillId="0" borderId="0" xfId="0" applyNumberFormat="1" applyFont="1" applyFill="1" applyBorder="1" applyAlignment="1">
      <alignment horizontal="center" vertical="center" shrinkToFit="1"/>
    </xf>
    <xf numFmtId="0" fontId="5" fillId="0" borderId="128" xfId="0" applyFont="1" applyFill="1" applyBorder="1" applyAlignment="1">
      <alignment horizontal="center" shrinkToFit="1"/>
    </xf>
    <xf numFmtId="0" fontId="5" fillId="0" borderId="129" xfId="0" applyFont="1" applyFill="1" applyBorder="1" applyAlignment="1">
      <alignment horizontal="center" shrinkToFit="1"/>
    </xf>
    <xf numFmtId="0" fontId="5" fillId="0" borderId="115" xfId="0" applyFont="1" applyFill="1" applyBorder="1" applyAlignment="1">
      <alignment horizontal="center" shrinkToFit="1"/>
    </xf>
    <xf numFmtId="0" fontId="10" fillId="0" borderId="40" xfId="0" applyFont="1" applyFill="1" applyBorder="1" applyAlignment="1">
      <alignment horizontal="left" vertical="center"/>
    </xf>
    <xf numFmtId="0" fontId="10" fillId="0" borderId="130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 shrinkToFit="1"/>
    </xf>
    <xf numFmtId="0" fontId="10" fillId="0" borderId="56" xfId="0" applyFont="1" applyFill="1" applyBorder="1" applyAlignment="1">
      <alignment horizontal="left" vertical="center" shrinkToFit="1"/>
    </xf>
    <xf numFmtId="0" fontId="14" fillId="32" borderId="128" xfId="0" applyFont="1" applyFill="1" applyBorder="1" applyAlignment="1">
      <alignment horizontal="center" vertical="center" shrinkToFit="1"/>
    </xf>
    <xf numFmtId="0" fontId="14" fillId="32" borderId="129" xfId="0" applyFont="1" applyFill="1" applyBorder="1" applyAlignment="1">
      <alignment horizontal="center" vertical="center" shrinkToFit="1"/>
    </xf>
    <xf numFmtId="0" fontId="14" fillId="32" borderId="115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justify" vertical="center" shrinkToFit="1"/>
    </xf>
    <xf numFmtId="3" fontId="18" fillId="0" borderId="128" xfId="0" applyNumberFormat="1" applyFont="1" applyFill="1" applyBorder="1" applyAlignment="1">
      <alignment horizontal="center" vertical="center"/>
    </xf>
    <xf numFmtId="3" fontId="18" fillId="0" borderId="129" xfId="0" applyNumberFormat="1" applyFont="1" applyFill="1" applyBorder="1" applyAlignment="1">
      <alignment horizontal="center" vertical="center"/>
    </xf>
    <xf numFmtId="3" fontId="18" fillId="0" borderId="131" xfId="0" applyNumberFormat="1" applyFont="1" applyFill="1" applyBorder="1" applyAlignment="1">
      <alignment horizontal="center" vertical="center"/>
    </xf>
    <xf numFmtId="3" fontId="18" fillId="32" borderId="128" xfId="0" applyNumberFormat="1" applyFont="1" applyFill="1" applyBorder="1" applyAlignment="1">
      <alignment horizontal="center" vertical="center"/>
    </xf>
    <xf numFmtId="3" fontId="18" fillId="32" borderId="129" xfId="0" applyNumberFormat="1" applyFont="1" applyFill="1" applyBorder="1" applyAlignment="1">
      <alignment horizontal="center" vertical="center"/>
    </xf>
    <xf numFmtId="3" fontId="18" fillId="32" borderId="115" xfId="0" applyNumberFormat="1" applyFont="1" applyFill="1" applyBorder="1" applyAlignment="1">
      <alignment horizontal="center" vertical="center"/>
    </xf>
    <xf numFmtId="3" fontId="18" fillId="0" borderId="112" xfId="0" applyNumberFormat="1" applyFont="1" applyFill="1" applyBorder="1" applyAlignment="1">
      <alignment horizontal="center" vertical="center"/>
    </xf>
    <xf numFmtId="3" fontId="18" fillId="0" borderId="82" xfId="0" applyNumberFormat="1" applyFont="1" applyFill="1" applyBorder="1" applyAlignment="1">
      <alignment horizontal="center" vertical="center"/>
    </xf>
    <xf numFmtId="3" fontId="18" fillId="0" borderId="92" xfId="0" applyNumberFormat="1" applyFont="1" applyFill="1" applyBorder="1" applyAlignment="1">
      <alignment horizontal="center" vertical="center"/>
    </xf>
    <xf numFmtId="3" fontId="18" fillId="0" borderId="88" xfId="0" applyNumberFormat="1" applyFont="1" applyFill="1" applyBorder="1" applyAlignment="1">
      <alignment horizontal="center" vertical="center"/>
    </xf>
    <xf numFmtId="3" fontId="18" fillId="0" borderId="32" xfId="0" applyNumberFormat="1" applyFont="1" applyFill="1" applyBorder="1" applyAlignment="1">
      <alignment horizontal="center" vertical="center"/>
    </xf>
    <xf numFmtId="3" fontId="18" fillId="0" borderId="66" xfId="0" applyNumberFormat="1" applyFont="1" applyFill="1" applyBorder="1" applyAlignment="1">
      <alignment horizontal="center" vertical="center"/>
    </xf>
    <xf numFmtId="3" fontId="18" fillId="0" borderId="37" xfId="0" applyNumberFormat="1" applyFont="1" applyFill="1" applyBorder="1" applyAlignment="1">
      <alignment horizontal="center" vertical="center"/>
    </xf>
    <xf numFmtId="3" fontId="18" fillId="0" borderId="83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120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3" xfId="0" applyFont="1" applyBorder="1" applyAlignment="1">
      <alignment horizontal="center" vertical="center" wrapText="1"/>
    </xf>
    <xf numFmtId="0" fontId="18" fillId="0" borderId="96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" fontId="18" fillId="0" borderId="78" xfId="0" applyNumberFormat="1" applyFont="1" applyFill="1" applyBorder="1" applyAlignment="1">
      <alignment horizontal="center" vertical="center"/>
    </xf>
    <xf numFmtId="3" fontId="18" fillId="0" borderId="73" xfId="0" applyNumberFormat="1" applyFont="1" applyFill="1" applyBorder="1" applyAlignment="1">
      <alignment horizontal="center" vertical="center"/>
    </xf>
    <xf numFmtId="3" fontId="18" fillId="0" borderId="79" xfId="0" applyNumberFormat="1" applyFont="1" applyFill="1" applyBorder="1" applyAlignment="1">
      <alignment horizontal="center" vertical="center"/>
    </xf>
    <xf numFmtId="3" fontId="18" fillId="0" borderId="71" xfId="0" applyNumberFormat="1" applyFont="1" applyFill="1" applyBorder="1" applyAlignment="1">
      <alignment horizontal="center" vertical="center"/>
    </xf>
    <xf numFmtId="3" fontId="32" fillId="0" borderId="32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3" fontId="18" fillId="0" borderId="94" xfId="0" applyNumberFormat="1" applyFont="1" applyFill="1" applyBorder="1" applyAlignment="1">
      <alignment horizontal="left" vertical="center"/>
    </xf>
    <xf numFmtId="3" fontId="18" fillId="0" borderId="93" xfId="0" applyNumberFormat="1" applyFont="1" applyFill="1" applyBorder="1" applyAlignment="1">
      <alignment horizontal="left" vertical="center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31" xfId="0" applyNumberFormat="1" applyFont="1" applyFill="1" applyBorder="1" applyAlignment="1">
      <alignment horizontal="center" vertical="center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24" xfId="0" applyNumberFormat="1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>
      <alignment horizontal="center" vertical="center"/>
    </xf>
    <xf numFmtId="3" fontId="10" fillId="0" borderId="121" xfId="0" applyNumberFormat="1" applyFont="1" applyFill="1" applyBorder="1" applyAlignment="1">
      <alignment horizontal="right" vertical="center" shrinkToFit="1"/>
    </xf>
    <xf numFmtId="3" fontId="10" fillId="0" borderId="68" xfId="0" applyNumberFormat="1" applyFont="1" applyFill="1" applyBorder="1" applyAlignment="1">
      <alignment horizontal="right" vertical="center" shrinkToFit="1"/>
    </xf>
    <xf numFmtId="0" fontId="25" fillId="0" borderId="128" xfId="0" applyFont="1" applyFill="1" applyBorder="1" applyAlignment="1">
      <alignment horizontal="center" vertical="center" shrinkToFit="1"/>
    </xf>
    <xf numFmtId="0" fontId="25" fillId="0" borderId="129" xfId="0" applyFont="1" applyFill="1" applyBorder="1" applyAlignment="1">
      <alignment horizontal="center" vertical="center" shrinkToFit="1"/>
    </xf>
    <xf numFmtId="0" fontId="25" fillId="0" borderId="131" xfId="0" applyFont="1" applyFill="1" applyBorder="1" applyAlignment="1">
      <alignment horizontal="center" vertical="center" shrinkToFit="1"/>
    </xf>
    <xf numFmtId="0" fontId="13" fillId="0" borderId="112" xfId="0" applyFont="1" applyFill="1" applyBorder="1" applyAlignment="1">
      <alignment horizontal="left" vertical="center" shrinkToFit="1"/>
    </xf>
    <xf numFmtId="0" fontId="11" fillId="0" borderId="82" xfId="0" applyFont="1" applyFill="1" applyBorder="1" applyAlignment="1">
      <alignment horizontal="left" vertical="center" shrinkToFit="1"/>
    </xf>
    <xf numFmtId="0" fontId="11" fillId="0" borderId="92" xfId="0" applyFont="1" applyFill="1" applyBorder="1" applyAlignment="1">
      <alignment horizontal="left" vertical="center" shrinkToFit="1"/>
    </xf>
    <xf numFmtId="0" fontId="10" fillId="0" borderId="40" xfId="0" applyFont="1" applyFill="1" applyBorder="1" applyAlignment="1">
      <alignment vertical="center" shrinkToFit="1"/>
    </xf>
    <xf numFmtId="0" fontId="9" fillId="0" borderId="56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vertical="center" shrinkToFit="1"/>
    </xf>
    <xf numFmtId="0" fontId="17" fillId="0" borderId="0" xfId="0" applyFont="1" applyBorder="1" applyAlignment="1">
      <alignment horizontal="left" vertical="center" wrapText="1"/>
    </xf>
    <xf numFmtId="0" fontId="42" fillId="0" borderId="88" xfId="0" applyFont="1" applyBorder="1" applyAlignment="1">
      <alignment/>
    </xf>
    <xf numFmtId="0" fontId="0" fillId="0" borderId="78" xfId="0" applyBorder="1" applyAlignment="1">
      <alignment/>
    </xf>
    <xf numFmtId="0" fontId="43" fillId="0" borderId="3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0" fillId="0" borderId="10" xfId="0" applyBorder="1" applyAlignment="1">
      <alignment/>
    </xf>
    <xf numFmtId="0" fontId="43" fillId="0" borderId="8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3" fontId="13" fillId="0" borderId="43" xfId="0" applyNumberFormat="1" applyFont="1" applyFill="1" applyBorder="1" applyAlignment="1">
      <alignment horizontal="center" vertical="center" shrinkToFit="1"/>
    </xf>
    <xf numFmtId="3" fontId="13" fillId="0" borderId="3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128" xfId="0" applyNumberFormat="1" applyFont="1" applyFill="1" applyBorder="1" applyAlignment="1">
      <alignment horizontal="center" vertical="center" shrinkToFit="1"/>
    </xf>
    <xf numFmtId="3" fontId="13" fillId="0" borderId="129" xfId="0" applyNumberFormat="1" applyFont="1" applyFill="1" applyBorder="1" applyAlignment="1">
      <alignment horizontal="center" vertical="center" shrinkToFit="1"/>
    </xf>
    <xf numFmtId="3" fontId="13" fillId="0" borderId="120" xfId="0" applyNumberFormat="1" applyFont="1" applyFill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13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46" fillId="0" borderId="90" xfId="0" applyFont="1" applyBorder="1" applyAlignment="1">
      <alignment horizontal="center" vertical="center" shrinkToFit="1"/>
    </xf>
    <xf numFmtId="0" fontId="46" fillId="0" borderId="83" xfId="0" applyFont="1" applyBorder="1" applyAlignment="1">
      <alignment horizontal="center" vertical="center" shrinkToFit="1"/>
    </xf>
    <xf numFmtId="0" fontId="46" fillId="0" borderId="97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34" xfId="0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3" fontId="47" fillId="0" borderId="66" xfId="0" applyNumberFormat="1" applyFont="1" applyFill="1" applyBorder="1" applyAlignment="1">
      <alignment horizontal="center" vertical="center" shrinkToFit="1"/>
    </xf>
    <xf numFmtId="3" fontId="47" fillId="0" borderId="37" xfId="0" applyNumberFormat="1" applyFont="1" applyFill="1" applyBorder="1" applyAlignment="1">
      <alignment horizontal="center" vertical="center" shrinkToFit="1"/>
    </xf>
    <xf numFmtId="0" fontId="46" fillId="0" borderId="115" xfId="0" applyFont="1" applyBorder="1" applyAlignment="1">
      <alignment horizontal="center" vertical="center" shrinkToFit="1"/>
    </xf>
    <xf numFmtId="0" fontId="54" fillId="0" borderId="0" xfId="0" applyFont="1" applyFill="1" applyAlignment="1">
      <alignment horizontal="left" shrinkToFit="1"/>
    </xf>
    <xf numFmtId="0" fontId="55" fillId="0" borderId="0" xfId="0" applyFont="1" applyFill="1" applyAlignment="1">
      <alignment horizontal="left" shrinkToFit="1"/>
    </xf>
    <xf numFmtId="3" fontId="15" fillId="0" borderId="123" xfId="0" applyNumberFormat="1" applyFont="1" applyFill="1" applyBorder="1" applyAlignment="1">
      <alignment horizontal="center" vertical="center" shrinkToFit="1"/>
    </xf>
    <xf numFmtId="3" fontId="11" fillId="0" borderId="121" xfId="0" applyNumberFormat="1" applyFont="1" applyFill="1" applyBorder="1" applyAlignment="1">
      <alignment vertical="center" shrinkToFit="1"/>
    </xf>
    <xf numFmtId="3" fontId="13" fillId="0" borderId="108" xfId="0" applyNumberFormat="1" applyFont="1" applyFill="1" applyBorder="1" applyAlignment="1">
      <alignment vertical="center" shrinkToFit="1"/>
    </xf>
    <xf numFmtId="3" fontId="13" fillId="0" borderId="24" xfId="0" applyNumberFormat="1" applyFont="1" applyFill="1" applyBorder="1" applyAlignment="1">
      <alignment horizontal="center" vertical="center" shrinkToFit="1"/>
    </xf>
    <xf numFmtId="3" fontId="13" fillId="0" borderId="25" xfId="0" applyNumberFormat="1" applyFont="1" applyFill="1" applyBorder="1" applyAlignment="1">
      <alignment horizontal="center" vertical="center" shrinkToFit="1"/>
    </xf>
    <xf numFmtId="3" fontId="49" fillId="0" borderId="108" xfId="0" applyNumberFormat="1" applyFont="1" applyFill="1" applyBorder="1" applyAlignment="1">
      <alignment vertical="center" shrinkToFi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76200</xdr:rowOff>
    </xdr:from>
    <xdr:to>
      <xdr:col>10</xdr:col>
      <xdr:colOff>323850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0" y="76200"/>
          <a:ext cx="4657725" cy="571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1.  sz. melléklet a 3/2009. (II. 26.) önk. rendelethez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FELHASZNÁLÁSI ÜTEMTERV
</a:t>
          </a:r>
          <a:r>
            <a:rPr lang="en-US" cap="none" sz="700" b="1" i="0" u="none" baseline="0">
              <a:solidFill>
                <a:srgbClr val="000000"/>
              </a:solidFill>
            </a:rPr>
            <a:t>( Az előirányzatok felhasználásának alakulásáról 2008. évben 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66675"/>
          <a:ext cx="0" cy="6572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9. sz.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melléklet a ……/2005.(…..) önk. rendelethez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 VÁROS ÖNKORMÁNYZATÁNAK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2005. ÉS 2006.  ÉVI KÖLTSÉGVETÉSI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ELŐIRÁNYZATAINAK VÁRHATÓ ALAKULÁSÁRÓL.</a:t>
          </a:r>
        </a:p>
      </xdr:txBody>
    </xdr:sp>
    <xdr:clientData/>
  </xdr:twoCellAnchor>
  <xdr:twoCellAnchor>
    <xdr:from>
      <xdr:col>2</xdr:col>
      <xdr:colOff>828675</xdr:colOff>
      <xdr:row>0</xdr:row>
      <xdr:rowOff>95250</xdr:rowOff>
    </xdr:from>
    <xdr:to>
      <xdr:col>10</xdr:col>
      <xdr:colOff>9525</xdr:colOff>
      <xdr:row>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238250" y="95250"/>
          <a:ext cx="4733925" cy="5143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9. 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sz. 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melléklet </a:t>
          </a:r>
          <a:r>
            <a:rPr lang="en-US" cap="none" sz="600" b="0" i="0" u="none" baseline="0">
              <a:solidFill>
                <a:srgbClr val="000000"/>
              </a:solidFill>
            </a:rPr>
            <a:t>a 3/2009. (II. 26.) 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önk. rendelethez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 VÁROS 2009. ÉS 2010.  ÉVI KÖLTSÉGVETÉSI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ELŐIRÁNYZATAINAK VÁRHATÓ ALAKULÁSÁRÓL.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</xdr:row>
      <xdr:rowOff>9525</xdr:rowOff>
    </xdr:from>
    <xdr:to>
      <xdr:col>2</xdr:col>
      <xdr:colOff>0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66850" y="171450"/>
          <a:ext cx="3686175" cy="571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10. számú melléklet </a:t>
          </a:r>
          <a:r>
            <a:rPr lang="en-US" cap="none" sz="600" b="0" i="0" u="none" baseline="0">
              <a:solidFill>
                <a:srgbClr val="000000"/>
              </a:solidFill>
            </a:rPr>
            <a:t>a 3/2009. (II. 26.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2008. ÉVI EURÓPAI UNIÓS FORRÁS BEVONÁSÁVAL TERVEZETT BERUHÁZÁSA</a:t>
          </a:r>
        </a:p>
      </xdr:txBody>
    </xdr:sp>
    <xdr:clientData/>
  </xdr:twoCellAnchor>
  <xdr:twoCellAnchor>
    <xdr:from>
      <xdr:col>1</xdr:col>
      <xdr:colOff>1133475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66850" y="3381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66850" y="3381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66850" y="3381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66850" y="3381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66850" y="3381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66850" y="3381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66850" y="3381375"/>
          <a:ext cx="368617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466850" y="3381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66850" y="4905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66850" y="4905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66850" y="4905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66850" y="4905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66850" y="4905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466850" y="4905375"/>
          <a:ext cx="368617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466850" y="4905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466850" y="4905375"/>
          <a:ext cx="3686175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466850" y="4905375"/>
          <a:ext cx="368617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</xdr:row>
      <xdr:rowOff>9525</xdr:rowOff>
    </xdr:from>
    <xdr:to>
      <xdr:col>3</xdr:col>
      <xdr:colOff>571500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447800" y="142875"/>
          <a:ext cx="3181350" cy="6477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3/2009. (II.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26.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2008.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47800" y="0"/>
          <a:ext cx="320992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  /2007. (         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2007.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2</xdr:row>
      <xdr:rowOff>0</xdr:rowOff>
    </xdr:from>
    <xdr:to>
      <xdr:col>3</xdr:col>
      <xdr:colOff>600075</xdr:colOff>
      <xdr:row>5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447800" y="304800"/>
          <a:ext cx="3209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3/2009. (II. 26.) önk. rendelethez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2008. ÉVI KÖLTSÉGVETÉSÉNEK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43</xdr:row>
      <xdr:rowOff>9525</xdr:rowOff>
    </xdr:from>
    <xdr:to>
      <xdr:col>3</xdr:col>
      <xdr:colOff>600075</xdr:colOff>
      <xdr:row>46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447800" y="6086475"/>
          <a:ext cx="3209925" cy="5429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3/2009. (II. 26.) önk. rendelethez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2088. ÉVI KÖLTSÉGVETÉSÉNEK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87</xdr:row>
      <xdr:rowOff>9525</xdr:rowOff>
    </xdr:from>
    <xdr:to>
      <xdr:col>3</xdr:col>
      <xdr:colOff>600075</xdr:colOff>
      <xdr:row>90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447800" y="12306300"/>
          <a:ext cx="3209925" cy="5429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2./C számú melléklet a 3/2009. (II. 26.) önk. rendelethez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CIGÁNY KISEBBSÉGI ÖNKORMÁNYZAT 2008. ÉVI KÖLTSÉGVETÉSÉNEK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4</xdr:col>
      <xdr:colOff>647700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33475" y="0"/>
          <a:ext cx="39528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sz. melléklet a  /2007.(      ) önk. rendelethez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 sz. melléklet az  5/2007. (III.1.) önk.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2007.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BEVÉTELEI ÉS KIADÁSAI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600075</xdr:colOff>
      <xdr:row>0</xdr:row>
      <xdr:rowOff>47625</xdr:rowOff>
    </xdr:from>
    <xdr:to>
      <xdr:col>4</xdr:col>
      <xdr:colOff>647700</xdr:colOff>
      <xdr:row>4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1133475" y="47625"/>
          <a:ext cx="3952875" cy="676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sz. melléklet a 3/2009. (II.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26.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önk.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2008.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BEVÉTELEI ÉS KIADÁSAI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0</xdr:row>
      <xdr:rowOff>0</xdr:rowOff>
    </xdr:from>
    <xdr:to>
      <xdr:col>6</xdr:col>
      <xdr:colOff>228600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657350" y="0"/>
          <a:ext cx="3476625" cy="5238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számú melléklet a 3/2009. (II.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26.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önk.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INTÉZMÉNYEK 2008. ÉVI BEVÉTELEI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2476500</xdr:colOff>
      <xdr:row>0</xdr:row>
      <xdr:rowOff>0</xdr:rowOff>
    </xdr:from>
    <xdr:to>
      <xdr:col>9</xdr:col>
      <xdr:colOff>9525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009900" y="0"/>
          <a:ext cx="3990975" cy="7143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 számú melléklet a 3/2009. (II. 26.) önk. rendelethez
</a:t>
          </a:r>
          <a:r>
            <a:rPr lang="en-US" cap="none" sz="1000" b="0" i="0" u="none" baseline="0">
              <a:solidFill>
                <a:srgbClr val="000000"/>
              </a:solidFill>
            </a:rPr>
            <a:t>2008. ÉVI KÖLTSÉGVETÉSI KIADÁSOK
</a:t>
          </a:r>
          <a:r>
            <a:rPr lang="en-US" cap="none" sz="10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361950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6225" y="28575"/>
          <a:ext cx="5781675" cy="4286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6. számú melléklet a 3/2009. (II.</a:t>
          </a:r>
          <a:r>
            <a:rPr lang="en-US" cap="none" sz="700" b="0" i="0" u="none" baseline="0">
              <a:solidFill>
                <a:srgbClr val="000000"/>
              </a:solidFill>
            </a:rPr>
            <a:t> 26.</a:t>
          </a:r>
          <a:r>
            <a:rPr lang="en-US" cap="none" sz="700" b="0" i="0" u="none" baseline="0">
              <a:solidFill>
                <a:srgbClr val="000000"/>
              </a:solidFill>
            </a:rPr>
            <a:t>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ÉS EGYÉB FELHALMOZÁSI JELLEGŰ KIADÁSOK
</a:t>
          </a:r>
          <a:r>
            <a:rPr lang="en-US" cap="none" sz="700" b="1" i="0" u="none" baseline="0">
              <a:solidFill>
                <a:srgbClr val="000000"/>
              </a:solidFill>
            </a:rPr>
            <a:t>( feladatonként és célonként 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1</xdr:row>
      <xdr:rowOff>0</xdr:rowOff>
    </xdr:from>
    <xdr:to>
      <xdr:col>3</xdr:col>
      <xdr:colOff>390525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228850" y="142875"/>
          <a:ext cx="3762375" cy="1009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7.számú melléklet a a 3/2009. (II. 26.) önk rendelethez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2008. ÉVI CÉLTARTALÉKA
</a:t>
          </a:r>
          <a:r>
            <a:rPr lang="en-US" cap="none" sz="1000" b="1" i="0" u="none" baseline="0">
              <a:solidFill>
                <a:srgbClr val="000000"/>
              </a:solidFill>
            </a:rPr>
            <a:t>(feladatonként)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95250</xdr:rowOff>
    </xdr:from>
    <xdr:to>
      <xdr:col>5</xdr:col>
      <xdr:colOff>685800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533650" y="95250"/>
          <a:ext cx="4905375" cy="533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8. sz. melléklet </a:t>
          </a:r>
          <a:r>
            <a:rPr lang="en-US" cap="none" sz="600" b="0" i="0" u="none" baseline="0">
              <a:solidFill>
                <a:srgbClr val="000000"/>
              </a:solidFill>
            </a:rPr>
            <a:t>a 3/2009. (II. 26.) 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önk. rendelethez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TÖBBÉVES KIHATÁSSAL JÁRÓ FELADATOK ELŐIRÁNYZATAI ÉVES BONTÁSBAN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4"/>
  <sheetViews>
    <sheetView view="pageBreakPreview" zoomScaleNormal="120" zoomScaleSheetLayoutView="100" zoomScalePageLayoutView="0" workbookViewId="0" topLeftCell="A1">
      <pane xSplit="2" topLeftCell="C1" activePane="topRight" state="frozen"/>
      <selection pane="topLeft" activeCell="F51" sqref="F51"/>
      <selection pane="topRight" activeCell="G18" sqref="G18"/>
    </sheetView>
  </sheetViews>
  <sheetFormatPr defaultColWidth="7.75390625" defaultRowHeight="12.75"/>
  <cols>
    <col min="1" max="1" width="3.125" style="1" customWidth="1"/>
    <col min="2" max="2" width="28.00390625" style="1" customWidth="1"/>
    <col min="3" max="4" width="7.375" style="1" bestFit="1" customWidth="1"/>
    <col min="5" max="13" width="7.25390625" style="1" customWidth="1"/>
    <col min="14" max="14" width="9.125" style="1" customWidth="1"/>
    <col min="15" max="15" width="8.75390625" style="1" customWidth="1"/>
    <col min="16" max="16384" width="7.75390625" style="1" customWidth="1"/>
  </cols>
  <sheetData>
    <row r="5" spans="12:15" ht="13.5" thickBot="1">
      <c r="L5"/>
      <c r="O5" s="2" t="s">
        <v>0</v>
      </c>
    </row>
    <row r="6" spans="1:15" ht="13.5" thickBot="1">
      <c r="A6" s="668" t="s">
        <v>1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70"/>
    </row>
    <row r="7" spans="1:15" s="7" customFormat="1" ht="8.25">
      <c r="A7" s="3"/>
      <c r="B7" s="4"/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6" t="s">
        <v>14</v>
      </c>
    </row>
    <row r="8" spans="1:15" ht="12.75">
      <c r="A8" s="151" t="s">
        <v>15</v>
      </c>
      <c r="B8" s="11" t="s">
        <v>16</v>
      </c>
      <c r="C8" s="12">
        <v>6025</v>
      </c>
      <c r="D8" s="12">
        <v>6025</v>
      </c>
      <c r="E8" s="12">
        <v>6025</v>
      </c>
      <c r="F8" s="12">
        <v>6025</v>
      </c>
      <c r="G8" s="12">
        <v>6026</v>
      </c>
      <c r="H8" s="12">
        <v>6025</v>
      </c>
      <c r="I8" s="12">
        <v>6025</v>
      </c>
      <c r="J8" s="12">
        <f>178+6025</f>
        <v>6203</v>
      </c>
      <c r="K8" s="12">
        <f>403+6025</f>
        <v>6428</v>
      </c>
      <c r="L8" s="12">
        <f>610+6026</f>
        <v>6636</v>
      </c>
      <c r="M8" s="12">
        <f>610+6026+3097</f>
        <v>9733</v>
      </c>
      <c r="N8" s="12">
        <f>609+6025+3097+783+691-6025</f>
        <v>5180</v>
      </c>
      <c r="O8" s="13">
        <f>'Össz(2)'!C13</f>
        <v>76356</v>
      </c>
    </row>
    <row r="9" spans="1:15" ht="12.75">
      <c r="A9" s="152" t="s">
        <v>17</v>
      </c>
      <c r="B9" s="14" t="s">
        <v>18</v>
      </c>
      <c r="C9" s="15">
        <f>-329+5000</f>
        <v>4671</v>
      </c>
      <c r="D9" s="15">
        <f>-329+5000</f>
        <v>4671</v>
      </c>
      <c r="E9" s="15">
        <f>-392+5000</f>
        <v>4608</v>
      </c>
      <c r="F9" s="15">
        <f>-329+5000</f>
        <v>4671</v>
      </c>
      <c r="G9" s="15">
        <f>-331+5500-268</f>
        <v>4901</v>
      </c>
      <c r="H9" s="15">
        <v>5000</v>
      </c>
      <c r="I9" s="15">
        <v>5000</v>
      </c>
      <c r="J9" s="15">
        <f>5000+500+98+660-2000</f>
        <v>4258</v>
      </c>
      <c r="K9" s="15">
        <v>5000</v>
      </c>
      <c r="L9" s="15">
        <f>5500+500+10</f>
        <v>6010</v>
      </c>
      <c r="M9" s="15">
        <f>5000+300+590-1990+1041+2335</f>
        <v>7276</v>
      </c>
      <c r="N9" s="15">
        <f>5244+342-1990+1040+2336+1975-4671</f>
        <v>4276</v>
      </c>
      <c r="O9" s="16">
        <f>'Össz(2)'!C15</f>
        <v>60342</v>
      </c>
    </row>
    <row r="10" spans="1:15" ht="12.75">
      <c r="A10" s="152" t="s">
        <v>19</v>
      </c>
      <c r="B10" s="14" t="s">
        <v>20</v>
      </c>
      <c r="C10" s="15">
        <v>10</v>
      </c>
      <c r="D10" s="15">
        <v>10</v>
      </c>
      <c r="E10" s="15">
        <f>200000-26850</f>
        <v>173150</v>
      </c>
      <c r="F10" s="15">
        <v>50000</v>
      </c>
      <c r="G10" s="15">
        <v>20</v>
      </c>
      <c r="H10" s="15">
        <v>50</v>
      </c>
      <c r="I10" s="15">
        <v>100</v>
      </c>
      <c r="J10" s="15">
        <v>100</v>
      </c>
      <c r="K10" s="15">
        <v>20</v>
      </c>
      <c r="L10" s="15">
        <f>150000-26850</f>
        <v>123150</v>
      </c>
      <c r="M10" s="15">
        <f>11900</f>
        <v>11900</v>
      </c>
      <c r="N10" s="15">
        <f>60000+20000-10+7329</f>
        <v>87319</v>
      </c>
      <c r="O10" s="16">
        <f>'Össz(2)'!C16</f>
        <v>445829</v>
      </c>
    </row>
    <row r="11" spans="1:15" ht="12.75">
      <c r="A11" s="152" t="s">
        <v>21</v>
      </c>
      <c r="B11" s="14" t="s">
        <v>22</v>
      </c>
      <c r="C11" s="15">
        <v>30829</v>
      </c>
      <c r="D11" s="15">
        <v>30830</v>
      </c>
      <c r="E11" s="15">
        <v>30829</v>
      </c>
      <c r="F11" s="15">
        <v>30830</v>
      </c>
      <c r="G11" s="15">
        <v>30830</v>
      </c>
      <c r="H11" s="15">
        <v>30829</v>
      </c>
      <c r="I11" s="15">
        <v>30829</v>
      </c>
      <c r="J11" s="15">
        <v>30830</v>
      </c>
      <c r="K11" s="15">
        <v>30829</v>
      </c>
      <c r="L11" s="15">
        <v>40831</v>
      </c>
      <c r="M11" s="15">
        <v>30830</v>
      </c>
      <c r="N11" s="15">
        <f>40831+829-8552-20829-7312</f>
        <v>4967</v>
      </c>
      <c r="O11" s="16">
        <f>'Össz(2)'!C17</f>
        <v>354093</v>
      </c>
    </row>
    <row r="12" spans="1:15" ht="12.75">
      <c r="A12" s="152" t="s">
        <v>23</v>
      </c>
      <c r="B12" s="14" t="s">
        <v>24</v>
      </c>
      <c r="C12" s="15">
        <v>0</v>
      </c>
      <c r="D12" s="15">
        <v>0</v>
      </c>
      <c r="E12" s="15">
        <v>0</v>
      </c>
      <c r="F12" s="15">
        <v>25</v>
      </c>
      <c r="G12" s="15">
        <v>20</v>
      </c>
      <c r="H12" s="15">
        <v>40</v>
      </c>
      <c r="I12" s="15">
        <v>20</v>
      </c>
      <c r="J12" s="15">
        <v>879</v>
      </c>
      <c r="K12" s="15">
        <v>878</v>
      </c>
      <c r="L12" s="15">
        <v>1740</v>
      </c>
      <c r="M12" s="15">
        <v>1820</v>
      </c>
      <c r="N12" s="15">
        <f>1667+40+312</f>
        <v>2019</v>
      </c>
      <c r="O12" s="16">
        <f>'Össz(2)'!C18</f>
        <v>7441</v>
      </c>
    </row>
    <row r="13" spans="1:15" ht="12.75">
      <c r="A13" s="152" t="s">
        <v>25</v>
      </c>
      <c r="B13" s="17" t="s">
        <v>26</v>
      </c>
      <c r="C13" s="15">
        <f>37401+8000</f>
        <v>45401</v>
      </c>
      <c r="D13" s="15">
        <f>37001+8000</f>
        <v>45001</v>
      </c>
      <c r="E13" s="15">
        <f>8000+37401</f>
        <v>45401</v>
      </c>
      <c r="F13" s="15">
        <f>37401+7036</f>
        <v>44437</v>
      </c>
      <c r="G13" s="15">
        <v>37401</v>
      </c>
      <c r="H13" s="15">
        <v>47401</v>
      </c>
      <c r="I13" s="15">
        <v>47401</v>
      </c>
      <c r="J13" s="15">
        <v>47401</v>
      </c>
      <c r="K13" s="15">
        <v>47357</v>
      </c>
      <c r="L13" s="15">
        <f>1303+78401-2411</f>
        <v>77293</v>
      </c>
      <c r="M13" s="15">
        <f>3947+88401</f>
        <v>92348</v>
      </c>
      <c r="N13" s="15">
        <f>23422+68401+27372-39982+5995</f>
        <v>85208</v>
      </c>
      <c r="O13" s="16">
        <f>'Össz(2)'!C20</f>
        <v>662050</v>
      </c>
    </row>
    <row r="14" spans="1:15" ht="12.75">
      <c r="A14" s="152" t="s">
        <v>27</v>
      </c>
      <c r="B14" s="175" t="s">
        <v>230</v>
      </c>
      <c r="C14" s="15">
        <f>21148+15358-2446-13753</f>
        <v>20307</v>
      </c>
      <c r="D14" s="15">
        <f>15358-2446</f>
        <v>12912</v>
      </c>
      <c r="E14" s="15">
        <f>15358-2446</f>
        <v>12912</v>
      </c>
      <c r="F14" s="15">
        <f>15358-2446</f>
        <v>12912</v>
      </c>
      <c r="G14" s="15">
        <f>8079+10358-2446-4639</f>
        <v>11352</v>
      </c>
      <c r="H14" s="15">
        <f>8079+5358-2446-4638-178</f>
        <v>6175</v>
      </c>
      <c r="I14" s="15">
        <f>8358-2446+7458-4639</f>
        <v>8731</v>
      </c>
      <c r="J14" s="15">
        <f>37+8912+179-1232</f>
        <v>7896</v>
      </c>
      <c r="K14" s="15">
        <f>6812</f>
        <v>6812</v>
      </c>
      <c r="L14" s="15">
        <f>-6441+12000</f>
        <v>5559</v>
      </c>
      <c r="M14" s="15">
        <v>2000</v>
      </c>
      <c r="N14" s="15">
        <f>1800</f>
        <v>1800</v>
      </c>
      <c r="O14" s="16">
        <f>'Össz(2)'!C21+'Össz(2)'!C22</f>
        <v>109367.942</v>
      </c>
    </row>
    <row r="15" spans="1:15" ht="12.75">
      <c r="A15" s="152" t="s">
        <v>28</v>
      </c>
      <c r="B15" s="14" t="s">
        <v>29</v>
      </c>
      <c r="C15" s="15">
        <v>26620</v>
      </c>
      <c r="D15" s="15">
        <v>26620</v>
      </c>
      <c r="E15" s="15">
        <v>26620</v>
      </c>
      <c r="F15" s="15">
        <f>26620+34749-34579</f>
        <v>26790</v>
      </c>
      <c r="G15" s="15">
        <f>61369-7000+178</f>
        <v>54547</v>
      </c>
      <c r="H15" s="15">
        <f>61369-7898</f>
        <v>53471</v>
      </c>
      <c r="I15" s="15">
        <f>-178+61369</f>
        <v>61191</v>
      </c>
      <c r="J15" s="15">
        <v>61369</v>
      </c>
      <c r="K15" s="15">
        <v>59369</v>
      </c>
      <c r="L15" s="15">
        <v>55369</v>
      </c>
      <c r="M15" s="15">
        <f>53369+1020</f>
        <v>54389</v>
      </c>
      <c r="N15" s="15">
        <f>-4557+61369-4266+701374-26620-4512</f>
        <v>722788</v>
      </c>
      <c r="O15" s="16">
        <f>'Össz(2)'!E28+'Össz(2)'!E29+'Össz(2)'!D30+'Össz(2)'!E31+'Össz(2)'!E32</f>
        <v>1229143</v>
      </c>
    </row>
    <row r="16" spans="1:15" ht="12.75">
      <c r="A16" s="152" t="s">
        <v>30</v>
      </c>
      <c r="B16" s="14" t="s">
        <v>31</v>
      </c>
      <c r="C16" s="15">
        <v>3810</v>
      </c>
      <c r="D16" s="15">
        <v>3810</v>
      </c>
      <c r="E16" s="15">
        <v>3810</v>
      </c>
      <c r="F16" s="15">
        <f>22143-85</f>
        <v>22058</v>
      </c>
      <c r="G16" s="15">
        <v>21000</v>
      </c>
      <c r="H16" s="15">
        <v>18000</v>
      </c>
      <c r="I16" s="15">
        <v>18000</v>
      </c>
      <c r="J16" s="15">
        <f>18500+440</f>
        <v>18940</v>
      </c>
      <c r="K16" s="15">
        <v>24000</v>
      </c>
      <c r="L16" s="15">
        <v>11026</v>
      </c>
      <c r="M16" s="15">
        <f>150+20000+4726</f>
        <v>24876</v>
      </c>
      <c r="N16" s="15">
        <f>3327+8025+1658+7004+4000-3810+6130</f>
        <v>26334</v>
      </c>
      <c r="O16" s="16">
        <f>'Össz(2)'!D27</f>
        <v>195664</v>
      </c>
    </row>
    <row r="17" spans="1:15" ht="13.5" thickBot="1">
      <c r="A17" s="456" t="s">
        <v>32</v>
      </c>
      <c r="B17" s="8" t="s">
        <v>595</v>
      </c>
      <c r="C17" s="457">
        <v>0</v>
      </c>
      <c r="D17" s="457">
        <v>0</v>
      </c>
      <c r="E17" s="457">
        <v>0</v>
      </c>
      <c r="F17" s="457">
        <v>0</v>
      </c>
      <c r="G17" s="457">
        <v>0</v>
      </c>
      <c r="H17" s="457">
        <v>0</v>
      </c>
      <c r="I17" s="457">
        <v>0</v>
      </c>
      <c r="J17" s="457">
        <v>0</v>
      </c>
      <c r="K17" s="457">
        <v>0</v>
      </c>
      <c r="L17" s="457">
        <v>0</v>
      </c>
      <c r="M17" s="457">
        <v>0</v>
      </c>
      <c r="N17" s="457">
        <v>3500</v>
      </c>
      <c r="O17" s="458">
        <f>'Össz(2)'!C26</f>
        <v>3500</v>
      </c>
    </row>
    <row r="18" spans="1:15" s="20" customFormat="1" ht="14.25" thickBot="1" thickTop="1">
      <c r="A18" s="671" t="s">
        <v>14</v>
      </c>
      <c r="B18" s="672"/>
      <c r="C18" s="18">
        <f>SUM(C8:C17)</f>
        <v>137673</v>
      </c>
      <c r="D18" s="18">
        <f>SUM(D8:D17)</f>
        <v>129879</v>
      </c>
      <c r="E18" s="18">
        <f>SUM(E8:E17)</f>
        <v>303355</v>
      </c>
      <c r="F18" s="18">
        <f>SUM(F8:F16)</f>
        <v>197748</v>
      </c>
      <c r="G18" s="18">
        <f aca="true" t="shared" si="0" ref="G18:L18">SUM(G8:G17)</f>
        <v>166097</v>
      </c>
      <c r="H18" s="18">
        <f t="shared" si="0"/>
        <v>166991</v>
      </c>
      <c r="I18" s="18">
        <f t="shared" si="0"/>
        <v>177297</v>
      </c>
      <c r="J18" s="18">
        <f t="shared" si="0"/>
        <v>177876</v>
      </c>
      <c r="K18" s="18">
        <f t="shared" si="0"/>
        <v>180693</v>
      </c>
      <c r="L18" s="18">
        <f t="shared" si="0"/>
        <v>327614</v>
      </c>
      <c r="M18" s="18">
        <f>SUM(M8:M16)</f>
        <v>235172</v>
      </c>
      <c r="N18" s="18">
        <f>SUM(N8:N16)</f>
        <v>939891</v>
      </c>
      <c r="O18" s="19">
        <f>SUM(O8:O17)</f>
        <v>3143785.942</v>
      </c>
    </row>
    <row r="19" spans="1:15" ht="7.5" customHeight="1" thickBot="1" thickTop="1">
      <c r="A19" s="21"/>
      <c r="B19" s="22"/>
      <c r="C19" s="216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3"/>
    </row>
    <row r="20" spans="1:15" ht="7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74"/>
    </row>
    <row r="21" spans="1:15" ht="13.5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73" t="s">
        <v>0</v>
      </c>
    </row>
    <row r="22" spans="1:15" ht="13.5" thickBot="1">
      <c r="A22" s="668" t="s">
        <v>34</v>
      </c>
      <c r="B22" s="669"/>
      <c r="C22" s="669"/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70"/>
    </row>
    <row r="23" spans="1:15" s="7" customFormat="1" ht="8.25">
      <c r="A23" s="3"/>
      <c r="B23" s="4"/>
      <c r="C23" s="25" t="s">
        <v>2</v>
      </c>
      <c r="D23" s="25" t="s">
        <v>3</v>
      </c>
      <c r="E23" s="25" t="s">
        <v>4</v>
      </c>
      <c r="F23" s="25" t="s">
        <v>5</v>
      </c>
      <c r="G23" s="25" t="s">
        <v>6</v>
      </c>
      <c r="H23" s="25" t="s">
        <v>7</v>
      </c>
      <c r="I23" s="25" t="s">
        <v>8</v>
      </c>
      <c r="J23" s="25" t="s">
        <v>9</v>
      </c>
      <c r="K23" s="25" t="s">
        <v>10</v>
      </c>
      <c r="L23" s="25" t="s">
        <v>11</v>
      </c>
      <c r="M23" s="25" t="s">
        <v>12</v>
      </c>
      <c r="N23" s="25" t="s">
        <v>13</v>
      </c>
      <c r="O23" s="26" t="s">
        <v>14</v>
      </c>
    </row>
    <row r="24" spans="1:15" ht="5.25" customHeight="1">
      <c r="A24" s="15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2.75">
      <c r="A25" s="155" t="s">
        <v>15</v>
      </c>
      <c r="B25" s="11" t="s">
        <v>35</v>
      </c>
      <c r="C25" s="12">
        <f>52656+2400+16021</f>
        <v>71077</v>
      </c>
      <c r="D25" s="12">
        <f>52656+2400</f>
        <v>55056</v>
      </c>
      <c r="E25" s="12">
        <f>55056</f>
        <v>55056</v>
      </c>
      <c r="F25" s="12">
        <f>55056+2900</f>
        <v>57956</v>
      </c>
      <c r="G25" s="12">
        <f>320+55056</f>
        <v>55376</v>
      </c>
      <c r="H25" s="12">
        <f>320+52657-38+2900-2391</f>
        <v>53448</v>
      </c>
      <c r="I25" s="12">
        <f>200+52657-1391+18+32</f>
        <v>51516</v>
      </c>
      <c r="J25" s="12">
        <f>200+52657+2903-1390+18</f>
        <v>54388</v>
      </c>
      <c r="K25" s="12">
        <f>200+52657+3909+18</f>
        <v>56784</v>
      </c>
      <c r="L25" s="12">
        <f>18+63657+1094</f>
        <v>64769</v>
      </c>
      <c r="M25" s="12">
        <f>200+53658+18</f>
        <v>53876</v>
      </c>
      <c r="N25" s="12">
        <f>200+83657+20-460+265+50-31369-147</f>
        <v>52216</v>
      </c>
      <c r="O25" s="13">
        <f>'Össz(2)'!E38</f>
        <v>681518</v>
      </c>
    </row>
    <row r="26" spans="1:15" ht="12.75">
      <c r="A26" s="152" t="s">
        <v>17</v>
      </c>
      <c r="B26" s="14" t="s">
        <v>36</v>
      </c>
      <c r="C26" s="15">
        <f>16110+820+5127</f>
        <v>22057</v>
      </c>
      <c r="D26" s="15">
        <f>16110+820</f>
        <v>16930</v>
      </c>
      <c r="E26" s="15">
        <v>16930</v>
      </c>
      <c r="F26" s="15">
        <f>16930+1000</f>
        <v>17930</v>
      </c>
      <c r="G26" s="15">
        <f>16930-32</f>
        <v>16898</v>
      </c>
      <c r="H26" s="15">
        <f>-715+17000</f>
        <v>16285</v>
      </c>
      <c r="I26" s="15">
        <f>-714+16110+511</f>
        <v>15907</v>
      </c>
      <c r="J26" s="15">
        <f>-715+17110+511</f>
        <v>16906</v>
      </c>
      <c r="K26" s="15">
        <f>17000</f>
        <v>17000</v>
      </c>
      <c r="L26" s="15">
        <f>511+16495</f>
        <v>17006</v>
      </c>
      <c r="M26" s="15">
        <f>16000</f>
        <v>16000</v>
      </c>
      <c r="N26" s="15">
        <f>512+26109-140+84+16-7759-10</f>
        <v>18812</v>
      </c>
      <c r="O26" s="16">
        <f>'Össz(2)'!E39</f>
        <v>208661</v>
      </c>
    </row>
    <row r="27" spans="1:15" ht="12.75">
      <c r="A27" s="152" t="s">
        <v>19</v>
      </c>
      <c r="B27" s="14" t="s">
        <v>37</v>
      </c>
      <c r="C27" s="15">
        <f>53431-18045</f>
        <v>35386</v>
      </c>
      <c r="D27" s="15">
        <f>55431-18045+8079-11329</f>
        <v>34136</v>
      </c>
      <c r="E27" s="15">
        <v>45000</v>
      </c>
      <c r="F27" s="15">
        <v>50000</v>
      </c>
      <c r="G27" s="15">
        <v>50000</v>
      </c>
      <c r="H27" s="15">
        <v>50000</v>
      </c>
      <c r="I27" s="15">
        <f>685+50000+4368</f>
        <v>55053</v>
      </c>
      <c r="J27" s="15">
        <f>685+50000+4368</f>
        <v>55053</v>
      </c>
      <c r="K27" s="15">
        <f>684+50000+4368+8742</f>
        <v>63794</v>
      </c>
      <c r="L27" s="15">
        <f>2648+50000+684+4368</f>
        <v>57700</v>
      </c>
      <c r="M27" s="15">
        <f>6047+50000+685+4368+124-444-9000</f>
        <v>51780</v>
      </c>
      <c r="N27" s="15">
        <f>685+60000+5368-360+1196-13120+180</f>
        <v>53949</v>
      </c>
      <c r="O27" s="16">
        <f>'Össz(2)'!E40</f>
        <v>601851.2</v>
      </c>
    </row>
    <row r="28" spans="1:15" ht="12.75">
      <c r="A28" s="156" t="s">
        <v>21</v>
      </c>
      <c r="B28" s="27" t="s">
        <v>235</v>
      </c>
      <c r="C28" s="12"/>
      <c r="D28" s="12"/>
      <c r="E28" s="12"/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/>
      <c r="L28" s="12"/>
      <c r="M28" s="12"/>
      <c r="N28" s="12"/>
      <c r="O28" s="13">
        <f>'Össz(2)'!E41</f>
        <v>0</v>
      </c>
    </row>
    <row r="29" spans="1:15" ht="11.25" customHeight="1">
      <c r="A29" s="156" t="s">
        <v>23</v>
      </c>
      <c r="B29" s="27" t="s">
        <v>236</v>
      </c>
      <c r="C29" s="12">
        <v>18036</v>
      </c>
      <c r="D29" s="12">
        <v>18035</v>
      </c>
      <c r="E29" s="12">
        <v>18035</v>
      </c>
      <c r="F29" s="12">
        <v>18036</v>
      </c>
      <c r="G29" s="12">
        <v>18035</v>
      </c>
      <c r="H29" s="12">
        <v>18035</v>
      </c>
      <c r="I29" s="12">
        <f>1480+10036+1502</f>
        <v>13018</v>
      </c>
      <c r="J29" s="12">
        <f>-2887+16035</f>
        <v>13148</v>
      </c>
      <c r="K29" s="12">
        <v>13035</v>
      </c>
      <c r="L29" s="12">
        <v>12335</v>
      </c>
      <c r="M29" s="12">
        <f>12035</f>
        <v>12035</v>
      </c>
      <c r="N29" s="12">
        <f>5079+8037-738+200+250-4036+539</f>
        <v>9331</v>
      </c>
      <c r="O29" s="13">
        <f>'Össz(2)'!E42</f>
        <v>181114</v>
      </c>
    </row>
    <row r="30" spans="1:15" ht="12.75">
      <c r="A30" s="156" t="s">
        <v>25</v>
      </c>
      <c r="B30" s="14" t="s">
        <v>38</v>
      </c>
      <c r="C30" s="15">
        <f>16465+8000</f>
        <v>24465</v>
      </c>
      <c r="D30" s="15">
        <f>16465+8000</f>
        <v>24465</v>
      </c>
      <c r="E30" s="15">
        <f>16465+8800</f>
        <v>25265</v>
      </c>
      <c r="F30" s="15">
        <f>16465+20000</f>
        <v>36465</v>
      </c>
      <c r="G30" s="15">
        <f>16465+8000</f>
        <v>24465</v>
      </c>
      <c r="H30" s="15">
        <f>9301+5000+16465</f>
        <v>30766</v>
      </c>
      <c r="I30" s="15">
        <f>10465+15000+440</f>
        <v>25905</v>
      </c>
      <c r="J30" s="15">
        <f>1465+18000-85</f>
        <v>19380</v>
      </c>
      <c r="K30" s="15">
        <f>18862</f>
        <v>18862</v>
      </c>
      <c r="L30" s="15">
        <f>17000+5158+1313</f>
        <v>23471</v>
      </c>
      <c r="M30" s="15">
        <f>28000+150+10000+404</f>
        <v>38554</v>
      </c>
      <c r="N30" s="15">
        <f>27000+169+8726+426374-24465+6130</f>
        <v>443934</v>
      </c>
      <c r="O30" s="16">
        <f>'Össz(2)'!E49</f>
        <v>735997</v>
      </c>
    </row>
    <row r="31" spans="1:15" ht="12.75">
      <c r="A31" s="156" t="s">
        <v>27</v>
      </c>
      <c r="B31" s="176" t="s">
        <v>233</v>
      </c>
      <c r="C31" s="15">
        <v>31061</v>
      </c>
      <c r="D31" s="15">
        <v>31061</v>
      </c>
      <c r="E31" s="15">
        <f>1152+31060</f>
        <v>32212</v>
      </c>
      <c r="F31" s="15">
        <f>1152+31061</f>
        <v>32213</v>
      </c>
      <c r="G31" s="15">
        <f>1523+31061-370</f>
        <v>32214</v>
      </c>
      <c r="H31" s="15">
        <f>3478+31059</f>
        <v>34537</v>
      </c>
      <c r="I31" s="15">
        <f>3478+31061</f>
        <v>34539</v>
      </c>
      <c r="J31" s="15">
        <f>3479+31059+1720</f>
        <v>36258</v>
      </c>
      <c r="K31" s="15">
        <v>35061</v>
      </c>
      <c r="L31" s="15">
        <v>40061</v>
      </c>
      <c r="M31" s="15">
        <f>40061</f>
        <v>40061</v>
      </c>
      <c r="N31" s="15">
        <f>2099+43062+2000+1814-16065-315</f>
        <v>32595</v>
      </c>
      <c r="O31" s="16">
        <f>'Össz(2)'!E43</f>
        <v>411873</v>
      </c>
    </row>
    <row r="32" spans="1:15" ht="18" customHeight="1" thickBot="1">
      <c r="A32" s="153" t="s">
        <v>28</v>
      </c>
      <c r="B32" s="14" t="s">
        <v>39</v>
      </c>
      <c r="C32" s="15"/>
      <c r="D32" s="15"/>
      <c r="E32" s="15">
        <f>-4108+5000-110</f>
        <v>782</v>
      </c>
      <c r="F32" s="15">
        <v>1000</v>
      </c>
      <c r="G32" s="15">
        <v>5000</v>
      </c>
      <c r="H32" s="15"/>
      <c r="I32" s="15"/>
      <c r="J32" s="15">
        <v>1000</v>
      </c>
      <c r="K32" s="15">
        <v>0</v>
      </c>
      <c r="L32" s="15">
        <v>3000</v>
      </c>
      <c r="M32" s="15">
        <f>-1455+5000+3000-424</f>
        <v>6121</v>
      </c>
      <c r="N32" s="15">
        <f>2216+4749-79-40-827+300000-100-20-30</f>
        <v>305869</v>
      </c>
      <c r="O32" s="16">
        <f>'Össz(2)'!E54</f>
        <v>322772</v>
      </c>
    </row>
    <row r="33" spans="1:15" ht="14.25" thickBot="1" thickTop="1">
      <c r="A33" s="673" t="s">
        <v>14</v>
      </c>
      <c r="B33" s="674"/>
      <c r="C33" s="28">
        <f aca="true" t="shared" si="1" ref="C33:N33">SUM(C25:C32)</f>
        <v>202082</v>
      </c>
      <c r="D33" s="28">
        <f t="shared" si="1"/>
        <v>179683</v>
      </c>
      <c r="E33" s="28">
        <f t="shared" si="1"/>
        <v>193280</v>
      </c>
      <c r="F33" s="28">
        <f t="shared" si="1"/>
        <v>213600</v>
      </c>
      <c r="G33" s="28">
        <f t="shared" si="1"/>
        <v>201988</v>
      </c>
      <c r="H33" s="28">
        <f t="shared" si="1"/>
        <v>203071</v>
      </c>
      <c r="I33" s="28">
        <f t="shared" si="1"/>
        <v>195938</v>
      </c>
      <c r="J33" s="28">
        <f t="shared" si="1"/>
        <v>196133</v>
      </c>
      <c r="K33" s="28">
        <f t="shared" si="1"/>
        <v>204536</v>
      </c>
      <c r="L33" s="28">
        <f t="shared" si="1"/>
        <v>218342</v>
      </c>
      <c r="M33" s="28">
        <f t="shared" si="1"/>
        <v>218427</v>
      </c>
      <c r="N33" s="28">
        <f t="shared" si="1"/>
        <v>916706</v>
      </c>
      <c r="O33" s="29">
        <f>SUM(O25:O32)</f>
        <v>3143786.2</v>
      </c>
    </row>
    <row r="34" spans="1:15" ht="7.5" customHeight="1" thickTop="1">
      <c r="A34" s="8"/>
      <c r="B34" s="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</sheetData>
  <sheetProtection/>
  <mergeCells count="4">
    <mergeCell ref="A6:O6"/>
    <mergeCell ref="A18:B18"/>
    <mergeCell ref="A22:O22"/>
    <mergeCell ref="A33:B3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136"/>
  <sheetViews>
    <sheetView tabSelected="1" view="pageBreakPreview" zoomScaleSheetLayoutView="100" zoomScalePageLayoutView="0" workbookViewId="0" topLeftCell="A1">
      <selection activeCell="S99" sqref="S99"/>
    </sheetView>
  </sheetViews>
  <sheetFormatPr defaultColWidth="9.00390625" defaultRowHeight="13.5" customHeight="1"/>
  <cols>
    <col min="1" max="1" width="3.00390625" style="523" customWidth="1"/>
    <col min="2" max="2" width="2.375" style="523" customWidth="1"/>
    <col min="3" max="3" width="40.875" style="524" customWidth="1"/>
    <col min="4" max="4" width="8.375" style="524" hidden="1" customWidth="1"/>
    <col min="5" max="6" width="8.875" style="524" bestFit="1" customWidth="1"/>
    <col min="7" max="7" width="7.25390625" style="524" hidden="1" customWidth="1"/>
    <col min="8" max="8" width="6.625" style="524" customWidth="1"/>
    <col min="9" max="9" width="7.625" style="524" customWidth="1"/>
    <col min="10" max="10" width="8.625" style="524" hidden="1" customWidth="1"/>
    <col min="11" max="12" width="8.75390625" style="524" customWidth="1"/>
    <col min="13" max="16384" width="9.125" style="525" customWidth="1"/>
  </cols>
  <sheetData>
    <row r="5" spans="11:12" ht="13.5" customHeight="1" thickBot="1">
      <c r="K5" s="525"/>
      <c r="L5" s="526" t="s">
        <v>69</v>
      </c>
    </row>
    <row r="6" spans="1:12" ht="13.5" customHeight="1">
      <c r="A6" s="527"/>
      <c r="B6" s="528"/>
      <c r="C6" s="529"/>
      <c r="D6" s="757" t="s">
        <v>146</v>
      </c>
      <c r="E6" s="758"/>
      <c r="F6" s="759"/>
      <c r="G6" s="757" t="s">
        <v>642</v>
      </c>
      <c r="H6" s="758"/>
      <c r="I6" s="759"/>
      <c r="J6" s="757" t="s">
        <v>43</v>
      </c>
      <c r="K6" s="766"/>
      <c r="L6" s="767"/>
    </row>
    <row r="7" spans="1:12" ht="13.5" customHeight="1">
      <c r="A7" s="774" t="s">
        <v>70</v>
      </c>
      <c r="B7" s="775"/>
      <c r="C7" s="775"/>
      <c r="D7" s="760"/>
      <c r="E7" s="761"/>
      <c r="F7" s="762"/>
      <c r="G7" s="760"/>
      <c r="H7" s="761"/>
      <c r="I7" s="762"/>
      <c r="J7" s="768"/>
      <c r="K7" s="769"/>
      <c r="L7" s="770"/>
    </row>
    <row r="8" spans="1:12" ht="13.5" customHeight="1" thickBot="1">
      <c r="A8" s="774"/>
      <c r="B8" s="775"/>
      <c r="C8" s="775"/>
      <c r="D8" s="763"/>
      <c r="E8" s="764"/>
      <c r="F8" s="765"/>
      <c r="G8" s="763"/>
      <c r="H8" s="764"/>
      <c r="I8" s="765"/>
      <c r="J8" s="771"/>
      <c r="K8" s="772"/>
      <c r="L8" s="773"/>
    </row>
    <row r="9" spans="1:12" ht="13.5" customHeight="1" thickBot="1">
      <c r="A9" s="531"/>
      <c r="B9" s="532"/>
      <c r="C9" s="533"/>
      <c r="D9" s="534">
        <v>2008</v>
      </c>
      <c r="E9" s="534">
        <v>2009</v>
      </c>
      <c r="F9" s="534">
        <v>2010</v>
      </c>
      <c r="G9" s="534">
        <v>2008</v>
      </c>
      <c r="H9" s="534">
        <v>2009</v>
      </c>
      <c r="I9" s="534">
        <v>2010</v>
      </c>
      <c r="J9" s="534">
        <v>2008</v>
      </c>
      <c r="K9" s="534">
        <v>2009</v>
      </c>
      <c r="L9" s="535">
        <v>2010</v>
      </c>
    </row>
    <row r="10" spans="1:12" ht="13.5" customHeight="1" thickBot="1">
      <c r="A10" s="755" t="s">
        <v>643</v>
      </c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76"/>
    </row>
    <row r="11" spans="1:12" ht="13.5" customHeight="1">
      <c r="A11" s="536" t="s">
        <v>72</v>
      </c>
      <c r="B11" s="537"/>
      <c r="C11" s="538" t="s">
        <v>73</v>
      </c>
      <c r="D11" s="539"/>
      <c r="E11" s="539"/>
      <c r="F11" s="539"/>
      <c r="G11" s="539"/>
      <c r="H11" s="539"/>
      <c r="I11" s="539"/>
      <c r="J11" s="539"/>
      <c r="K11" s="540"/>
      <c r="L11" s="541"/>
    </row>
    <row r="12" spans="1:12" ht="13.5" customHeight="1">
      <c r="A12" s="542"/>
      <c r="B12" s="543"/>
      <c r="C12" s="544"/>
      <c r="D12" s="545"/>
      <c r="E12" s="545"/>
      <c r="F12" s="545"/>
      <c r="G12" s="545"/>
      <c r="H12" s="545"/>
      <c r="I12" s="545"/>
      <c r="J12" s="545"/>
      <c r="K12" s="545"/>
      <c r="L12" s="546"/>
    </row>
    <row r="13" spans="1:12" ht="12.75">
      <c r="A13" s="542"/>
      <c r="B13" s="543" t="s">
        <v>15</v>
      </c>
      <c r="C13" s="547" t="s">
        <v>74</v>
      </c>
      <c r="D13" s="548">
        <v>37978</v>
      </c>
      <c r="E13" s="548">
        <f>D13*1.045</f>
        <v>39687.009999999995</v>
      </c>
      <c r="F13" s="548">
        <f>+E13*1.03</f>
        <v>40877.620299999995</v>
      </c>
      <c r="G13" s="549"/>
      <c r="H13" s="548"/>
      <c r="I13" s="548"/>
      <c r="J13" s="550">
        <f aca="true" t="shared" si="0" ref="J13:L14">SUM(D13+G13)</f>
        <v>37978</v>
      </c>
      <c r="K13" s="550">
        <f t="shared" si="0"/>
        <v>39687.009999999995</v>
      </c>
      <c r="L13" s="551">
        <f t="shared" si="0"/>
        <v>40877.620299999995</v>
      </c>
    </row>
    <row r="14" spans="1:12" ht="13.5" customHeight="1" thickBot="1">
      <c r="A14" s="542"/>
      <c r="B14" s="543" t="s">
        <v>17</v>
      </c>
      <c r="C14" s="552" t="s">
        <v>644</v>
      </c>
      <c r="D14" s="548">
        <v>34325</v>
      </c>
      <c r="E14" s="548">
        <f>D14*1.045</f>
        <v>35869.625</v>
      </c>
      <c r="F14" s="548">
        <f>+E14*1.03</f>
        <v>36945.71375</v>
      </c>
      <c r="G14" s="553"/>
      <c r="H14" s="554"/>
      <c r="I14" s="554"/>
      <c r="J14" s="555">
        <f t="shared" si="0"/>
        <v>34325</v>
      </c>
      <c r="K14" s="555">
        <f t="shared" si="0"/>
        <v>35869.625</v>
      </c>
      <c r="L14" s="551">
        <f t="shared" si="0"/>
        <v>36945.71375</v>
      </c>
    </row>
    <row r="15" spans="1:12" ht="13.5" customHeight="1" thickBot="1" thickTop="1">
      <c r="A15" s="556"/>
      <c r="B15" s="557"/>
      <c r="C15" s="558" t="s">
        <v>43</v>
      </c>
      <c r="D15" s="559">
        <f aca="true" t="shared" si="1" ref="D15:L15">SUM(D13:D14)</f>
        <v>72303</v>
      </c>
      <c r="E15" s="559">
        <f t="shared" si="1"/>
        <v>75556.635</v>
      </c>
      <c r="F15" s="559">
        <f t="shared" si="1"/>
        <v>77823.33405</v>
      </c>
      <c r="G15" s="560">
        <f t="shared" si="1"/>
        <v>0</v>
      </c>
      <c r="H15" s="559">
        <f t="shared" si="1"/>
        <v>0</v>
      </c>
      <c r="I15" s="559">
        <f t="shared" si="1"/>
        <v>0</v>
      </c>
      <c r="J15" s="559">
        <f t="shared" si="1"/>
        <v>72303</v>
      </c>
      <c r="K15" s="559">
        <f t="shared" si="1"/>
        <v>75556.635</v>
      </c>
      <c r="L15" s="561">
        <f t="shared" si="1"/>
        <v>77823.33405</v>
      </c>
    </row>
    <row r="16" spans="1:12" ht="13.5" customHeight="1" thickTop="1">
      <c r="A16" s="536" t="s">
        <v>75</v>
      </c>
      <c r="B16" s="537"/>
      <c r="C16" s="562" t="s">
        <v>76</v>
      </c>
      <c r="D16" s="539"/>
      <c r="E16" s="563"/>
      <c r="F16" s="563"/>
      <c r="G16" s="564"/>
      <c r="H16" s="563"/>
      <c r="I16" s="563"/>
      <c r="J16" s="563"/>
      <c r="K16" s="563"/>
      <c r="L16" s="565"/>
    </row>
    <row r="17" spans="1:12" ht="13.5" customHeight="1">
      <c r="A17" s="542"/>
      <c r="B17" s="543"/>
      <c r="C17" s="566"/>
      <c r="D17" s="545"/>
      <c r="E17" s="567"/>
      <c r="F17" s="567"/>
      <c r="G17" s="568"/>
      <c r="H17" s="567"/>
      <c r="I17" s="567"/>
      <c r="J17" s="567"/>
      <c r="K17" s="567"/>
      <c r="L17" s="569"/>
    </row>
    <row r="18" spans="1:12" ht="13.5" customHeight="1">
      <c r="A18" s="570" t="s">
        <v>46</v>
      </c>
      <c r="B18" s="571"/>
      <c r="C18" s="572" t="s">
        <v>645</v>
      </c>
      <c r="D18" s="573"/>
      <c r="E18" s="574"/>
      <c r="F18" s="574"/>
      <c r="G18" s="575"/>
      <c r="H18" s="574"/>
      <c r="I18" s="574"/>
      <c r="J18" s="574"/>
      <c r="K18" s="574"/>
      <c r="L18" s="576"/>
    </row>
    <row r="19" spans="1:12" ht="13.5" customHeight="1">
      <c r="A19" s="542"/>
      <c r="B19" s="543"/>
      <c r="C19" s="544"/>
      <c r="D19" s="545"/>
      <c r="E19" s="567"/>
      <c r="F19" s="567"/>
      <c r="G19" s="568"/>
      <c r="H19" s="567"/>
      <c r="I19" s="567"/>
      <c r="J19" s="567"/>
      <c r="K19" s="567"/>
      <c r="L19" s="569"/>
    </row>
    <row r="20" spans="1:12" ht="12.75">
      <c r="A20" s="542"/>
      <c r="B20" s="543" t="s">
        <v>15</v>
      </c>
      <c r="C20" s="577" t="s">
        <v>77</v>
      </c>
      <c r="D20" s="548">
        <v>8515</v>
      </c>
      <c r="E20" s="548">
        <f aca="true" t="shared" si="2" ref="E20:E29">D20*1.045</f>
        <v>8898.175</v>
      </c>
      <c r="F20" s="548">
        <f aca="true" t="shared" si="3" ref="F20:F29">+E20*1.03</f>
        <v>9165.12025</v>
      </c>
      <c r="G20" s="549"/>
      <c r="H20" s="578"/>
      <c r="I20" s="578"/>
      <c r="J20" s="550">
        <f aca="true" t="shared" si="4" ref="J20:L29">SUM(D20+G20)</f>
        <v>8515</v>
      </c>
      <c r="K20" s="550">
        <f t="shared" si="4"/>
        <v>8898.175</v>
      </c>
      <c r="L20" s="551">
        <f t="shared" si="4"/>
        <v>9165.12025</v>
      </c>
    </row>
    <row r="21" spans="1:12" ht="13.5" customHeight="1">
      <c r="A21" s="542"/>
      <c r="B21" s="543" t="s">
        <v>17</v>
      </c>
      <c r="C21" s="579" t="s">
        <v>78</v>
      </c>
      <c r="D21" s="548">
        <v>3114</v>
      </c>
      <c r="E21" s="548">
        <f t="shared" si="2"/>
        <v>3254.1299999999997</v>
      </c>
      <c r="F21" s="548">
        <f t="shared" si="3"/>
        <v>3351.7538999999997</v>
      </c>
      <c r="G21" s="553"/>
      <c r="H21" s="554"/>
      <c r="I21" s="554"/>
      <c r="J21" s="555">
        <f t="shared" si="4"/>
        <v>3114</v>
      </c>
      <c r="K21" s="555">
        <f t="shared" si="4"/>
        <v>3254.1299999999997</v>
      </c>
      <c r="L21" s="551">
        <f t="shared" si="4"/>
        <v>3351.7538999999997</v>
      </c>
    </row>
    <row r="22" spans="1:12" ht="13.5" customHeight="1">
      <c r="A22" s="542"/>
      <c r="B22" s="543" t="s">
        <v>19</v>
      </c>
      <c r="C22" s="579" t="s">
        <v>79</v>
      </c>
      <c r="D22" s="548">
        <v>17000</v>
      </c>
      <c r="E22" s="548">
        <f t="shared" si="2"/>
        <v>17765</v>
      </c>
      <c r="F22" s="548">
        <f t="shared" si="3"/>
        <v>18297.95</v>
      </c>
      <c r="G22" s="553"/>
      <c r="H22" s="554"/>
      <c r="I22" s="554"/>
      <c r="J22" s="555">
        <f t="shared" si="4"/>
        <v>17000</v>
      </c>
      <c r="K22" s="555">
        <f t="shared" si="4"/>
        <v>17765</v>
      </c>
      <c r="L22" s="551">
        <f t="shared" si="4"/>
        <v>18297.95</v>
      </c>
    </row>
    <row r="23" spans="1:12" ht="13.5" customHeight="1">
      <c r="A23" s="542"/>
      <c r="B23" s="543" t="s">
        <v>21</v>
      </c>
      <c r="C23" s="579" t="s">
        <v>80</v>
      </c>
      <c r="D23" s="548">
        <v>6577</v>
      </c>
      <c r="E23" s="548">
        <f t="shared" si="2"/>
        <v>6872.964999999999</v>
      </c>
      <c r="F23" s="548">
        <f t="shared" si="3"/>
        <v>7079.153949999999</v>
      </c>
      <c r="G23" s="553"/>
      <c r="H23" s="552"/>
      <c r="I23" s="552"/>
      <c r="J23" s="555">
        <f t="shared" si="4"/>
        <v>6577</v>
      </c>
      <c r="K23" s="555">
        <f t="shared" si="4"/>
        <v>6872.964999999999</v>
      </c>
      <c r="L23" s="551">
        <f t="shared" si="4"/>
        <v>7079.153949999999</v>
      </c>
    </row>
    <row r="24" spans="1:12" ht="12.75">
      <c r="A24" s="542"/>
      <c r="B24" s="543" t="s">
        <v>23</v>
      </c>
      <c r="C24" s="580" t="s">
        <v>81</v>
      </c>
      <c r="D24" s="548">
        <v>8141</v>
      </c>
      <c r="E24" s="548">
        <f t="shared" si="2"/>
        <v>8507.345</v>
      </c>
      <c r="F24" s="548">
        <f t="shared" si="3"/>
        <v>8762.565349999999</v>
      </c>
      <c r="G24" s="553"/>
      <c r="H24" s="554"/>
      <c r="I24" s="554"/>
      <c r="J24" s="555">
        <f t="shared" si="4"/>
        <v>8141</v>
      </c>
      <c r="K24" s="555">
        <f t="shared" si="4"/>
        <v>8507.345</v>
      </c>
      <c r="L24" s="551">
        <f t="shared" si="4"/>
        <v>8762.565349999999</v>
      </c>
    </row>
    <row r="25" spans="1:12" ht="13.5" customHeight="1">
      <c r="A25" s="542"/>
      <c r="B25" s="543" t="s">
        <v>25</v>
      </c>
      <c r="C25" s="579" t="s">
        <v>646</v>
      </c>
      <c r="D25" s="548">
        <v>5093</v>
      </c>
      <c r="E25" s="548">
        <f t="shared" si="2"/>
        <v>5322.1849999999995</v>
      </c>
      <c r="F25" s="548">
        <f t="shared" si="3"/>
        <v>5481.850549999999</v>
      </c>
      <c r="G25" s="553"/>
      <c r="H25" s="554"/>
      <c r="I25" s="554"/>
      <c r="J25" s="555">
        <f t="shared" si="4"/>
        <v>5093</v>
      </c>
      <c r="K25" s="555">
        <f t="shared" si="4"/>
        <v>5322.1849999999995</v>
      </c>
      <c r="L25" s="551">
        <f t="shared" si="4"/>
        <v>5481.850549999999</v>
      </c>
    </row>
    <row r="26" spans="1:12" ht="13.5" customHeight="1">
      <c r="A26" s="542"/>
      <c r="B26" s="543" t="s">
        <v>27</v>
      </c>
      <c r="C26" s="579" t="s">
        <v>82</v>
      </c>
      <c r="D26" s="548">
        <v>50</v>
      </c>
      <c r="E26" s="548">
        <f t="shared" si="2"/>
        <v>52.25</v>
      </c>
      <c r="F26" s="548">
        <f t="shared" si="3"/>
        <v>53.8175</v>
      </c>
      <c r="G26" s="553"/>
      <c r="H26" s="554"/>
      <c r="I26" s="554"/>
      <c r="J26" s="555">
        <f t="shared" si="4"/>
        <v>50</v>
      </c>
      <c r="K26" s="555">
        <f t="shared" si="4"/>
        <v>52.25</v>
      </c>
      <c r="L26" s="551">
        <f t="shared" si="4"/>
        <v>53.8175</v>
      </c>
    </row>
    <row r="27" spans="1:12" ht="13.5" customHeight="1" hidden="1">
      <c r="A27" s="542"/>
      <c r="B27" s="543" t="s">
        <v>30</v>
      </c>
      <c r="C27" s="579" t="s">
        <v>83</v>
      </c>
      <c r="D27" s="548">
        <v>0</v>
      </c>
      <c r="E27" s="548">
        <f t="shared" si="2"/>
        <v>0</v>
      </c>
      <c r="F27" s="548">
        <f t="shared" si="3"/>
        <v>0</v>
      </c>
      <c r="G27" s="553"/>
      <c r="H27" s="554"/>
      <c r="I27" s="554"/>
      <c r="J27" s="555">
        <f t="shared" si="4"/>
        <v>0</v>
      </c>
      <c r="K27" s="555">
        <f t="shared" si="4"/>
        <v>0</v>
      </c>
      <c r="L27" s="551">
        <f t="shared" si="4"/>
        <v>0</v>
      </c>
    </row>
    <row r="28" spans="1:12" ht="13.5" customHeight="1">
      <c r="A28" s="542"/>
      <c r="B28" s="543" t="s">
        <v>28</v>
      </c>
      <c r="C28" s="579" t="s">
        <v>84</v>
      </c>
      <c r="D28" s="548">
        <v>7670</v>
      </c>
      <c r="E28" s="548">
        <f t="shared" si="2"/>
        <v>8015.15</v>
      </c>
      <c r="F28" s="548">
        <f t="shared" si="3"/>
        <v>8255.6045</v>
      </c>
      <c r="G28" s="553"/>
      <c r="H28" s="554"/>
      <c r="I28" s="554"/>
      <c r="J28" s="555">
        <f t="shared" si="4"/>
        <v>7670</v>
      </c>
      <c r="K28" s="555">
        <f t="shared" si="4"/>
        <v>8015.15</v>
      </c>
      <c r="L28" s="551">
        <f t="shared" si="4"/>
        <v>8255.6045</v>
      </c>
    </row>
    <row r="29" spans="1:12" ht="13.5" customHeight="1" thickBot="1">
      <c r="A29" s="542"/>
      <c r="B29" s="543" t="s">
        <v>30</v>
      </c>
      <c r="C29" s="579" t="s">
        <v>318</v>
      </c>
      <c r="D29" s="548">
        <v>116</v>
      </c>
      <c r="E29" s="548">
        <f t="shared" si="2"/>
        <v>121.22</v>
      </c>
      <c r="F29" s="548">
        <f t="shared" si="3"/>
        <v>124.8566</v>
      </c>
      <c r="G29" s="553"/>
      <c r="H29" s="554"/>
      <c r="I29" s="554"/>
      <c r="J29" s="555">
        <f t="shared" si="4"/>
        <v>116</v>
      </c>
      <c r="K29" s="555">
        <f t="shared" si="4"/>
        <v>121.22</v>
      </c>
      <c r="L29" s="551">
        <f t="shared" si="4"/>
        <v>124.8566</v>
      </c>
    </row>
    <row r="30" spans="1:12" ht="13.5" customHeight="1" thickBot="1" thickTop="1">
      <c r="A30" s="556"/>
      <c r="B30" s="557"/>
      <c r="C30" s="558" t="s">
        <v>43</v>
      </c>
      <c r="D30" s="559">
        <f aca="true" t="shared" si="5" ref="D30:L30">SUM(D20:D29)</f>
        <v>56276</v>
      </c>
      <c r="E30" s="559">
        <f t="shared" si="5"/>
        <v>58808.42</v>
      </c>
      <c r="F30" s="559">
        <f t="shared" si="5"/>
        <v>60572.6726</v>
      </c>
      <c r="G30" s="560">
        <f t="shared" si="5"/>
        <v>0</v>
      </c>
      <c r="H30" s="559">
        <f t="shared" si="5"/>
        <v>0</v>
      </c>
      <c r="I30" s="559">
        <f t="shared" si="5"/>
        <v>0</v>
      </c>
      <c r="J30" s="559">
        <f t="shared" si="5"/>
        <v>56276</v>
      </c>
      <c r="K30" s="559">
        <f t="shared" si="5"/>
        <v>58808.42</v>
      </c>
      <c r="L30" s="561">
        <f t="shared" si="5"/>
        <v>60572.6726</v>
      </c>
    </row>
    <row r="31" spans="1:12" ht="13.5" customHeight="1" thickTop="1">
      <c r="A31" s="570" t="s">
        <v>48</v>
      </c>
      <c r="B31" s="571"/>
      <c r="C31" s="572" t="s">
        <v>647</v>
      </c>
      <c r="D31" s="573"/>
      <c r="E31" s="574"/>
      <c r="F31" s="574"/>
      <c r="G31" s="581"/>
      <c r="H31" s="574"/>
      <c r="I31" s="574"/>
      <c r="J31" s="574"/>
      <c r="K31" s="574"/>
      <c r="L31" s="582"/>
    </row>
    <row r="32" spans="1:12" ht="13.5" customHeight="1">
      <c r="A32" s="542"/>
      <c r="B32" s="543"/>
      <c r="C32" s="544"/>
      <c r="D32" s="545"/>
      <c r="E32" s="567"/>
      <c r="F32" s="567"/>
      <c r="G32" s="583"/>
      <c r="H32" s="567"/>
      <c r="I32" s="567"/>
      <c r="J32" s="567"/>
      <c r="K32" s="567"/>
      <c r="L32" s="569"/>
    </row>
    <row r="33" spans="1:12" ht="13.5" customHeight="1">
      <c r="A33" s="542"/>
      <c r="B33" s="543" t="s">
        <v>15</v>
      </c>
      <c r="C33" s="584" t="s">
        <v>394</v>
      </c>
      <c r="D33" s="548">
        <v>291000</v>
      </c>
      <c r="E33" s="548">
        <f>D33*1.045</f>
        <v>304095</v>
      </c>
      <c r="F33" s="548">
        <f>+E33*1.03</f>
        <v>313217.85000000003</v>
      </c>
      <c r="G33" s="549" t="s">
        <v>227</v>
      </c>
      <c r="H33" s="548" t="s">
        <v>227</v>
      </c>
      <c r="I33" s="548"/>
      <c r="J33" s="550">
        <f>SUM(D33)</f>
        <v>291000</v>
      </c>
      <c r="K33" s="550">
        <f>SUM(E33)</f>
        <v>304095</v>
      </c>
      <c r="L33" s="551">
        <f>SUM(F33)</f>
        <v>313217.85000000003</v>
      </c>
    </row>
    <row r="34" spans="1:12" ht="13.5" customHeight="1">
      <c r="A34" s="542"/>
      <c r="B34" s="543" t="s">
        <v>17</v>
      </c>
      <c r="C34" s="584" t="s">
        <v>395</v>
      </c>
      <c r="D34" s="548"/>
      <c r="E34" s="548"/>
      <c r="F34" s="548"/>
      <c r="G34" s="584">
        <v>44000</v>
      </c>
      <c r="H34" s="548">
        <f>G34*1.045</f>
        <v>45980</v>
      </c>
      <c r="I34" s="548">
        <f>+H34*1.03</f>
        <v>47359.4</v>
      </c>
      <c r="J34" s="550">
        <f>G34</f>
        <v>44000</v>
      </c>
      <c r="K34" s="550">
        <f>H34</f>
        <v>45980</v>
      </c>
      <c r="L34" s="551">
        <f>+I34</f>
        <v>47359.4</v>
      </c>
    </row>
    <row r="35" spans="1:12" ht="13.5" customHeight="1">
      <c r="A35" s="542"/>
      <c r="B35" s="543" t="s">
        <v>19</v>
      </c>
      <c r="C35" s="579" t="s">
        <v>85</v>
      </c>
      <c r="D35" s="548">
        <v>125000</v>
      </c>
      <c r="E35" s="548">
        <f aca="true" t="shared" si="6" ref="E35:E43">D35*1.045</f>
        <v>130624.99999999999</v>
      </c>
      <c r="F35" s="548">
        <f aca="true" t="shared" si="7" ref="F35:F43">+E35*1.03</f>
        <v>134543.75</v>
      </c>
      <c r="G35" s="549"/>
      <c r="H35" s="548"/>
      <c r="I35" s="548"/>
      <c r="J35" s="555">
        <f aca="true" t="shared" si="8" ref="J35:K43">SUM(D35+G35)</f>
        <v>125000</v>
      </c>
      <c r="K35" s="555">
        <f t="shared" si="8"/>
        <v>130624.99999999999</v>
      </c>
      <c r="L35" s="551">
        <f aca="true" t="shared" si="9" ref="L35:L43">SUM(F35)</f>
        <v>134543.75</v>
      </c>
    </row>
    <row r="36" spans="1:12" ht="13.5" customHeight="1">
      <c r="A36" s="542"/>
      <c r="B36" s="543" t="s">
        <v>21</v>
      </c>
      <c r="C36" s="579" t="s">
        <v>86</v>
      </c>
      <c r="D36" s="548">
        <v>2500</v>
      </c>
      <c r="E36" s="548">
        <f t="shared" si="6"/>
        <v>2612.5</v>
      </c>
      <c r="F36" s="548">
        <f t="shared" si="7"/>
        <v>2690.875</v>
      </c>
      <c r="G36" s="549"/>
      <c r="H36" s="548"/>
      <c r="I36" s="548"/>
      <c r="J36" s="555">
        <f t="shared" si="8"/>
        <v>2500</v>
      </c>
      <c r="K36" s="555">
        <f t="shared" si="8"/>
        <v>2612.5</v>
      </c>
      <c r="L36" s="551">
        <f t="shared" si="9"/>
        <v>2690.875</v>
      </c>
    </row>
    <row r="37" spans="1:12" ht="13.5" customHeight="1">
      <c r="A37" s="542"/>
      <c r="B37" s="543" t="s">
        <v>23</v>
      </c>
      <c r="C37" s="579" t="s">
        <v>87</v>
      </c>
      <c r="D37" s="548">
        <v>98068</v>
      </c>
      <c r="E37" s="548">
        <f t="shared" si="6"/>
        <v>102481.06</v>
      </c>
      <c r="F37" s="548">
        <f t="shared" si="7"/>
        <v>105555.4918</v>
      </c>
      <c r="G37" s="549"/>
      <c r="H37" s="548"/>
      <c r="I37" s="548"/>
      <c r="J37" s="555">
        <f t="shared" si="8"/>
        <v>98068</v>
      </c>
      <c r="K37" s="555">
        <f t="shared" si="8"/>
        <v>102481.06</v>
      </c>
      <c r="L37" s="551">
        <f t="shared" si="9"/>
        <v>105555.4918</v>
      </c>
    </row>
    <row r="38" spans="1:12" ht="13.5" customHeight="1">
      <c r="A38" s="542"/>
      <c r="B38" s="543" t="s">
        <v>25</v>
      </c>
      <c r="C38" s="579" t="s">
        <v>376</v>
      </c>
      <c r="D38" s="548">
        <v>271889</v>
      </c>
      <c r="E38" s="548">
        <f t="shared" si="6"/>
        <v>284124.005</v>
      </c>
      <c r="F38" s="548">
        <f t="shared" si="7"/>
        <v>292647.72515</v>
      </c>
      <c r="G38" s="549"/>
      <c r="H38" s="548"/>
      <c r="I38" s="548"/>
      <c r="J38" s="555">
        <f t="shared" si="8"/>
        <v>271889</v>
      </c>
      <c r="K38" s="555">
        <f t="shared" si="8"/>
        <v>284124.005</v>
      </c>
      <c r="L38" s="551">
        <f t="shared" si="9"/>
        <v>292647.72515</v>
      </c>
    </row>
    <row r="39" spans="1:12" ht="13.5" customHeight="1">
      <c r="A39" s="542"/>
      <c r="B39" s="543" t="s">
        <v>27</v>
      </c>
      <c r="C39" s="579" t="s">
        <v>377</v>
      </c>
      <c r="D39" s="548">
        <v>200</v>
      </c>
      <c r="E39" s="548">
        <f t="shared" si="6"/>
        <v>209</v>
      </c>
      <c r="F39" s="548">
        <f t="shared" si="7"/>
        <v>215.27</v>
      </c>
      <c r="G39" s="549"/>
      <c r="H39" s="548"/>
      <c r="I39" s="548"/>
      <c r="J39" s="555">
        <f t="shared" si="8"/>
        <v>200</v>
      </c>
      <c r="K39" s="555">
        <f t="shared" si="8"/>
        <v>209</v>
      </c>
      <c r="L39" s="551">
        <f t="shared" si="9"/>
        <v>215.27</v>
      </c>
    </row>
    <row r="40" spans="1:12" ht="13.5" customHeight="1">
      <c r="A40" s="542"/>
      <c r="B40" s="543" t="s">
        <v>28</v>
      </c>
      <c r="C40" s="579" t="s">
        <v>648</v>
      </c>
      <c r="D40" s="548">
        <v>452</v>
      </c>
      <c r="E40" s="548">
        <f t="shared" si="6"/>
        <v>472.34</v>
      </c>
      <c r="F40" s="548">
        <f t="shared" si="7"/>
        <v>486.5102</v>
      </c>
      <c r="G40" s="549"/>
      <c r="H40" s="548"/>
      <c r="I40" s="548"/>
      <c r="J40" s="555">
        <f t="shared" si="8"/>
        <v>452</v>
      </c>
      <c r="K40" s="555">
        <f t="shared" si="8"/>
        <v>472.34</v>
      </c>
      <c r="L40" s="551">
        <f t="shared" si="9"/>
        <v>486.5102</v>
      </c>
    </row>
    <row r="41" spans="1:12" ht="13.5" customHeight="1">
      <c r="A41" s="542"/>
      <c r="B41" s="543" t="s">
        <v>30</v>
      </c>
      <c r="C41" s="579" t="s">
        <v>378</v>
      </c>
      <c r="D41" s="548">
        <v>1000</v>
      </c>
      <c r="E41" s="548">
        <f t="shared" si="6"/>
        <v>1045</v>
      </c>
      <c r="F41" s="548">
        <f t="shared" si="7"/>
        <v>1076.3500000000001</v>
      </c>
      <c r="G41" s="549"/>
      <c r="H41" s="548"/>
      <c r="I41" s="548"/>
      <c r="J41" s="555">
        <f t="shared" si="8"/>
        <v>1000</v>
      </c>
      <c r="K41" s="555">
        <f t="shared" si="8"/>
        <v>1045</v>
      </c>
      <c r="L41" s="551">
        <f t="shared" si="9"/>
        <v>1076.3500000000001</v>
      </c>
    </row>
    <row r="42" spans="1:12" ht="13.5" customHeight="1">
      <c r="A42" s="542"/>
      <c r="B42" s="543" t="s">
        <v>32</v>
      </c>
      <c r="C42" s="579" t="s">
        <v>88</v>
      </c>
      <c r="D42" s="548">
        <v>250</v>
      </c>
      <c r="E42" s="548">
        <f t="shared" si="6"/>
        <v>261.25</v>
      </c>
      <c r="F42" s="548">
        <f t="shared" si="7"/>
        <v>269.08750000000003</v>
      </c>
      <c r="G42" s="549"/>
      <c r="H42" s="548"/>
      <c r="I42" s="548"/>
      <c r="J42" s="555">
        <f t="shared" si="8"/>
        <v>250</v>
      </c>
      <c r="K42" s="555">
        <f t="shared" si="8"/>
        <v>261.25</v>
      </c>
      <c r="L42" s="551">
        <f t="shared" si="9"/>
        <v>269.08750000000003</v>
      </c>
    </row>
    <row r="43" spans="1:12" ht="21.75" customHeight="1" thickBot="1">
      <c r="A43" s="542"/>
      <c r="B43" s="543" t="s">
        <v>33</v>
      </c>
      <c r="C43" s="585" t="s">
        <v>379</v>
      </c>
      <c r="D43" s="548">
        <v>60</v>
      </c>
      <c r="E43" s="548">
        <f t="shared" si="6"/>
        <v>62.699999999999996</v>
      </c>
      <c r="F43" s="548">
        <f t="shared" si="7"/>
        <v>64.581</v>
      </c>
      <c r="G43" s="549"/>
      <c r="H43" s="548"/>
      <c r="I43" s="548"/>
      <c r="J43" s="555">
        <f t="shared" si="8"/>
        <v>60</v>
      </c>
      <c r="K43" s="555">
        <f t="shared" si="8"/>
        <v>62.699999999999996</v>
      </c>
      <c r="L43" s="551">
        <f t="shared" si="9"/>
        <v>64.581</v>
      </c>
    </row>
    <row r="44" spans="1:12" ht="13.5" customHeight="1" thickBot="1" thickTop="1">
      <c r="A44" s="556"/>
      <c r="B44" s="557"/>
      <c r="C44" s="558" t="s">
        <v>43</v>
      </c>
      <c r="D44" s="559">
        <f aca="true" t="shared" si="10" ref="D44:L44">SUM(D33:D43)</f>
        <v>790419</v>
      </c>
      <c r="E44" s="559">
        <f t="shared" si="10"/>
        <v>825987.855</v>
      </c>
      <c r="F44" s="559">
        <f t="shared" si="10"/>
        <v>850767.4906500002</v>
      </c>
      <c r="G44" s="560">
        <f t="shared" si="10"/>
        <v>44000</v>
      </c>
      <c r="H44" s="559">
        <f t="shared" si="10"/>
        <v>45980</v>
      </c>
      <c r="I44" s="559">
        <f t="shared" si="10"/>
        <v>47359.4</v>
      </c>
      <c r="J44" s="559">
        <f t="shared" si="10"/>
        <v>834419</v>
      </c>
      <c r="K44" s="559">
        <f t="shared" si="10"/>
        <v>871967.855</v>
      </c>
      <c r="L44" s="561">
        <f t="shared" si="10"/>
        <v>898126.8906500001</v>
      </c>
    </row>
    <row r="45" spans="1:12" ht="13.5" customHeight="1" thickTop="1">
      <c r="A45" s="586" t="s">
        <v>65</v>
      </c>
      <c r="B45" s="571"/>
      <c r="C45" s="572" t="s">
        <v>51</v>
      </c>
      <c r="D45" s="573"/>
      <c r="E45" s="574"/>
      <c r="F45" s="574"/>
      <c r="G45" s="575"/>
      <c r="H45" s="574"/>
      <c r="I45" s="574"/>
      <c r="J45" s="574"/>
      <c r="K45" s="574"/>
      <c r="L45" s="582"/>
    </row>
    <row r="46" spans="1:12" ht="13.5" customHeight="1">
      <c r="A46" s="542"/>
      <c r="B46" s="543"/>
      <c r="C46" s="566"/>
      <c r="D46" s="545"/>
      <c r="E46" s="567"/>
      <c r="F46" s="567"/>
      <c r="G46" s="568"/>
      <c r="H46" s="567"/>
      <c r="I46" s="567"/>
      <c r="J46" s="567"/>
      <c r="K46" s="567"/>
      <c r="L46" s="569"/>
    </row>
    <row r="47" spans="1:12" ht="13.5" customHeight="1">
      <c r="A47" s="542"/>
      <c r="B47" s="543" t="s">
        <v>15</v>
      </c>
      <c r="C47" s="584" t="s">
        <v>649</v>
      </c>
      <c r="D47" s="548"/>
      <c r="E47" s="578">
        <v>0</v>
      </c>
      <c r="F47" s="578"/>
      <c r="G47" s="584">
        <v>1667</v>
      </c>
      <c r="H47" s="584">
        <v>1667</v>
      </c>
      <c r="I47" s="584"/>
      <c r="J47" s="555">
        <f>SUM(D47+G47)</f>
        <v>1667</v>
      </c>
      <c r="K47" s="550">
        <f>E47+H47</f>
        <v>1667</v>
      </c>
      <c r="L47" s="551">
        <f>F47+I47</f>
        <v>0</v>
      </c>
    </row>
    <row r="48" spans="1:12" ht="13.5" customHeight="1" hidden="1">
      <c r="A48" s="542"/>
      <c r="B48" s="543" t="s">
        <v>17</v>
      </c>
      <c r="C48" s="579" t="s">
        <v>89</v>
      </c>
      <c r="D48" s="552"/>
      <c r="E48" s="554"/>
      <c r="F48" s="554"/>
      <c r="G48" s="579">
        <v>2000</v>
      </c>
      <c r="H48" s="579"/>
      <c r="I48" s="579"/>
      <c r="J48" s="555">
        <f>SUM(D48+G48)</f>
        <v>2000</v>
      </c>
      <c r="K48" s="555">
        <f aca="true" t="shared" si="11" ref="K48:L50">SUM(E48+H48)</f>
        <v>0</v>
      </c>
      <c r="L48" s="587">
        <f t="shared" si="11"/>
        <v>0</v>
      </c>
    </row>
    <row r="49" spans="1:12" ht="13.5" customHeight="1">
      <c r="A49" s="542"/>
      <c r="B49" s="543" t="s">
        <v>17</v>
      </c>
      <c r="C49" s="579" t="s">
        <v>91</v>
      </c>
      <c r="D49" s="552"/>
      <c r="E49" s="554"/>
      <c r="F49" s="554"/>
      <c r="G49" s="579">
        <v>4665</v>
      </c>
      <c r="H49" s="579">
        <v>4665</v>
      </c>
      <c r="I49" s="579">
        <v>4500</v>
      </c>
      <c r="J49" s="555">
        <f>SUM(D49+G49)</f>
        <v>4665</v>
      </c>
      <c r="K49" s="555">
        <f t="shared" si="11"/>
        <v>4665</v>
      </c>
      <c r="L49" s="587">
        <f t="shared" si="11"/>
        <v>4500</v>
      </c>
    </row>
    <row r="50" spans="1:12" ht="13.5" customHeight="1" thickBot="1">
      <c r="A50" s="542"/>
      <c r="B50" s="543" t="s">
        <v>19</v>
      </c>
      <c r="C50" s="579" t="s">
        <v>92</v>
      </c>
      <c r="D50" s="552"/>
      <c r="E50" s="554"/>
      <c r="F50" s="554"/>
      <c r="G50" s="579">
        <v>50</v>
      </c>
      <c r="H50" s="579">
        <f>G50*1.08</f>
        <v>54</v>
      </c>
      <c r="I50" s="579"/>
      <c r="J50" s="555">
        <f>SUM(D50+G50)</f>
        <v>50</v>
      </c>
      <c r="K50" s="555">
        <f t="shared" si="11"/>
        <v>54</v>
      </c>
      <c r="L50" s="587">
        <f t="shared" si="11"/>
        <v>0</v>
      </c>
    </row>
    <row r="51" spans="1:12" ht="13.5" customHeight="1" thickBot="1" thickTop="1">
      <c r="A51" s="588"/>
      <c r="B51" s="589"/>
      <c r="C51" s="590" t="s">
        <v>43</v>
      </c>
      <c r="D51" s="591"/>
      <c r="E51" s="591"/>
      <c r="F51" s="591"/>
      <c r="G51" s="592">
        <f aca="true" t="shared" si="12" ref="G51:L51">SUM(G47:G50)</f>
        <v>8382</v>
      </c>
      <c r="H51" s="593">
        <f t="shared" si="12"/>
        <v>6386</v>
      </c>
      <c r="I51" s="593">
        <f t="shared" si="12"/>
        <v>4500</v>
      </c>
      <c r="J51" s="593">
        <f t="shared" si="12"/>
        <v>8382</v>
      </c>
      <c r="K51" s="593">
        <f t="shared" si="12"/>
        <v>6386</v>
      </c>
      <c r="L51" s="594">
        <f t="shared" si="12"/>
        <v>4500</v>
      </c>
    </row>
    <row r="52" spans="1:12" ht="13.5" customHeight="1" thickBot="1">
      <c r="A52" s="755" t="s">
        <v>643</v>
      </c>
      <c r="B52" s="756"/>
      <c r="C52" s="756"/>
      <c r="D52" s="756"/>
      <c r="E52" s="756"/>
      <c r="F52" s="756"/>
      <c r="G52" s="756"/>
      <c r="H52" s="756"/>
      <c r="I52" s="756"/>
      <c r="J52" s="756"/>
      <c r="K52" s="756"/>
      <c r="L52" s="776"/>
    </row>
    <row r="53" spans="1:12" ht="13.5" customHeight="1">
      <c r="A53" s="570" t="s">
        <v>93</v>
      </c>
      <c r="B53" s="571"/>
      <c r="C53" s="572" t="s">
        <v>230</v>
      </c>
      <c r="D53" s="573"/>
      <c r="E53" s="574"/>
      <c r="F53" s="574"/>
      <c r="G53" s="574"/>
      <c r="H53" s="574"/>
      <c r="I53" s="574"/>
      <c r="J53" s="574"/>
      <c r="K53" s="595"/>
      <c r="L53" s="596"/>
    </row>
    <row r="54" spans="1:12" ht="13.5" customHeight="1">
      <c r="A54" s="542"/>
      <c r="B54" s="543"/>
      <c r="C54" s="544"/>
      <c r="D54" s="545"/>
      <c r="E54" s="567"/>
      <c r="F54" s="567"/>
      <c r="G54" s="567"/>
      <c r="H54" s="567"/>
      <c r="I54" s="567"/>
      <c r="J54" s="567"/>
      <c r="K54" s="567"/>
      <c r="L54" s="569"/>
    </row>
    <row r="55" spans="1:12" ht="13.5" customHeight="1">
      <c r="A55" s="542"/>
      <c r="B55" s="543" t="s">
        <v>15</v>
      </c>
      <c r="C55" s="584" t="s">
        <v>94</v>
      </c>
      <c r="D55" s="548">
        <v>33800</v>
      </c>
      <c r="E55" s="548">
        <f aca="true" t="shared" si="13" ref="E55:E70">D55*1.045</f>
        <v>35321</v>
      </c>
      <c r="F55" s="548">
        <f aca="true" t="shared" si="14" ref="F55:F71">+E55*1.03</f>
        <v>36380.63</v>
      </c>
      <c r="G55" s="548"/>
      <c r="H55" s="578"/>
      <c r="I55" s="578"/>
      <c r="J55" s="550">
        <f aca="true" t="shared" si="15" ref="J55:L72">SUM(D55+G55)</f>
        <v>33800</v>
      </c>
      <c r="K55" s="550">
        <f t="shared" si="15"/>
        <v>35321</v>
      </c>
      <c r="L55" s="551">
        <f t="shared" si="15"/>
        <v>36380.63</v>
      </c>
    </row>
    <row r="56" spans="1:12" ht="13.5" customHeight="1">
      <c r="A56" s="542"/>
      <c r="B56" s="543" t="s">
        <v>17</v>
      </c>
      <c r="C56" s="579" t="s">
        <v>95</v>
      </c>
      <c r="D56" s="548">
        <v>51300</v>
      </c>
      <c r="E56" s="548">
        <f t="shared" si="13"/>
        <v>53608.49999999999</v>
      </c>
      <c r="F56" s="548">
        <f t="shared" si="14"/>
        <v>55216.755</v>
      </c>
      <c r="G56" s="552"/>
      <c r="H56" s="554"/>
      <c r="I56" s="578"/>
      <c r="J56" s="550">
        <f t="shared" si="15"/>
        <v>51300</v>
      </c>
      <c r="K56" s="550">
        <f t="shared" si="15"/>
        <v>53608.49999999999</v>
      </c>
      <c r="L56" s="551">
        <f t="shared" si="15"/>
        <v>55216.755</v>
      </c>
    </row>
    <row r="57" spans="1:12" ht="13.5" customHeight="1">
      <c r="A57" s="542"/>
      <c r="B57" s="543" t="s">
        <v>19</v>
      </c>
      <c r="C57" s="579" t="s">
        <v>96</v>
      </c>
      <c r="D57" s="548">
        <v>13500</v>
      </c>
      <c r="E57" s="548">
        <f t="shared" si="13"/>
        <v>14107.499999999998</v>
      </c>
      <c r="F57" s="548">
        <f t="shared" si="14"/>
        <v>14530.724999999999</v>
      </c>
      <c r="G57" s="552"/>
      <c r="H57" s="554"/>
      <c r="I57" s="578"/>
      <c r="J57" s="550">
        <f t="shared" si="15"/>
        <v>13500</v>
      </c>
      <c r="K57" s="550">
        <f t="shared" si="15"/>
        <v>14107.499999999998</v>
      </c>
      <c r="L57" s="551">
        <f t="shared" si="15"/>
        <v>14530.724999999999</v>
      </c>
    </row>
    <row r="58" spans="1:12" ht="13.5" customHeight="1">
      <c r="A58" s="542"/>
      <c r="B58" s="543" t="s">
        <v>21</v>
      </c>
      <c r="C58" s="579" t="s">
        <v>231</v>
      </c>
      <c r="D58" s="548">
        <v>7000</v>
      </c>
      <c r="E58" s="548">
        <f t="shared" si="13"/>
        <v>7314.999999999999</v>
      </c>
      <c r="F58" s="548">
        <f t="shared" si="14"/>
        <v>7534.449999999999</v>
      </c>
      <c r="G58" s="545"/>
      <c r="H58" s="567"/>
      <c r="I58" s="567"/>
      <c r="J58" s="550">
        <f t="shared" si="15"/>
        <v>7000</v>
      </c>
      <c r="K58" s="550">
        <f t="shared" si="15"/>
        <v>7314.999999999999</v>
      </c>
      <c r="L58" s="551">
        <f t="shared" si="15"/>
        <v>7534.449999999999</v>
      </c>
    </row>
    <row r="59" spans="1:12" ht="13.5" customHeight="1">
      <c r="A59" s="542"/>
      <c r="B59" s="543" t="s">
        <v>23</v>
      </c>
      <c r="C59" s="584" t="s">
        <v>97</v>
      </c>
      <c r="D59" s="548">
        <v>10350</v>
      </c>
      <c r="E59" s="548">
        <f t="shared" si="13"/>
        <v>10815.75</v>
      </c>
      <c r="F59" s="548">
        <f t="shared" si="14"/>
        <v>11140.2225</v>
      </c>
      <c r="G59" s="552"/>
      <c r="H59" s="554"/>
      <c r="I59" s="578"/>
      <c r="J59" s="550">
        <f t="shared" si="15"/>
        <v>10350</v>
      </c>
      <c r="K59" s="550">
        <f t="shared" si="15"/>
        <v>10815.75</v>
      </c>
      <c r="L59" s="551">
        <f t="shared" si="15"/>
        <v>11140.2225</v>
      </c>
    </row>
    <row r="60" spans="1:12" ht="13.5" customHeight="1">
      <c r="A60" s="542"/>
      <c r="B60" s="543" t="s">
        <v>25</v>
      </c>
      <c r="C60" s="584" t="s">
        <v>650</v>
      </c>
      <c r="D60" s="548">
        <v>500</v>
      </c>
      <c r="E60" s="548">
        <f t="shared" si="13"/>
        <v>522.5</v>
      </c>
      <c r="F60" s="548">
        <f t="shared" si="14"/>
        <v>538.1750000000001</v>
      </c>
      <c r="G60" s="552"/>
      <c r="H60" s="554"/>
      <c r="I60" s="578"/>
      <c r="J60" s="550">
        <f t="shared" si="15"/>
        <v>500</v>
      </c>
      <c r="K60" s="550">
        <f t="shared" si="15"/>
        <v>522.5</v>
      </c>
      <c r="L60" s="551">
        <f t="shared" si="15"/>
        <v>538.1750000000001</v>
      </c>
    </row>
    <row r="61" spans="1:12" ht="13.5" customHeight="1">
      <c r="A61" s="542"/>
      <c r="B61" s="543" t="s">
        <v>27</v>
      </c>
      <c r="C61" s="584" t="s">
        <v>232</v>
      </c>
      <c r="D61" s="548">
        <v>500</v>
      </c>
      <c r="E61" s="548">
        <f t="shared" si="13"/>
        <v>522.5</v>
      </c>
      <c r="F61" s="548">
        <f t="shared" si="14"/>
        <v>538.1750000000001</v>
      </c>
      <c r="G61" s="552"/>
      <c r="H61" s="554"/>
      <c r="I61" s="578"/>
      <c r="J61" s="550">
        <f t="shared" si="15"/>
        <v>500</v>
      </c>
      <c r="K61" s="550">
        <f t="shared" si="15"/>
        <v>522.5</v>
      </c>
      <c r="L61" s="551">
        <f t="shared" si="15"/>
        <v>538.1750000000001</v>
      </c>
    </row>
    <row r="62" spans="1:12" ht="13.5" customHeight="1">
      <c r="A62" s="542"/>
      <c r="B62" s="543" t="s">
        <v>28</v>
      </c>
      <c r="C62" s="584" t="s">
        <v>98</v>
      </c>
      <c r="D62" s="548">
        <v>700</v>
      </c>
      <c r="E62" s="548">
        <f t="shared" si="13"/>
        <v>731.5</v>
      </c>
      <c r="F62" s="548">
        <f t="shared" si="14"/>
        <v>753.445</v>
      </c>
      <c r="G62" s="552"/>
      <c r="H62" s="554"/>
      <c r="I62" s="578"/>
      <c r="J62" s="550">
        <f t="shared" si="15"/>
        <v>700</v>
      </c>
      <c r="K62" s="550">
        <f t="shared" si="15"/>
        <v>731.5</v>
      </c>
      <c r="L62" s="551">
        <f t="shared" si="15"/>
        <v>753.445</v>
      </c>
    </row>
    <row r="63" spans="1:12" ht="13.5" customHeight="1">
      <c r="A63" s="542"/>
      <c r="B63" s="543" t="s">
        <v>30</v>
      </c>
      <c r="C63" s="584" t="s">
        <v>99</v>
      </c>
      <c r="D63" s="548">
        <v>12427</v>
      </c>
      <c r="E63" s="548">
        <f t="shared" si="13"/>
        <v>12986.214999999998</v>
      </c>
      <c r="F63" s="548">
        <f t="shared" si="14"/>
        <v>13375.801449999999</v>
      </c>
      <c r="G63" s="552"/>
      <c r="H63" s="554"/>
      <c r="I63" s="578"/>
      <c r="J63" s="550">
        <f t="shared" si="15"/>
        <v>12427</v>
      </c>
      <c r="K63" s="550">
        <f t="shared" si="15"/>
        <v>12986.214999999998</v>
      </c>
      <c r="L63" s="551">
        <f t="shared" si="15"/>
        <v>13375.801449999999</v>
      </c>
    </row>
    <row r="64" spans="1:12" ht="13.5" customHeight="1">
      <c r="A64" s="542"/>
      <c r="B64" s="543" t="s">
        <v>32</v>
      </c>
      <c r="C64" s="579" t="s">
        <v>100</v>
      </c>
      <c r="D64" s="548">
        <v>1200</v>
      </c>
      <c r="E64" s="548">
        <f t="shared" si="13"/>
        <v>1254</v>
      </c>
      <c r="F64" s="548">
        <f t="shared" si="14"/>
        <v>1291.6200000000001</v>
      </c>
      <c r="G64" s="552"/>
      <c r="H64" s="554"/>
      <c r="I64" s="578"/>
      <c r="J64" s="550">
        <f t="shared" si="15"/>
        <v>1200</v>
      </c>
      <c r="K64" s="550">
        <f t="shared" si="15"/>
        <v>1254</v>
      </c>
      <c r="L64" s="551">
        <f t="shared" si="15"/>
        <v>1291.6200000000001</v>
      </c>
    </row>
    <row r="65" spans="1:12" ht="13.5" customHeight="1">
      <c r="A65" s="542"/>
      <c r="B65" s="543" t="s">
        <v>33</v>
      </c>
      <c r="C65" s="579" t="s">
        <v>296</v>
      </c>
      <c r="D65" s="548">
        <v>5000</v>
      </c>
      <c r="E65" s="548">
        <f t="shared" si="13"/>
        <v>5225</v>
      </c>
      <c r="F65" s="548">
        <f t="shared" si="14"/>
        <v>5381.75</v>
      </c>
      <c r="G65" s="545"/>
      <c r="H65" s="567"/>
      <c r="I65" s="567"/>
      <c r="J65" s="550">
        <f t="shared" si="15"/>
        <v>5000</v>
      </c>
      <c r="K65" s="550">
        <f t="shared" si="15"/>
        <v>5225</v>
      </c>
      <c r="L65" s="551">
        <f t="shared" si="15"/>
        <v>5381.75</v>
      </c>
    </row>
    <row r="66" spans="1:12" ht="13.5" customHeight="1">
      <c r="A66" s="542"/>
      <c r="B66" s="543" t="s">
        <v>101</v>
      </c>
      <c r="C66" s="579" t="s">
        <v>288</v>
      </c>
      <c r="D66" s="548">
        <v>100</v>
      </c>
      <c r="E66" s="548">
        <f t="shared" si="13"/>
        <v>104.5</v>
      </c>
      <c r="F66" s="548">
        <f t="shared" si="14"/>
        <v>107.635</v>
      </c>
      <c r="G66" s="552"/>
      <c r="H66" s="554"/>
      <c r="I66" s="554"/>
      <c r="J66" s="550">
        <f t="shared" si="15"/>
        <v>100</v>
      </c>
      <c r="K66" s="550">
        <f t="shared" si="15"/>
        <v>104.5</v>
      </c>
      <c r="L66" s="551">
        <f t="shared" si="15"/>
        <v>107.635</v>
      </c>
    </row>
    <row r="67" spans="1:12" ht="13.5" customHeight="1">
      <c r="A67" s="542"/>
      <c r="B67" s="543" t="s">
        <v>104</v>
      </c>
      <c r="C67" s="579" t="s">
        <v>323</v>
      </c>
      <c r="D67" s="548">
        <v>3000</v>
      </c>
      <c r="E67" s="548">
        <f t="shared" si="13"/>
        <v>3135</v>
      </c>
      <c r="F67" s="548">
        <f t="shared" si="14"/>
        <v>3229.05</v>
      </c>
      <c r="G67" s="552"/>
      <c r="H67" s="554"/>
      <c r="I67" s="554"/>
      <c r="J67" s="550">
        <f t="shared" si="15"/>
        <v>3000</v>
      </c>
      <c r="K67" s="550">
        <f t="shared" si="15"/>
        <v>3135</v>
      </c>
      <c r="L67" s="551">
        <f t="shared" si="15"/>
        <v>3229.05</v>
      </c>
    </row>
    <row r="68" spans="1:12" ht="21.75" customHeight="1">
      <c r="A68" s="542"/>
      <c r="B68" s="543" t="s">
        <v>115</v>
      </c>
      <c r="C68" s="580" t="s">
        <v>339</v>
      </c>
      <c r="D68" s="548">
        <v>1140</v>
      </c>
      <c r="E68" s="548">
        <f t="shared" si="13"/>
        <v>1191.3</v>
      </c>
      <c r="F68" s="548">
        <f t="shared" si="14"/>
        <v>1227.039</v>
      </c>
      <c r="G68" s="552"/>
      <c r="H68" s="554"/>
      <c r="I68" s="554"/>
      <c r="J68" s="550">
        <f t="shared" si="15"/>
        <v>1140</v>
      </c>
      <c r="K68" s="550">
        <f t="shared" si="15"/>
        <v>1191.3</v>
      </c>
      <c r="L68" s="551">
        <f t="shared" si="15"/>
        <v>1227.039</v>
      </c>
    </row>
    <row r="69" spans="1:12" ht="23.25" customHeight="1">
      <c r="A69" s="542"/>
      <c r="B69" s="543" t="s">
        <v>116</v>
      </c>
      <c r="C69" s="580" t="s">
        <v>342</v>
      </c>
      <c r="D69" s="548">
        <v>15945</v>
      </c>
      <c r="E69" s="548">
        <f t="shared" si="13"/>
        <v>16662.524999999998</v>
      </c>
      <c r="F69" s="548">
        <f t="shared" si="14"/>
        <v>17162.400749999997</v>
      </c>
      <c r="G69" s="552"/>
      <c r="H69" s="554"/>
      <c r="I69" s="554"/>
      <c r="J69" s="550">
        <f t="shared" si="15"/>
        <v>15945</v>
      </c>
      <c r="K69" s="550">
        <f t="shared" si="15"/>
        <v>16662.524999999998</v>
      </c>
      <c r="L69" s="551">
        <f t="shared" si="15"/>
        <v>17162.400749999997</v>
      </c>
    </row>
    <row r="70" spans="1:12" ht="21.75" customHeight="1">
      <c r="A70" s="542"/>
      <c r="B70" s="543" t="s">
        <v>117</v>
      </c>
      <c r="C70" s="580" t="s">
        <v>651</v>
      </c>
      <c r="D70" s="548">
        <v>600</v>
      </c>
      <c r="E70" s="548">
        <f t="shared" si="13"/>
        <v>627</v>
      </c>
      <c r="F70" s="548">
        <f t="shared" si="14"/>
        <v>645.8100000000001</v>
      </c>
      <c r="G70" s="552"/>
      <c r="H70" s="554"/>
      <c r="I70" s="554"/>
      <c r="J70" s="550">
        <f t="shared" si="15"/>
        <v>600</v>
      </c>
      <c r="K70" s="550">
        <f t="shared" si="15"/>
        <v>627</v>
      </c>
      <c r="L70" s="551">
        <f t="shared" si="15"/>
        <v>645.8100000000001</v>
      </c>
    </row>
    <row r="71" spans="1:12" ht="13.5" customHeight="1">
      <c r="A71" s="542"/>
      <c r="B71" s="543" t="s">
        <v>118</v>
      </c>
      <c r="C71" s="597" t="s">
        <v>404</v>
      </c>
      <c r="D71" s="548">
        <v>18081</v>
      </c>
      <c r="E71" s="548">
        <f>39229*1.045</f>
        <v>40994.305</v>
      </c>
      <c r="F71" s="548">
        <f t="shared" si="14"/>
        <v>42224.13415</v>
      </c>
      <c r="G71" s="552"/>
      <c r="H71" s="554"/>
      <c r="I71" s="554"/>
      <c r="J71" s="550">
        <f t="shared" si="15"/>
        <v>18081</v>
      </c>
      <c r="K71" s="550">
        <f t="shared" si="15"/>
        <v>40994.305</v>
      </c>
      <c r="L71" s="551">
        <f t="shared" si="15"/>
        <v>42224.13415</v>
      </c>
    </row>
    <row r="72" spans="1:12" ht="13.5" customHeight="1">
      <c r="A72" s="542"/>
      <c r="B72" s="543" t="s">
        <v>119</v>
      </c>
      <c r="C72" s="597" t="s">
        <v>410</v>
      </c>
      <c r="D72" s="548">
        <v>21148</v>
      </c>
      <c r="E72" s="548">
        <f>59652</f>
        <v>59652</v>
      </c>
      <c r="F72" s="548">
        <v>61441</v>
      </c>
      <c r="G72" s="545"/>
      <c r="H72" s="567"/>
      <c r="I72" s="567"/>
      <c r="J72" s="550">
        <f t="shared" si="15"/>
        <v>21148</v>
      </c>
      <c r="K72" s="550">
        <f t="shared" si="15"/>
        <v>59652</v>
      </c>
      <c r="L72" s="551">
        <f t="shared" si="15"/>
        <v>61441</v>
      </c>
    </row>
    <row r="73" spans="1:12" ht="13.5" customHeight="1">
      <c r="A73" s="542"/>
      <c r="B73" s="543" t="s">
        <v>120</v>
      </c>
      <c r="C73" s="598" t="s">
        <v>411</v>
      </c>
      <c r="D73" s="545"/>
      <c r="E73" s="545">
        <f>24773</f>
        <v>24773</v>
      </c>
      <c r="F73" s="545">
        <v>25516</v>
      </c>
      <c r="G73" s="545"/>
      <c r="H73" s="567"/>
      <c r="I73" s="567"/>
      <c r="J73" s="573"/>
      <c r="K73" s="599">
        <f>SUM(E73+H73)</f>
        <v>24773</v>
      </c>
      <c r="L73" s="600">
        <f>SUM(F73+I73)</f>
        <v>25516</v>
      </c>
    </row>
    <row r="74" spans="1:12" ht="13.5" customHeight="1" thickBot="1">
      <c r="A74" s="542"/>
      <c r="B74" s="543" t="s">
        <v>227</v>
      </c>
      <c r="C74" s="566" t="s">
        <v>227</v>
      </c>
      <c r="D74" s="545"/>
      <c r="E74" s="545"/>
      <c r="F74" s="545"/>
      <c r="G74" s="545"/>
      <c r="H74" s="567"/>
      <c r="I74" s="567"/>
      <c r="J74" s="573"/>
      <c r="K74" s="573"/>
      <c r="L74" s="600"/>
    </row>
    <row r="75" spans="1:12" ht="13.5" customHeight="1" thickBot="1" thickTop="1">
      <c r="A75" s="556"/>
      <c r="B75" s="557"/>
      <c r="C75" s="558" t="s">
        <v>43</v>
      </c>
      <c r="D75" s="559">
        <f>SUM(D55:D72)</f>
        <v>196291</v>
      </c>
      <c r="E75" s="559">
        <f>SUM(E55:E72)</f>
        <v>264776.095</v>
      </c>
      <c r="F75" s="559">
        <f>SUM(F55:F72)</f>
        <v>272718.81785</v>
      </c>
      <c r="G75" s="559"/>
      <c r="H75" s="559"/>
      <c r="I75" s="559"/>
      <c r="J75" s="559">
        <f>SUM(J55:J72)</f>
        <v>196291</v>
      </c>
      <c r="K75" s="559">
        <f>SUM(K55:K72)</f>
        <v>264776.095</v>
      </c>
      <c r="L75" s="561">
        <f>SUM(L55:L73)</f>
        <v>298234.81785</v>
      </c>
    </row>
    <row r="76" spans="1:12" ht="13.5" customHeight="1" thickTop="1">
      <c r="A76" s="570" t="s">
        <v>102</v>
      </c>
      <c r="B76" s="571"/>
      <c r="C76" s="601"/>
      <c r="D76" s="573"/>
      <c r="E76" s="574"/>
      <c r="F76" s="574"/>
      <c r="G76" s="573"/>
      <c r="H76" s="574"/>
      <c r="I76" s="574"/>
      <c r="J76" s="574"/>
      <c r="K76" s="574"/>
      <c r="L76" s="582"/>
    </row>
    <row r="77" spans="1:12" ht="13.5" customHeight="1">
      <c r="A77" s="570" t="s">
        <v>652</v>
      </c>
      <c r="B77" s="571"/>
      <c r="C77" s="572" t="s">
        <v>522</v>
      </c>
      <c r="D77" s="573"/>
      <c r="E77" s="574"/>
      <c r="F77" s="574"/>
      <c r="G77" s="573"/>
      <c r="H77" s="574"/>
      <c r="I77" s="574"/>
      <c r="J77" s="574"/>
      <c r="K77" s="574"/>
      <c r="L77" s="576"/>
    </row>
    <row r="78" spans="1:12" ht="13.5" customHeight="1">
      <c r="A78" s="570" t="s">
        <v>653</v>
      </c>
      <c r="B78" s="571"/>
      <c r="C78" s="572" t="s">
        <v>229</v>
      </c>
      <c r="D78" s="573"/>
      <c r="E78" s="574"/>
      <c r="F78" s="574"/>
      <c r="G78" s="573"/>
      <c r="H78" s="574"/>
      <c r="I78" s="574"/>
      <c r="J78" s="574"/>
      <c r="K78" s="574"/>
      <c r="L78" s="576"/>
    </row>
    <row r="79" spans="1:12" ht="13.5" customHeight="1">
      <c r="A79" s="542"/>
      <c r="B79" s="543"/>
      <c r="C79" s="545"/>
      <c r="D79" s="545"/>
      <c r="E79" s="567"/>
      <c r="F79" s="567"/>
      <c r="G79" s="545"/>
      <c r="H79" s="567"/>
      <c r="I79" s="567"/>
      <c r="J79" s="567"/>
      <c r="K79" s="567"/>
      <c r="L79" s="569"/>
    </row>
    <row r="80" spans="1:12" ht="21" customHeight="1">
      <c r="A80" s="542"/>
      <c r="B80" s="602" t="s">
        <v>15</v>
      </c>
      <c r="C80" s="577" t="s">
        <v>103</v>
      </c>
      <c r="D80" s="548"/>
      <c r="E80" s="578"/>
      <c r="F80" s="578"/>
      <c r="G80" s="548">
        <v>200</v>
      </c>
      <c r="H80" s="548">
        <v>150</v>
      </c>
      <c r="I80" s="548">
        <v>150</v>
      </c>
      <c r="J80" s="550">
        <f aca="true" t="shared" si="16" ref="J80:L82">SUM(D80+G80)</f>
        <v>200</v>
      </c>
      <c r="K80" s="550">
        <f t="shared" si="16"/>
        <v>150</v>
      </c>
      <c r="L80" s="551">
        <f t="shared" si="16"/>
        <v>150</v>
      </c>
    </row>
    <row r="81" spans="1:12" ht="32.25" customHeight="1">
      <c r="A81" s="542"/>
      <c r="B81" s="602" t="s">
        <v>17</v>
      </c>
      <c r="C81" s="580" t="s">
        <v>366</v>
      </c>
      <c r="D81" s="552"/>
      <c r="E81" s="554"/>
      <c r="F81" s="554"/>
      <c r="G81" s="552">
        <f>388+146</f>
        <v>534</v>
      </c>
      <c r="H81" s="552">
        <f>+G81*1.045</f>
        <v>558.03</v>
      </c>
      <c r="I81" s="548">
        <f>+H81*1.03</f>
        <v>574.7709</v>
      </c>
      <c r="J81" s="550">
        <f t="shared" si="16"/>
        <v>534</v>
      </c>
      <c r="K81" s="550">
        <f t="shared" si="16"/>
        <v>558.03</v>
      </c>
      <c r="L81" s="551">
        <f t="shared" si="16"/>
        <v>574.7709</v>
      </c>
    </row>
    <row r="82" spans="1:12" ht="19.5" customHeight="1" thickBot="1">
      <c r="A82" s="542"/>
      <c r="B82" s="602" t="s">
        <v>19</v>
      </c>
      <c r="C82" s="580" t="s">
        <v>654</v>
      </c>
      <c r="D82" s="552"/>
      <c r="E82" s="554"/>
      <c r="F82" s="554"/>
      <c r="G82" s="552">
        <v>19475</v>
      </c>
      <c r="H82" s="552"/>
      <c r="I82" s="548"/>
      <c r="J82" s="550">
        <f t="shared" si="16"/>
        <v>19475</v>
      </c>
      <c r="K82" s="550">
        <f t="shared" si="16"/>
        <v>0</v>
      </c>
      <c r="L82" s="551">
        <f t="shared" si="16"/>
        <v>0</v>
      </c>
    </row>
    <row r="83" spans="1:12" ht="13.5" customHeight="1" thickBot="1" thickTop="1">
      <c r="A83" s="556"/>
      <c r="B83" s="557"/>
      <c r="C83" s="558" t="s">
        <v>43</v>
      </c>
      <c r="D83" s="603"/>
      <c r="E83" s="603"/>
      <c r="F83" s="603"/>
      <c r="G83" s="559">
        <f aca="true" t="shared" si="17" ref="G83:L83">SUM(G80:G82)</f>
        <v>20209</v>
      </c>
      <c r="H83" s="559">
        <f t="shared" si="17"/>
        <v>708.03</v>
      </c>
      <c r="I83" s="559">
        <f t="shared" si="17"/>
        <v>724.7709</v>
      </c>
      <c r="J83" s="559">
        <f t="shared" si="17"/>
        <v>20209</v>
      </c>
      <c r="K83" s="559">
        <f t="shared" si="17"/>
        <v>708.03</v>
      </c>
      <c r="L83" s="561">
        <f t="shared" si="17"/>
        <v>724.7709</v>
      </c>
    </row>
    <row r="84" spans="1:12" ht="13.5" customHeight="1" thickTop="1">
      <c r="A84" s="570" t="s">
        <v>105</v>
      </c>
      <c r="B84" s="571"/>
      <c r="C84" s="601" t="s">
        <v>106</v>
      </c>
      <c r="D84" s="573"/>
      <c r="E84" s="574"/>
      <c r="F84" s="574"/>
      <c r="G84" s="573"/>
      <c r="H84" s="574"/>
      <c r="I84" s="574"/>
      <c r="J84" s="574"/>
      <c r="K84" s="574"/>
      <c r="L84" s="576"/>
    </row>
    <row r="85" spans="1:12" ht="13.5" customHeight="1">
      <c r="A85" s="542"/>
      <c r="B85" s="543"/>
      <c r="C85" s="544"/>
      <c r="D85" s="545"/>
      <c r="E85" s="567"/>
      <c r="F85" s="567"/>
      <c r="G85" s="545"/>
      <c r="H85" s="567"/>
      <c r="I85" s="567"/>
      <c r="J85" s="567"/>
      <c r="K85" s="567"/>
      <c r="L85" s="569"/>
    </row>
    <row r="86" spans="1:12" ht="21" customHeight="1">
      <c r="A86" s="542"/>
      <c r="B86" s="543" t="s">
        <v>15</v>
      </c>
      <c r="C86" s="577" t="s">
        <v>655</v>
      </c>
      <c r="D86" s="548">
        <v>270650</v>
      </c>
      <c r="E86" s="548">
        <f>D86*1</f>
        <v>270650</v>
      </c>
      <c r="F86" s="548">
        <f>+E86*1.03</f>
        <v>278769.5</v>
      </c>
      <c r="G86" s="548"/>
      <c r="H86" s="578"/>
      <c r="I86" s="578"/>
      <c r="J86" s="550">
        <f aca="true" t="shared" si="18" ref="J86:L89">SUM(D86+G86)</f>
        <v>270650</v>
      </c>
      <c r="K86" s="550">
        <f t="shared" si="18"/>
        <v>270650</v>
      </c>
      <c r="L86" s="551">
        <f t="shared" si="18"/>
        <v>278769.5</v>
      </c>
    </row>
    <row r="87" spans="1:12" ht="22.5" customHeight="1">
      <c r="A87" s="542"/>
      <c r="B87" s="543" t="s">
        <v>17</v>
      </c>
      <c r="C87" s="580" t="s">
        <v>656</v>
      </c>
      <c r="D87" s="548">
        <v>269</v>
      </c>
      <c r="E87" s="548">
        <f>D87*1</f>
        <v>269</v>
      </c>
      <c r="F87" s="548">
        <f>+E87*1.03</f>
        <v>277.07</v>
      </c>
      <c r="G87" s="552"/>
      <c r="H87" s="554"/>
      <c r="I87" s="554"/>
      <c r="J87" s="555">
        <f t="shared" si="18"/>
        <v>269</v>
      </c>
      <c r="K87" s="550">
        <f t="shared" si="18"/>
        <v>269</v>
      </c>
      <c r="L87" s="551">
        <f t="shared" si="18"/>
        <v>277.07</v>
      </c>
    </row>
    <row r="88" spans="1:12" ht="19.5" customHeight="1">
      <c r="A88" s="542"/>
      <c r="B88" s="543" t="s">
        <v>19</v>
      </c>
      <c r="C88" s="580" t="s">
        <v>657</v>
      </c>
      <c r="D88" s="548">
        <v>168793</v>
      </c>
      <c r="E88" s="548">
        <f>D88*1</f>
        <v>168793</v>
      </c>
      <c r="F88" s="548">
        <f>+E88*1.03</f>
        <v>173856.79</v>
      </c>
      <c r="G88" s="552"/>
      <c r="H88" s="554"/>
      <c r="I88" s="554"/>
      <c r="J88" s="555">
        <f t="shared" si="18"/>
        <v>168793</v>
      </c>
      <c r="K88" s="550">
        <f t="shared" si="18"/>
        <v>168793</v>
      </c>
      <c r="L88" s="551">
        <f t="shared" si="18"/>
        <v>173856.79</v>
      </c>
    </row>
    <row r="89" spans="1:12" ht="23.25" customHeight="1" thickBot="1">
      <c r="A89" s="542"/>
      <c r="B89" s="543" t="s">
        <v>21</v>
      </c>
      <c r="C89" s="585" t="s">
        <v>658</v>
      </c>
      <c r="D89" s="545">
        <v>6991</v>
      </c>
      <c r="E89" s="548">
        <f>D89*1</f>
        <v>6991</v>
      </c>
      <c r="F89" s="548">
        <f>+E89*1.03</f>
        <v>7200.7300000000005</v>
      </c>
      <c r="G89" s="545"/>
      <c r="H89" s="567"/>
      <c r="I89" s="567"/>
      <c r="J89" s="555">
        <f t="shared" si="18"/>
        <v>6991</v>
      </c>
      <c r="K89" s="550">
        <f t="shared" si="18"/>
        <v>6991</v>
      </c>
      <c r="L89" s="551">
        <f t="shared" si="18"/>
        <v>7200.7300000000005</v>
      </c>
    </row>
    <row r="90" spans="1:12" ht="13.5" customHeight="1" thickBot="1" thickTop="1">
      <c r="A90" s="556"/>
      <c r="B90" s="557"/>
      <c r="C90" s="558" t="s">
        <v>43</v>
      </c>
      <c r="D90" s="559">
        <f>SUM(D86:D89)</f>
        <v>446703</v>
      </c>
      <c r="E90" s="559">
        <f>SUM(E86:E89)</f>
        <v>446703</v>
      </c>
      <c r="F90" s="559">
        <f>SUM(F86:F89)</f>
        <v>460104.08999999997</v>
      </c>
      <c r="G90" s="603"/>
      <c r="H90" s="603"/>
      <c r="I90" s="603"/>
      <c r="J90" s="559">
        <f>SUM(J86:J89)</f>
        <v>446703</v>
      </c>
      <c r="K90" s="559">
        <f>SUM(K86:K89)</f>
        <v>446703</v>
      </c>
      <c r="L90" s="561">
        <f>SUM(L86:L89)</f>
        <v>460104.08999999997</v>
      </c>
    </row>
    <row r="91" spans="1:12" ht="13.5" customHeight="1" thickBot="1" thickTop="1">
      <c r="A91" s="570"/>
      <c r="B91" s="571"/>
      <c r="C91" s="601"/>
      <c r="D91" s="573"/>
      <c r="E91" s="574"/>
      <c r="F91" s="574"/>
      <c r="G91" s="574"/>
      <c r="H91" s="574"/>
      <c r="I91" s="574"/>
      <c r="J91" s="574"/>
      <c r="K91" s="574"/>
      <c r="L91" s="576"/>
    </row>
    <row r="92" spans="1:13" ht="13.5" customHeight="1" thickBot="1" thickTop="1">
      <c r="A92" s="604" t="s">
        <v>107</v>
      </c>
      <c r="B92" s="605"/>
      <c r="C92" s="606" t="s">
        <v>108</v>
      </c>
      <c r="D92" s="607">
        <v>1665</v>
      </c>
      <c r="E92" s="607">
        <f>+D92*1</f>
        <v>1665</v>
      </c>
      <c r="F92" s="607">
        <f>+E92*1.03</f>
        <v>1714.95</v>
      </c>
      <c r="G92" s="607"/>
      <c r="H92" s="607"/>
      <c r="I92" s="607"/>
      <c r="J92" s="607">
        <f>SUM(D92+G92)</f>
        <v>1665</v>
      </c>
      <c r="K92" s="607">
        <f>SUM(E92+H92)</f>
        <v>1665</v>
      </c>
      <c r="L92" s="608">
        <f>SUM(F92+I92)</f>
        <v>1714.95</v>
      </c>
      <c r="M92" s="525" t="s">
        <v>227</v>
      </c>
    </row>
    <row r="93" spans="1:12" ht="13.5" customHeight="1" thickBot="1" thickTop="1">
      <c r="A93" s="609"/>
      <c r="B93" s="610"/>
      <c r="C93" s="611"/>
      <c r="D93" s="612"/>
      <c r="E93" s="613"/>
      <c r="F93" s="613"/>
      <c r="G93" s="613"/>
      <c r="H93" s="613"/>
      <c r="I93" s="613"/>
      <c r="J93" s="613"/>
      <c r="K93" s="613"/>
      <c r="L93" s="614"/>
    </row>
    <row r="94" spans="1:13" ht="13.5" customHeight="1" thickBot="1" thickTop="1">
      <c r="A94" s="615" t="s">
        <v>112</v>
      </c>
      <c r="B94" s="571"/>
      <c r="C94" s="572" t="s">
        <v>114</v>
      </c>
      <c r="D94" s="573"/>
      <c r="E94" s="574"/>
      <c r="F94" s="574"/>
      <c r="G94" s="573">
        <v>9499</v>
      </c>
      <c r="H94" s="573"/>
      <c r="I94" s="573"/>
      <c r="J94" s="573">
        <f>SUM(D94+G94)</f>
        <v>9499</v>
      </c>
      <c r="K94" s="573">
        <f>SUM(E94+H94)</f>
        <v>0</v>
      </c>
      <c r="L94" s="600">
        <f>SUM(F94+I94)</f>
        <v>0</v>
      </c>
      <c r="M94" s="525" t="s">
        <v>227</v>
      </c>
    </row>
    <row r="95" spans="1:12" ht="10.5" customHeight="1" thickTop="1">
      <c r="A95" s="616"/>
      <c r="B95" s="617"/>
      <c r="C95" s="618"/>
      <c r="D95" s="619"/>
      <c r="E95" s="620"/>
      <c r="F95" s="620"/>
      <c r="G95" s="619"/>
      <c r="H95" s="620"/>
      <c r="I95" s="620"/>
      <c r="J95" s="621"/>
      <c r="K95" s="621"/>
      <c r="L95" s="582"/>
    </row>
    <row r="96" spans="1:13" s="626" customFormat="1" ht="13.5" customHeight="1">
      <c r="A96" s="749" t="s">
        <v>126</v>
      </c>
      <c r="B96" s="750"/>
      <c r="C96" s="751"/>
      <c r="D96" s="624">
        <f aca="true" t="shared" si="19" ref="D96:L96">SUM(D30,D44,D51,D75,D83,D90,D92,D94)</f>
        <v>1491354</v>
      </c>
      <c r="E96" s="624">
        <f t="shared" si="19"/>
        <v>1597940.37</v>
      </c>
      <c r="F96" s="624">
        <f t="shared" si="19"/>
        <v>1645878.0211000002</v>
      </c>
      <c r="G96" s="624">
        <f t="shared" si="19"/>
        <v>82090</v>
      </c>
      <c r="H96" s="624">
        <f t="shared" si="19"/>
        <v>53074.03</v>
      </c>
      <c r="I96" s="624">
        <f t="shared" si="19"/>
        <v>52584.170900000005</v>
      </c>
      <c r="J96" s="624">
        <f t="shared" si="19"/>
        <v>1573444</v>
      </c>
      <c r="K96" s="624">
        <f t="shared" si="19"/>
        <v>1651014.4000000001</v>
      </c>
      <c r="L96" s="625">
        <f t="shared" si="19"/>
        <v>1723978.192</v>
      </c>
      <c r="M96" s="626" t="s">
        <v>227</v>
      </c>
    </row>
    <row r="97" spans="1:12" ht="11.25" customHeight="1" thickBot="1">
      <c r="A97" s="627"/>
      <c r="B97" s="628"/>
      <c r="C97" s="629"/>
      <c r="D97" s="630"/>
      <c r="E97" s="631"/>
      <c r="F97" s="631"/>
      <c r="G97" s="631"/>
      <c r="H97" s="631"/>
      <c r="I97" s="631"/>
      <c r="J97" s="613"/>
      <c r="K97" s="613"/>
      <c r="L97" s="614"/>
    </row>
    <row r="98" spans="1:12" ht="13.5" customHeight="1" thickTop="1">
      <c r="A98" s="632"/>
      <c r="B98" s="633"/>
      <c r="C98" s="544"/>
      <c r="D98" s="545"/>
      <c r="E98" s="567"/>
      <c r="F98" s="567"/>
      <c r="G98" s="567"/>
      <c r="H98" s="567"/>
      <c r="I98" s="567"/>
      <c r="J98" s="574"/>
      <c r="K98" s="574"/>
      <c r="L98" s="576"/>
    </row>
    <row r="99" spans="1:12" ht="13.5" customHeight="1">
      <c r="A99" s="752" t="s">
        <v>127</v>
      </c>
      <c r="B99" s="753"/>
      <c r="C99" s="754"/>
      <c r="D99" s="573">
        <f aca="true" t="shared" si="20" ref="D99:L99">SUM(D15,D96)</f>
        <v>1563657</v>
      </c>
      <c r="E99" s="573">
        <f t="shared" si="20"/>
        <v>1673497.0050000001</v>
      </c>
      <c r="F99" s="573">
        <f t="shared" si="20"/>
        <v>1723701.3551500002</v>
      </c>
      <c r="G99" s="573">
        <f t="shared" si="20"/>
        <v>82090</v>
      </c>
      <c r="H99" s="573">
        <f t="shared" si="20"/>
        <v>53074.03</v>
      </c>
      <c r="I99" s="573">
        <f t="shared" si="20"/>
        <v>52584.170900000005</v>
      </c>
      <c r="J99" s="573">
        <f t="shared" si="20"/>
        <v>1645747</v>
      </c>
      <c r="K99" s="573">
        <f t="shared" si="20"/>
        <v>1726571.0350000001</v>
      </c>
      <c r="L99" s="600">
        <f t="shared" si="20"/>
        <v>1801801.52605</v>
      </c>
    </row>
    <row r="100" spans="1:12" ht="7.5" customHeight="1" thickBot="1">
      <c r="A100" s="627"/>
      <c r="B100" s="628"/>
      <c r="C100" s="629"/>
      <c r="D100" s="630"/>
      <c r="E100" s="631"/>
      <c r="F100" s="631"/>
      <c r="G100" s="631"/>
      <c r="H100" s="631"/>
      <c r="I100" s="631"/>
      <c r="J100" s="631"/>
      <c r="K100" s="631"/>
      <c r="L100" s="784"/>
    </row>
    <row r="101" spans="1:12" ht="13.5" customHeight="1" thickBot="1" thickTop="1">
      <c r="A101" s="782" t="s">
        <v>128</v>
      </c>
      <c r="B101" s="783"/>
      <c r="C101" s="783"/>
      <c r="D101" s="783"/>
      <c r="E101" s="783"/>
      <c r="F101" s="783"/>
      <c r="G101" s="783"/>
      <c r="H101" s="783"/>
      <c r="I101" s="783"/>
      <c r="J101" s="783"/>
      <c r="K101" s="783"/>
      <c r="L101" s="634"/>
    </row>
    <row r="102" spans="1:12" ht="13.5" customHeight="1">
      <c r="A102" s="622"/>
      <c r="B102" s="623"/>
      <c r="C102" s="635"/>
      <c r="D102" s="635"/>
      <c r="E102" s="635"/>
      <c r="F102" s="635"/>
      <c r="G102" s="635"/>
      <c r="H102" s="635"/>
      <c r="I102" s="635"/>
      <c r="J102" s="635"/>
      <c r="K102" s="530"/>
      <c r="L102" s="636"/>
    </row>
    <row r="103" spans="1:12" ht="13.5" customHeight="1">
      <c r="A103" s="570" t="s">
        <v>46</v>
      </c>
      <c r="B103" s="571"/>
      <c r="C103" s="601" t="s">
        <v>58</v>
      </c>
      <c r="D103" s="573"/>
      <c r="E103" s="573"/>
      <c r="F103" s="573"/>
      <c r="G103" s="573"/>
      <c r="H103" s="573"/>
      <c r="I103" s="573"/>
      <c r="J103" s="573"/>
      <c r="K103" s="637"/>
      <c r="L103" s="600"/>
    </row>
    <row r="104" spans="1:12" ht="13.5" customHeight="1">
      <c r="A104" s="542"/>
      <c r="B104" s="543"/>
      <c r="C104" s="544"/>
      <c r="D104" s="545"/>
      <c r="E104" s="545"/>
      <c r="F104" s="545"/>
      <c r="G104" s="545"/>
      <c r="H104" s="545"/>
      <c r="I104" s="545"/>
      <c r="J104" s="545"/>
      <c r="K104" s="638"/>
      <c r="L104" s="546"/>
    </row>
    <row r="105" spans="1:12" ht="13.5" customHeight="1">
      <c r="A105" s="542"/>
      <c r="B105" s="543" t="s">
        <v>15</v>
      </c>
      <c r="C105" s="584" t="s">
        <v>129</v>
      </c>
      <c r="D105" s="548">
        <v>659901</v>
      </c>
      <c r="E105" s="548">
        <f>D105*1.05</f>
        <v>692896.05</v>
      </c>
      <c r="F105" s="548">
        <f>+E105*1.022</f>
        <v>708139.7631000001</v>
      </c>
      <c r="G105" s="578"/>
      <c r="H105" s="578"/>
      <c r="I105" s="567"/>
      <c r="J105" s="573">
        <f aca="true" t="shared" si="21" ref="J105:L110">SUM(D105+G105)</f>
        <v>659901</v>
      </c>
      <c r="K105" s="639">
        <f t="shared" si="21"/>
        <v>692896.05</v>
      </c>
      <c r="L105" s="551">
        <f t="shared" si="21"/>
        <v>708139.7631000001</v>
      </c>
    </row>
    <row r="106" spans="1:12" ht="13.5" customHeight="1">
      <c r="A106" s="542"/>
      <c r="B106" s="543" t="s">
        <v>17</v>
      </c>
      <c r="C106" s="579" t="s">
        <v>36</v>
      </c>
      <c r="D106" s="548">
        <v>202544</v>
      </c>
      <c r="E106" s="548">
        <f>D106*1.05</f>
        <v>212671.2</v>
      </c>
      <c r="F106" s="548">
        <f>+E106*1.022</f>
        <v>217349.9664</v>
      </c>
      <c r="G106" s="554"/>
      <c r="H106" s="554"/>
      <c r="I106" s="554"/>
      <c r="J106" s="555">
        <f t="shared" si="21"/>
        <v>202544</v>
      </c>
      <c r="K106" s="639">
        <f t="shared" si="21"/>
        <v>212671.2</v>
      </c>
      <c r="L106" s="551">
        <f t="shared" si="21"/>
        <v>217349.9664</v>
      </c>
    </row>
    <row r="107" spans="1:12" ht="13.5" customHeight="1">
      <c r="A107" s="542"/>
      <c r="B107" s="543" t="s">
        <v>19</v>
      </c>
      <c r="C107" s="579" t="s">
        <v>37</v>
      </c>
      <c r="D107" s="548">
        <v>441342</v>
      </c>
      <c r="E107" s="548">
        <f>D107*1.045+117145+49635</f>
        <v>627982.3899999999</v>
      </c>
      <c r="F107" s="548">
        <f>(E107-117145-49635)*1.028+120659+51124</f>
        <v>645899.0569199999</v>
      </c>
      <c r="G107" s="554"/>
      <c r="H107" s="554"/>
      <c r="I107" s="554"/>
      <c r="J107" s="555">
        <f t="shared" si="21"/>
        <v>441342</v>
      </c>
      <c r="K107" s="639">
        <f t="shared" si="21"/>
        <v>627982.3899999999</v>
      </c>
      <c r="L107" s="551">
        <f t="shared" si="21"/>
        <v>645899.0569199999</v>
      </c>
    </row>
    <row r="108" spans="1:12" ht="13.5" customHeight="1" hidden="1">
      <c r="A108" s="542"/>
      <c r="B108" s="543" t="s">
        <v>21</v>
      </c>
      <c r="C108" s="579" t="s">
        <v>59</v>
      </c>
      <c r="D108" s="548">
        <v>0</v>
      </c>
      <c r="E108" s="548">
        <f>D108*1.033</f>
        <v>0</v>
      </c>
      <c r="F108" s="548">
        <f>+E108*1.028</f>
        <v>0</v>
      </c>
      <c r="G108" s="554"/>
      <c r="H108" s="554"/>
      <c r="I108" s="554"/>
      <c r="J108" s="555">
        <f t="shared" si="21"/>
        <v>0</v>
      </c>
      <c r="K108" s="639">
        <f t="shared" si="21"/>
        <v>0</v>
      </c>
      <c r="L108" s="551">
        <f t="shared" si="21"/>
        <v>0</v>
      </c>
    </row>
    <row r="109" spans="1:12" ht="13.5" customHeight="1">
      <c r="A109" s="542"/>
      <c r="B109" s="543" t="s">
        <v>21</v>
      </c>
      <c r="C109" s="640" t="s">
        <v>130</v>
      </c>
      <c r="D109" s="548">
        <v>328151</v>
      </c>
      <c r="E109" s="548">
        <f>D109*1.045</f>
        <v>342917.795</v>
      </c>
      <c r="F109" s="548">
        <f>+E109*1.028</f>
        <v>352519.49326</v>
      </c>
      <c r="G109" s="554"/>
      <c r="H109" s="554"/>
      <c r="I109" s="554"/>
      <c r="J109" s="555">
        <f t="shared" si="21"/>
        <v>328151</v>
      </c>
      <c r="K109" s="639">
        <f t="shared" si="21"/>
        <v>342917.795</v>
      </c>
      <c r="L109" s="551">
        <f t="shared" si="21"/>
        <v>352519.49326</v>
      </c>
    </row>
    <row r="110" spans="1:12" ht="13.5" customHeight="1" thickBot="1">
      <c r="A110" s="542"/>
      <c r="B110" s="543" t="s">
        <v>23</v>
      </c>
      <c r="C110" s="641" t="s">
        <v>659</v>
      </c>
      <c r="D110" s="548">
        <v>355831</v>
      </c>
      <c r="E110" s="548">
        <f>D110*1.045</f>
        <v>371843.39499999996</v>
      </c>
      <c r="F110" s="548">
        <f>+E110*1.028</f>
        <v>382255.01005999994</v>
      </c>
      <c r="G110" s="567"/>
      <c r="H110" s="567"/>
      <c r="I110" s="567"/>
      <c r="J110" s="555">
        <f t="shared" si="21"/>
        <v>355831</v>
      </c>
      <c r="K110" s="639">
        <f t="shared" si="21"/>
        <v>371843.39499999996</v>
      </c>
      <c r="L110" s="551">
        <f t="shared" si="21"/>
        <v>382255.01005999994</v>
      </c>
    </row>
    <row r="111" spans="1:12" ht="13.5" customHeight="1" thickBot="1" thickTop="1">
      <c r="A111" s="556"/>
      <c r="B111" s="557"/>
      <c r="C111" s="558" t="s">
        <v>43</v>
      </c>
      <c r="D111" s="559">
        <f aca="true" t="shared" si="22" ref="D111:L111">SUM(D105:D110)</f>
        <v>1987769</v>
      </c>
      <c r="E111" s="559">
        <f t="shared" si="22"/>
        <v>2248310.8299999996</v>
      </c>
      <c r="F111" s="559">
        <f t="shared" si="22"/>
        <v>2306163.28974</v>
      </c>
      <c r="G111" s="559">
        <f t="shared" si="22"/>
        <v>0</v>
      </c>
      <c r="H111" s="559">
        <f t="shared" si="22"/>
        <v>0</v>
      </c>
      <c r="I111" s="559">
        <f t="shared" si="22"/>
        <v>0</v>
      </c>
      <c r="J111" s="559">
        <f t="shared" si="22"/>
        <v>1987769</v>
      </c>
      <c r="K111" s="642">
        <f t="shared" si="22"/>
        <v>2248310.8299999996</v>
      </c>
      <c r="L111" s="561">
        <f t="shared" si="22"/>
        <v>2306163.28974</v>
      </c>
    </row>
    <row r="112" spans="1:12" ht="13.5" customHeight="1" thickTop="1">
      <c r="A112" s="650"/>
      <c r="B112" s="779"/>
      <c r="C112" s="618"/>
      <c r="D112" s="619"/>
      <c r="E112" s="620"/>
      <c r="F112" s="620"/>
      <c r="G112" s="620"/>
      <c r="H112" s="620"/>
      <c r="I112" s="620"/>
      <c r="J112" s="619"/>
      <c r="K112" s="646"/>
      <c r="L112" s="780"/>
    </row>
    <row r="113" spans="1:12" ht="13.5" customHeight="1">
      <c r="A113" s="570" t="s">
        <v>48</v>
      </c>
      <c r="B113" s="571"/>
      <c r="C113" s="601" t="s">
        <v>61</v>
      </c>
      <c r="D113" s="574"/>
      <c r="E113" s="574"/>
      <c r="F113" s="574"/>
      <c r="G113" s="574"/>
      <c r="H113" s="574"/>
      <c r="I113" s="574"/>
      <c r="J113" s="573"/>
      <c r="K113" s="637"/>
      <c r="L113" s="600"/>
    </row>
    <row r="114" spans="1:12" ht="13.5" customHeight="1">
      <c r="A114" s="542"/>
      <c r="B114" s="543"/>
      <c r="C114" s="544"/>
      <c r="D114" s="567"/>
      <c r="E114" s="567"/>
      <c r="F114" s="567"/>
      <c r="G114" s="567"/>
      <c r="H114" s="567"/>
      <c r="I114" s="567"/>
      <c r="J114" s="545"/>
      <c r="K114" s="638"/>
      <c r="L114" s="546"/>
    </row>
    <row r="115" spans="1:12" ht="13.5" customHeight="1">
      <c r="A115" s="542"/>
      <c r="B115" s="543" t="s">
        <v>15</v>
      </c>
      <c r="C115" s="548" t="s">
        <v>131</v>
      </c>
      <c r="D115" s="578"/>
      <c r="E115" s="578"/>
      <c r="F115" s="578"/>
      <c r="G115" s="548">
        <v>39750</v>
      </c>
      <c r="H115" s="548">
        <f>G115*1.033-3727-8600</f>
        <v>28734.75</v>
      </c>
      <c r="I115" s="548">
        <f>52584-I116-I117-I118-I124</f>
        <v>26523.68314</v>
      </c>
      <c r="J115" s="550">
        <f aca="true" t="shared" si="23" ref="J115:L118">SUM(D115+G115)</f>
        <v>39750</v>
      </c>
      <c r="K115" s="639">
        <f t="shared" si="23"/>
        <v>28734.75</v>
      </c>
      <c r="L115" s="551">
        <f t="shared" si="23"/>
        <v>26523.68314</v>
      </c>
    </row>
    <row r="116" spans="1:12" ht="13.5" customHeight="1">
      <c r="A116" s="542"/>
      <c r="B116" s="543" t="s">
        <v>17</v>
      </c>
      <c r="C116" s="552" t="s">
        <v>132</v>
      </c>
      <c r="D116" s="554"/>
      <c r="E116" s="554"/>
      <c r="F116" s="578"/>
      <c r="G116" s="548">
        <v>2000</v>
      </c>
      <c r="H116" s="548">
        <f>G116*1.033</f>
        <v>2066</v>
      </c>
      <c r="I116" s="548">
        <v>3000</v>
      </c>
      <c r="J116" s="555">
        <f t="shared" si="23"/>
        <v>2000</v>
      </c>
      <c r="K116" s="639">
        <f t="shared" si="23"/>
        <v>2066</v>
      </c>
      <c r="L116" s="551">
        <f t="shared" si="23"/>
        <v>3000</v>
      </c>
    </row>
    <row r="117" spans="1:12" ht="13.5" customHeight="1" thickBot="1">
      <c r="A117" s="542"/>
      <c r="B117" s="543" t="s">
        <v>19</v>
      </c>
      <c r="C117" s="552" t="s">
        <v>133</v>
      </c>
      <c r="D117" s="554"/>
      <c r="E117" s="554"/>
      <c r="F117" s="578"/>
      <c r="G117" s="548">
        <v>21637</v>
      </c>
      <c r="H117" s="548">
        <f>G117*1.033-78-18505</f>
        <v>3768.020999999997</v>
      </c>
      <c r="I117" s="548">
        <v>4000</v>
      </c>
      <c r="J117" s="555">
        <f t="shared" si="23"/>
        <v>21637</v>
      </c>
      <c r="K117" s="639">
        <f t="shared" si="23"/>
        <v>3768.020999999997</v>
      </c>
      <c r="L117" s="551">
        <f t="shared" si="23"/>
        <v>4000</v>
      </c>
    </row>
    <row r="118" spans="1:12" ht="13.5" customHeight="1" hidden="1">
      <c r="A118" s="542"/>
      <c r="B118" s="543" t="s">
        <v>21</v>
      </c>
      <c r="C118" s="579" t="s">
        <v>536</v>
      </c>
      <c r="D118" s="554"/>
      <c r="E118" s="554"/>
      <c r="F118" s="578"/>
      <c r="G118" s="548">
        <v>0</v>
      </c>
      <c r="H118" s="548">
        <f>G118*1.033</f>
        <v>0</v>
      </c>
      <c r="I118" s="548">
        <v>0</v>
      </c>
      <c r="J118" s="555">
        <f t="shared" si="23"/>
        <v>0</v>
      </c>
      <c r="K118" s="639">
        <f t="shared" si="23"/>
        <v>0</v>
      </c>
      <c r="L118" s="551">
        <f t="shared" si="23"/>
        <v>0</v>
      </c>
    </row>
    <row r="119" spans="1:12" ht="13.5" customHeight="1" hidden="1" thickBot="1">
      <c r="A119" s="542"/>
      <c r="B119" s="543"/>
      <c r="C119" s="566"/>
      <c r="D119" s="567"/>
      <c r="E119" s="567"/>
      <c r="F119" s="567"/>
      <c r="G119" s="545"/>
      <c r="H119" s="545"/>
      <c r="I119" s="545"/>
      <c r="J119" s="545"/>
      <c r="K119" s="639">
        <f>SUM(E119+H119)</f>
        <v>0</v>
      </c>
      <c r="L119" s="551">
        <f>SUM(F119+I119)</f>
        <v>0</v>
      </c>
    </row>
    <row r="120" spans="1:12" ht="13.5" customHeight="1" thickBot="1" thickTop="1">
      <c r="A120" s="556"/>
      <c r="B120" s="557"/>
      <c r="C120" s="643" t="s">
        <v>43</v>
      </c>
      <c r="D120" s="603"/>
      <c r="E120" s="603"/>
      <c r="F120" s="603"/>
      <c r="G120" s="559">
        <f aca="true" t="shared" si="24" ref="G120:L120">SUM(G115:G118)</f>
        <v>63387</v>
      </c>
      <c r="H120" s="559">
        <f t="shared" si="24"/>
        <v>34568.77099999999</v>
      </c>
      <c r="I120" s="559">
        <f t="shared" si="24"/>
        <v>33523.68314</v>
      </c>
      <c r="J120" s="559">
        <f t="shared" si="24"/>
        <v>63387</v>
      </c>
      <c r="K120" s="642">
        <f t="shared" si="24"/>
        <v>34568.77099999999</v>
      </c>
      <c r="L120" s="561">
        <f t="shared" si="24"/>
        <v>33523.68314</v>
      </c>
    </row>
    <row r="121" spans="1:12" ht="13.5" customHeight="1" thickTop="1">
      <c r="A121" s="542"/>
      <c r="B121" s="543"/>
      <c r="C121" s="566"/>
      <c r="D121" s="567"/>
      <c r="E121" s="567"/>
      <c r="F121" s="567"/>
      <c r="G121" s="545"/>
      <c r="H121" s="545"/>
      <c r="I121" s="545"/>
      <c r="J121" s="545"/>
      <c r="K121" s="638"/>
      <c r="L121" s="546"/>
    </row>
    <row r="122" spans="1:12" ht="13.5" customHeight="1">
      <c r="A122" s="570" t="s">
        <v>65</v>
      </c>
      <c r="B122" s="571"/>
      <c r="C122" s="572" t="s">
        <v>134</v>
      </c>
      <c r="D122" s="574"/>
      <c r="E122" s="574"/>
      <c r="F122" s="574"/>
      <c r="G122" s="573"/>
      <c r="H122" s="573"/>
      <c r="I122" s="573"/>
      <c r="J122" s="573"/>
      <c r="K122" s="637"/>
      <c r="L122" s="600"/>
    </row>
    <row r="123" spans="1:12" ht="13.5" customHeight="1">
      <c r="A123" s="542"/>
      <c r="B123" s="543"/>
      <c r="C123" s="566"/>
      <c r="D123" s="567"/>
      <c r="E123" s="567"/>
      <c r="F123" s="567"/>
      <c r="G123" s="545"/>
      <c r="H123" s="545"/>
      <c r="I123" s="545"/>
      <c r="J123" s="545"/>
      <c r="K123" s="638"/>
      <c r="L123" s="546"/>
    </row>
    <row r="124" spans="1:12" ht="13.5" customHeight="1">
      <c r="A124" s="542"/>
      <c r="B124" s="543" t="s">
        <v>15</v>
      </c>
      <c r="C124" s="584" t="s">
        <v>330</v>
      </c>
      <c r="D124" s="578"/>
      <c r="E124" s="578"/>
      <c r="F124" s="578"/>
      <c r="G124" s="548">
        <v>17914</v>
      </c>
      <c r="H124" s="548">
        <f>G124*1.033</f>
        <v>18505.162</v>
      </c>
      <c r="I124" s="548">
        <f>+H124*1.03</f>
        <v>19060.31686</v>
      </c>
      <c r="J124" s="550">
        <f>SUM(D124+G124)</f>
        <v>17914</v>
      </c>
      <c r="K124" s="639">
        <f>SUM(E124+H124)</f>
        <v>18505.162</v>
      </c>
      <c r="L124" s="551">
        <f>SUM(F124+I124)</f>
        <v>19060.31686</v>
      </c>
    </row>
    <row r="125" spans="1:12" ht="13.5" customHeight="1" thickBot="1">
      <c r="A125" s="542"/>
      <c r="B125" s="543"/>
      <c r="C125" s="566"/>
      <c r="D125" s="567"/>
      <c r="E125" s="567"/>
      <c r="F125" s="567"/>
      <c r="G125" s="545"/>
      <c r="H125" s="545"/>
      <c r="I125" s="545"/>
      <c r="J125" s="545"/>
      <c r="K125" s="638"/>
      <c r="L125" s="546"/>
    </row>
    <row r="126" spans="1:12" ht="13.5" customHeight="1" thickBot="1" thickTop="1">
      <c r="A126" s="556"/>
      <c r="B126" s="557"/>
      <c r="C126" s="643" t="s">
        <v>43</v>
      </c>
      <c r="D126" s="603"/>
      <c r="E126" s="603"/>
      <c r="F126" s="603"/>
      <c r="G126" s="559">
        <f aca="true" t="shared" si="25" ref="G126:L126">SUM(G124:G124)</f>
        <v>17914</v>
      </c>
      <c r="H126" s="559">
        <f t="shared" si="25"/>
        <v>18505.162</v>
      </c>
      <c r="I126" s="559">
        <f t="shared" si="25"/>
        <v>19060.31686</v>
      </c>
      <c r="J126" s="559">
        <f t="shared" si="25"/>
        <v>17914</v>
      </c>
      <c r="K126" s="642">
        <f t="shared" si="25"/>
        <v>18505.162</v>
      </c>
      <c r="L126" s="561">
        <f t="shared" si="25"/>
        <v>19060.31686</v>
      </c>
    </row>
    <row r="127" spans="1:12" ht="13.5" customHeight="1" thickTop="1">
      <c r="A127" s="616"/>
      <c r="B127" s="644"/>
      <c r="C127" s="645"/>
      <c r="D127" s="620"/>
      <c r="E127" s="620"/>
      <c r="F127" s="620"/>
      <c r="G127" s="619"/>
      <c r="H127" s="619"/>
      <c r="I127" s="619"/>
      <c r="J127" s="619"/>
      <c r="K127" s="646"/>
      <c r="L127" s="546"/>
    </row>
    <row r="128" spans="1:12" ht="13.5" customHeight="1">
      <c r="A128" s="570" t="s">
        <v>93</v>
      </c>
      <c r="B128" s="571"/>
      <c r="C128" s="572" t="s">
        <v>39</v>
      </c>
      <c r="D128" s="574"/>
      <c r="E128" s="574"/>
      <c r="F128" s="574"/>
      <c r="G128" s="573"/>
      <c r="H128" s="573"/>
      <c r="I128" s="573"/>
      <c r="J128" s="573"/>
      <c r="K128" s="637"/>
      <c r="L128" s="600"/>
    </row>
    <row r="129" spans="1:12" ht="13.5" customHeight="1">
      <c r="A129" s="542"/>
      <c r="B129" s="543"/>
      <c r="C129" s="566"/>
      <c r="D129" s="567"/>
      <c r="E129" s="567"/>
      <c r="F129" s="567"/>
      <c r="G129" s="545"/>
      <c r="H129" s="545"/>
      <c r="I129" s="545"/>
      <c r="J129" s="545"/>
      <c r="K129" s="638"/>
      <c r="L129" s="546"/>
    </row>
    <row r="130" spans="1:12" ht="13.5" customHeight="1">
      <c r="A130" s="542"/>
      <c r="B130" s="543" t="s">
        <v>15</v>
      </c>
      <c r="C130" s="584" t="s">
        <v>66</v>
      </c>
      <c r="D130" s="548">
        <v>20000</v>
      </c>
      <c r="E130" s="548">
        <v>20000</v>
      </c>
      <c r="F130" s="548">
        <v>20000</v>
      </c>
      <c r="G130" s="548"/>
      <c r="H130" s="548"/>
      <c r="I130" s="548"/>
      <c r="J130" s="550">
        <f aca="true" t="shared" si="26" ref="J130:L131">SUM(D130+G130)</f>
        <v>20000</v>
      </c>
      <c r="K130" s="639">
        <f t="shared" si="26"/>
        <v>20000</v>
      </c>
      <c r="L130" s="551">
        <f t="shared" si="26"/>
        <v>20000</v>
      </c>
    </row>
    <row r="131" spans="1:12" ht="13.5" customHeight="1" thickBot="1">
      <c r="A131" s="542"/>
      <c r="B131" s="543" t="s">
        <v>17</v>
      </c>
      <c r="C131" s="647" t="s">
        <v>67</v>
      </c>
      <c r="D131" s="548">
        <v>7600</v>
      </c>
      <c r="E131" s="548">
        <v>7600</v>
      </c>
      <c r="F131" s="548">
        <v>7600</v>
      </c>
      <c r="G131" s="545"/>
      <c r="H131" s="545"/>
      <c r="I131" s="545"/>
      <c r="J131" s="555">
        <f t="shared" si="26"/>
        <v>7600</v>
      </c>
      <c r="K131" s="648">
        <f t="shared" si="26"/>
        <v>7600</v>
      </c>
      <c r="L131" s="587">
        <f t="shared" si="26"/>
        <v>7600</v>
      </c>
    </row>
    <row r="132" spans="1:12" ht="13.5" customHeight="1" thickBot="1" thickTop="1">
      <c r="A132" s="556"/>
      <c r="B132" s="557"/>
      <c r="C132" s="558" t="s">
        <v>43</v>
      </c>
      <c r="D132" s="559">
        <f>SUM(D130:D131)</f>
        <v>27600</v>
      </c>
      <c r="E132" s="559">
        <f>SUM(E130:E131)</f>
        <v>27600</v>
      </c>
      <c r="F132" s="559">
        <f>SUM(F130:F131)</f>
        <v>27600</v>
      </c>
      <c r="G132" s="603"/>
      <c r="H132" s="603"/>
      <c r="I132" s="603"/>
      <c r="J132" s="559">
        <f>SUM(J130:J131)</f>
        <v>27600</v>
      </c>
      <c r="K132" s="642">
        <f>SUM(K130:K131)</f>
        <v>27600</v>
      </c>
      <c r="L132" s="561">
        <f>SUM(L130:L131)</f>
        <v>27600</v>
      </c>
    </row>
    <row r="133" spans="1:12" ht="13.5" customHeight="1" thickBot="1" thickTop="1">
      <c r="A133" s="542"/>
      <c r="B133" s="649"/>
      <c r="C133" s="545"/>
      <c r="D133" s="545"/>
      <c r="E133" s="545"/>
      <c r="F133" s="545"/>
      <c r="G133" s="545"/>
      <c r="H133" s="545"/>
      <c r="I133" s="545"/>
      <c r="J133" s="545"/>
      <c r="K133" s="637"/>
      <c r="L133" s="600"/>
    </row>
    <row r="134" spans="1:12" ht="13.5" customHeight="1" thickTop="1">
      <c r="A134" s="650"/>
      <c r="B134" s="651"/>
      <c r="C134" s="618"/>
      <c r="D134" s="619"/>
      <c r="E134" s="619"/>
      <c r="F134" s="619"/>
      <c r="G134" s="619"/>
      <c r="H134" s="619"/>
      <c r="I134" s="619"/>
      <c r="J134" s="619"/>
      <c r="K134" s="652"/>
      <c r="L134" s="653"/>
    </row>
    <row r="135" spans="1:12" ht="13.5" customHeight="1">
      <c r="A135" s="749" t="s">
        <v>137</v>
      </c>
      <c r="B135" s="750"/>
      <c r="C135" s="751"/>
      <c r="D135" s="573">
        <f aca="true" t="shared" si="27" ref="D135:I135">SUM(D111,D120,D126,D132)</f>
        <v>2015369</v>
      </c>
      <c r="E135" s="573">
        <f t="shared" si="27"/>
        <v>2275910.8299999996</v>
      </c>
      <c r="F135" s="573">
        <f t="shared" si="27"/>
        <v>2333763.28974</v>
      </c>
      <c r="G135" s="573">
        <f t="shared" si="27"/>
        <v>81301</v>
      </c>
      <c r="H135" s="573">
        <f t="shared" si="27"/>
        <v>53073.93299999999</v>
      </c>
      <c r="I135" s="573">
        <f t="shared" si="27"/>
        <v>52584</v>
      </c>
      <c r="J135" s="573">
        <f>D135+G135</f>
        <v>2096670</v>
      </c>
      <c r="K135" s="637">
        <f>K111+K120+K126+K132</f>
        <v>2328984.763</v>
      </c>
      <c r="L135" s="600">
        <f>L111+L120+L126+L132</f>
        <v>2386347.28974</v>
      </c>
    </row>
    <row r="136" spans="1:12" ht="13.5" customHeight="1" thickBot="1">
      <c r="A136" s="654"/>
      <c r="B136" s="655"/>
      <c r="C136" s="629"/>
      <c r="D136" s="630"/>
      <c r="E136" s="630"/>
      <c r="F136" s="630"/>
      <c r="G136" s="630"/>
      <c r="H136" s="630"/>
      <c r="I136" s="630"/>
      <c r="J136" s="630"/>
      <c r="K136" s="656"/>
      <c r="L136" s="781"/>
    </row>
    <row r="137" ht="13.5" customHeight="1" thickTop="1"/>
  </sheetData>
  <sheetProtection/>
  <mergeCells count="10">
    <mergeCell ref="A96:C96"/>
    <mergeCell ref="A99:C99"/>
    <mergeCell ref="A101:K101"/>
    <mergeCell ref="A135:C135"/>
    <mergeCell ref="D6:F8"/>
    <mergeCell ref="G6:I8"/>
    <mergeCell ref="J6:L8"/>
    <mergeCell ref="A7:C8"/>
    <mergeCell ref="A10:L10"/>
    <mergeCell ref="A52:L5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2"/>
  <rowBreaks count="2" manualBreakCount="2">
    <brk id="51" max="255" man="1"/>
    <brk id="10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M47" sqref="M47"/>
    </sheetView>
  </sheetViews>
  <sheetFormatPr defaultColWidth="9.00390625" defaultRowHeight="12.75"/>
  <cols>
    <col min="1" max="1" width="4.375" style="0" customWidth="1"/>
    <col min="2" max="2" width="63.25390625" style="0" customWidth="1"/>
    <col min="3" max="3" width="11.625" style="0" customWidth="1"/>
  </cols>
  <sheetData>
    <row r="1" spans="1:3" ht="12.75">
      <c r="A1" s="30"/>
      <c r="B1" s="30"/>
      <c r="C1" s="31"/>
    </row>
    <row r="2" spans="1:3" ht="12.75">
      <c r="A2" s="30"/>
      <c r="B2" s="30"/>
      <c r="C2" s="31"/>
    </row>
    <row r="3" spans="1:3" ht="12.75">
      <c r="A3" s="30"/>
      <c r="B3" s="30"/>
      <c r="C3" s="31"/>
    </row>
    <row r="4" spans="1:3" ht="12.75">
      <c r="A4" s="30"/>
      <c r="B4" s="30"/>
      <c r="C4" s="31"/>
    </row>
    <row r="5" spans="1:3" ht="12.75">
      <c r="A5" s="30"/>
      <c r="B5" s="30"/>
      <c r="C5" s="31"/>
    </row>
    <row r="6" spans="1:3" ht="12.75">
      <c r="A6" s="30"/>
      <c r="B6" s="30"/>
      <c r="C6" s="31"/>
    </row>
    <row r="7" spans="1:3" ht="12.75">
      <c r="A7" s="30"/>
      <c r="B7" s="30"/>
      <c r="C7" s="31"/>
    </row>
    <row r="8" spans="1:3" ht="12.75">
      <c r="A8" s="777" t="s">
        <v>660</v>
      </c>
      <c r="B8" s="778"/>
      <c r="C8" s="778"/>
    </row>
    <row r="9" spans="1:3" ht="12.75">
      <c r="A9" s="657"/>
      <c r="B9" s="659"/>
      <c r="C9" s="658"/>
    </row>
    <row r="10" spans="1:3" ht="12.75">
      <c r="A10" s="660"/>
      <c r="B10" s="661"/>
      <c r="C10" s="660"/>
    </row>
    <row r="11" spans="1:3" ht="12.75">
      <c r="A11" s="660"/>
      <c r="B11" s="660"/>
      <c r="C11" s="660"/>
    </row>
    <row r="12" spans="1:3" ht="13.5" thickBot="1">
      <c r="A12" s="30"/>
      <c r="B12" s="30"/>
      <c r="C12" s="32" t="s">
        <v>0</v>
      </c>
    </row>
    <row r="13" spans="1:3" ht="12.75">
      <c r="A13" s="33"/>
      <c r="B13" s="34"/>
      <c r="C13" s="443"/>
    </row>
    <row r="14" spans="1:3" ht="12.75">
      <c r="A14" s="678" t="s">
        <v>661</v>
      </c>
      <c r="B14" s="679"/>
      <c r="C14" s="682" t="s">
        <v>662</v>
      </c>
    </row>
    <row r="15" spans="1:3" ht="7.5" customHeight="1">
      <c r="A15" s="678"/>
      <c r="B15" s="679"/>
      <c r="C15" s="682"/>
    </row>
    <row r="16" spans="1:3" ht="13.5" thickBot="1">
      <c r="A16" s="37"/>
      <c r="B16" s="38"/>
      <c r="C16" s="445"/>
    </row>
    <row r="17" spans="1:3" ht="12.75">
      <c r="A17" s="44"/>
      <c r="B17" s="45"/>
      <c r="C17" s="446"/>
    </row>
    <row r="18" spans="1:3" ht="12.75">
      <c r="A18" s="47" t="s">
        <v>15</v>
      </c>
      <c r="B18" s="48" t="s">
        <v>663</v>
      </c>
      <c r="C18" s="662"/>
    </row>
    <row r="19" spans="1:3" ht="12.75">
      <c r="A19" s="47" t="s">
        <v>17</v>
      </c>
      <c r="B19" s="51" t="s">
        <v>664</v>
      </c>
      <c r="C19" s="662"/>
    </row>
    <row r="20" spans="1:3" ht="13.5" thickBot="1">
      <c r="A20" s="47" t="s">
        <v>19</v>
      </c>
      <c r="B20" s="51" t="s">
        <v>665</v>
      </c>
      <c r="C20" s="662"/>
    </row>
    <row r="21" spans="1:3" ht="14.25" thickBot="1" thickTop="1">
      <c r="A21" s="663"/>
      <c r="B21" s="664" t="s">
        <v>666</v>
      </c>
      <c r="C21" s="665">
        <f>SUM(C18:C20)</f>
        <v>0</v>
      </c>
    </row>
    <row r="22" ht="14.25" thickBot="1" thickTop="1"/>
    <row r="23" spans="1:3" ht="12.75">
      <c r="A23" s="33"/>
      <c r="B23" s="34"/>
      <c r="C23" s="443"/>
    </row>
    <row r="24" spans="1:3" ht="12.75">
      <c r="A24" s="678" t="s">
        <v>667</v>
      </c>
      <c r="B24" s="679"/>
      <c r="C24" s="682" t="s">
        <v>662</v>
      </c>
    </row>
    <row r="25" spans="1:3" ht="12.75">
      <c r="A25" s="678"/>
      <c r="B25" s="679"/>
      <c r="C25" s="682"/>
    </row>
    <row r="26" spans="1:3" ht="13.5" thickBot="1">
      <c r="A26" s="37"/>
      <c r="B26" s="38"/>
      <c r="C26" s="445"/>
    </row>
    <row r="27" spans="1:3" ht="13.5" thickBot="1">
      <c r="A27" s="44"/>
      <c r="B27" s="45"/>
      <c r="C27" s="446"/>
    </row>
    <row r="28" spans="1:3" ht="14.25" thickBot="1" thickTop="1">
      <c r="A28" s="663"/>
      <c r="B28" s="664" t="s">
        <v>668</v>
      </c>
      <c r="C28" s="665">
        <f>C21</f>
        <v>0</v>
      </c>
    </row>
    <row r="29" spans="1:3" ht="13.5" thickTop="1">
      <c r="A29" s="666"/>
      <c r="B29" s="666"/>
      <c r="C29" s="667"/>
    </row>
    <row r="30" spans="1:3" ht="12.75">
      <c r="A30" s="666"/>
      <c r="B30" s="666"/>
      <c r="C30" s="667"/>
    </row>
  </sheetData>
  <sheetProtection/>
  <mergeCells count="5">
    <mergeCell ref="A8:C8"/>
    <mergeCell ref="A14:B15"/>
    <mergeCell ref="C14:C15"/>
    <mergeCell ref="A24:B25"/>
    <mergeCell ref="C24:C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56"/>
  <sheetViews>
    <sheetView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30" customWidth="1"/>
    <col min="2" max="2" width="37.75390625" style="30" customWidth="1"/>
    <col min="3" max="3" width="11.375" style="31" customWidth="1"/>
    <col min="4" max="4" width="11.625" style="31" customWidth="1"/>
    <col min="5" max="5" width="10.75390625" style="222" customWidth="1"/>
    <col min="6" max="16384" width="9.125" style="30" customWidth="1"/>
  </cols>
  <sheetData>
    <row r="7" ht="11.25" thickBot="1">
      <c r="E7" s="32" t="s">
        <v>0</v>
      </c>
    </row>
    <row r="8" spans="1:5" ht="5.25" customHeight="1">
      <c r="A8" s="33"/>
      <c r="B8" s="34"/>
      <c r="C8" s="35"/>
      <c r="D8" s="35"/>
      <c r="E8" s="219"/>
    </row>
    <row r="9" spans="1:5" s="36" customFormat="1" ht="10.5">
      <c r="A9" s="678" t="s">
        <v>40</v>
      </c>
      <c r="B9" s="679"/>
      <c r="C9" s="218" t="s">
        <v>41</v>
      </c>
      <c r="D9" s="218" t="s">
        <v>42</v>
      </c>
      <c r="E9" s="680" t="s">
        <v>43</v>
      </c>
    </row>
    <row r="10" spans="1:5" s="36" customFormat="1" ht="10.5">
      <c r="A10" s="678"/>
      <c r="B10" s="679"/>
      <c r="C10" s="218" t="s">
        <v>44</v>
      </c>
      <c r="D10" s="218" t="s">
        <v>44</v>
      </c>
      <c r="E10" s="680"/>
    </row>
    <row r="11" spans="1:5" ht="4.5" customHeight="1" thickBot="1">
      <c r="A11" s="37"/>
      <c r="B11" s="38"/>
      <c r="C11" s="39"/>
      <c r="D11" s="39"/>
      <c r="E11" s="220"/>
    </row>
    <row r="12" spans="1:5" ht="13.5" customHeight="1" thickBot="1">
      <c r="A12" s="675" t="s">
        <v>45</v>
      </c>
      <c r="B12" s="676"/>
      <c r="C12" s="676"/>
      <c r="D12" s="676"/>
      <c r="E12" s="677"/>
    </row>
    <row r="13" spans="1:5" s="43" customFormat="1" ht="12.75" customHeight="1">
      <c r="A13" s="40" t="s">
        <v>46</v>
      </c>
      <c r="B13" s="41" t="s">
        <v>47</v>
      </c>
      <c r="C13" s="42">
        <f>'Bev.,kiad.mód (3)'!D11+'Bev.,kiad.mód (3)'!D12</f>
        <v>76356</v>
      </c>
      <c r="D13" s="42">
        <f>'Bev.,kiad.mód (3)'!E11+'Bev.,kiad.mód (3)'!E12</f>
        <v>1497</v>
      </c>
      <c r="E13" s="240">
        <f>SUM(C13:D13)</f>
        <v>77853</v>
      </c>
    </row>
    <row r="14" spans="1:5" s="43" customFormat="1" ht="14.25" customHeight="1">
      <c r="A14" s="44" t="s">
        <v>48</v>
      </c>
      <c r="B14" s="45" t="s">
        <v>49</v>
      </c>
      <c r="C14" s="46"/>
      <c r="D14" s="46"/>
      <c r="E14" s="241"/>
    </row>
    <row r="15" spans="1:5" s="50" customFormat="1" ht="12" customHeight="1">
      <c r="A15" s="47" t="s">
        <v>15</v>
      </c>
      <c r="B15" s="48" t="s">
        <v>386</v>
      </c>
      <c r="C15" s="49">
        <f>'Bev.,kiad.mód (3)'!D33</f>
        <v>60342</v>
      </c>
      <c r="D15" s="49">
        <f>'Bev.,kiad.mód (3)'!E33</f>
        <v>1820</v>
      </c>
      <c r="E15" s="242">
        <f aca="true" t="shared" si="0" ref="E15:E23">SUM(C15:D15)</f>
        <v>62162</v>
      </c>
    </row>
    <row r="16" spans="1:5" s="50" customFormat="1" ht="12" customHeight="1">
      <c r="A16" s="47" t="s">
        <v>17</v>
      </c>
      <c r="B16" s="51" t="s">
        <v>20</v>
      </c>
      <c r="C16" s="52">
        <f>'Bev.,kiad.mód (3)'!D39+'Bev.,kiad.mód (3)'!D40+'Bev.,kiad.mód (3)'!D37</f>
        <v>445829</v>
      </c>
      <c r="D16" s="52">
        <f>'Bev.,kiad.mód (3)'!E39+'Bev.,kiad.mód (3)'!E40+'Bev.,kiad.mód (3)'!E38</f>
        <v>44000</v>
      </c>
      <c r="E16" s="242">
        <f t="shared" si="0"/>
        <v>489829</v>
      </c>
    </row>
    <row r="17" spans="1:5" s="50" customFormat="1" ht="12" customHeight="1">
      <c r="A17" s="47" t="s">
        <v>19</v>
      </c>
      <c r="B17" s="51" t="s">
        <v>22</v>
      </c>
      <c r="C17" s="52">
        <f>'Bev.,kiad.mód (3)'!D41+'Bev.,kiad.mód (3)'!D42</f>
        <v>354093</v>
      </c>
      <c r="D17" s="52">
        <f>'Bev.,kiad.mód (3)'!E41+'Bev.,kiad.mód (3)'!E42</f>
        <v>0</v>
      </c>
      <c r="E17" s="242">
        <f t="shared" si="0"/>
        <v>354093</v>
      </c>
    </row>
    <row r="18" spans="1:5" s="50" customFormat="1" ht="12" customHeight="1">
      <c r="A18" s="47" t="s">
        <v>21</v>
      </c>
      <c r="B18" s="51" t="s">
        <v>50</v>
      </c>
      <c r="C18" s="52">
        <f>'Bev.,kiad.mód (3)'!D43+'Bev.,kiad.mód (3)'!D44+'Bev.,kiad.mód (3)'!D45+'Bev.,kiad.mód (3)'!D46+'Bev.,kiad.mód (3)'!D47+'Bev.,kiad.mód (3)'!D48</f>
        <v>7441</v>
      </c>
      <c r="D18" s="52"/>
      <c r="E18" s="242">
        <f t="shared" si="0"/>
        <v>7441</v>
      </c>
    </row>
    <row r="19" spans="1:5" s="50" customFormat="1" ht="12" customHeight="1">
      <c r="A19" s="47" t="s">
        <v>23</v>
      </c>
      <c r="B19" s="51" t="s">
        <v>51</v>
      </c>
      <c r="C19" s="52"/>
      <c r="D19" s="52">
        <f>'Bev.,kiad.mód (3)'!E60</f>
        <v>24980</v>
      </c>
      <c r="E19" s="242">
        <f t="shared" si="0"/>
        <v>24980</v>
      </c>
    </row>
    <row r="20" spans="1:5" s="50" customFormat="1" ht="12" customHeight="1">
      <c r="A20" s="47" t="s">
        <v>25</v>
      </c>
      <c r="B20" s="51" t="s">
        <v>52</v>
      </c>
      <c r="C20" s="52">
        <f>'Bev.,kiad.mód (3)'!D129+'Bev.,kiad.mód (3)'!D152</f>
        <v>662050</v>
      </c>
      <c r="D20" s="52">
        <f>'Bev.,kiad.mód (3)'!E152</f>
        <v>4292</v>
      </c>
      <c r="E20" s="242">
        <f t="shared" si="0"/>
        <v>666342</v>
      </c>
    </row>
    <row r="21" spans="1:5" s="50" customFormat="1" ht="12" customHeight="1">
      <c r="A21" s="47" t="s">
        <v>27</v>
      </c>
      <c r="B21" s="51" t="s">
        <v>230</v>
      </c>
      <c r="C21" s="52">
        <f>'Bev.,kiad.mód (3)'!D100</f>
        <v>109240.942</v>
      </c>
      <c r="D21" s="52">
        <f>'Bev.,kiad.mód (3)'!E100</f>
        <v>983</v>
      </c>
      <c r="E21" s="242">
        <f t="shared" si="0"/>
        <v>110223.942</v>
      </c>
    </row>
    <row r="22" spans="1:5" s="50" customFormat="1" ht="12" customHeight="1">
      <c r="A22" s="47" t="s">
        <v>28</v>
      </c>
      <c r="B22" s="249" t="s">
        <v>240</v>
      </c>
      <c r="C22" s="52">
        <f>'Bev.,kiad.mód (3)'!D115</f>
        <v>127</v>
      </c>
      <c r="D22" s="52">
        <f>'Bev.,kiad.mód (3)'!E115</f>
        <v>21375</v>
      </c>
      <c r="E22" s="242">
        <f>SUM(C22:D22)</f>
        <v>21502</v>
      </c>
    </row>
    <row r="23" spans="1:5" s="50" customFormat="1" ht="12" customHeight="1" thickBot="1">
      <c r="A23" s="47" t="s">
        <v>30</v>
      </c>
      <c r="B23" s="53" t="s">
        <v>53</v>
      </c>
      <c r="C23" s="54"/>
      <c r="D23" s="54">
        <f>'Bev.,kiad.mód (3)'!E169</f>
        <v>9779</v>
      </c>
      <c r="E23" s="258">
        <f t="shared" si="0"/>
        <v>9779</v>
      </c>
    </row>
    <row r="24" spans="1:5" s="58" customFormat="1" ht="10.5" thickBot="1" thickTop="1">
      <c r="A24" s="55"/>
      <c r="B24" s="56" t="s">
        <v>54</v>
      </c>
      <c r="C24" s="57">
        <f>SUM(C15:C23)</f>
        <v>1639122.942</v>
      </c>
      <c r="D24" s="57">
        <f>SUM(D15:D23)</f>
        <v>107229</v>
      </c>
      <c r="E24" s="243">
        <f>SUM(C24:D24)</f>
        <v>1746351.942</v>
      </c>
    </row>
    <row r="25" spans="1:5" s="58" customFormat="1" ht="10.5" thickBot="1" thickTop="1">
      <c r="A25" s="55"/>
      <c r="B25" s="56" t="s">
        <v>421</v>
      </c>
      <c r="C25" s="57">
        <f>'Bev.,kiad.mód (3)'!D172+'Bev.,kiad.mód (3)'!D13</f>
        <v>0</v>
      </c>
      <c r="D25" s="57">
        <f>'Bev.,kiad.mód (3)'!E13+'Bev.,kiad.mód (3)'!E172</f>
        <v>86938</v>
      </c>
      <c r="E25" s="243">
        <f>C25+D25</f>
        <v>86938</v>
      </c>
    </row>
    <row r="26" spans="1:5" s="58" customFormat="1" ht="10.5" thickBot="1" thickTop="1">
      <c r="A26" s="55"/>
      <c r="B26" s="56" t="s">
        <v>589</v>
      </c>
      <c r="C26" s="57">
        <f>'Bev.,kiad.mód (3)'!D174</f>
        <v>3500</v>
      </c>
      <c r="D26" s="57"/>
      <c r="E26" s="243">
        <f>C26</f>
        <v>3500</v>
      </c>
    </row>
    <row r="27" spans="1:5" s="62" customFormat="1" ht="15" customHeight="1" thickBot="1" thickTop="1">
      <c r="A27" s="59"/>
      <c r="B27" s="60" t="s">
        <v>55</v>
      </c>
      <c r="C27" s="61">
        <f>SUM(C13,C25)+C24+C26</f>
        <v>1718978.942</v>
      </c>
      <c r="D27" s="61">
        <f>SUM(D13,D25)+D24</f>
        <v>195664</v>
      </c>
      <c r="E27" s="244">
        <f>SUM(E13,E25)+E24+E26</f>
        <v>1914642.942</v>
      </c>
    </row>
    <row r="28" spans="1:5" ht="18" customHeight="1" thickBot="1" thickTop="1">
      <c r="A28" s="63" t="s">
        <v>32</v>
      </c>
      <c r="B28" s="60" t="s">
        <v>56</v>
      </c>
      <c r="C28" s="61">
        <f>'Bev.,kiad.mód (3)'!D154</f>
        <v>246199</v>
      </c>
      <c r="D28" s="61"/>
      <c r="E28" s="244">
        <f>SUM(C28:D28)</f>
        <v>246199</v>
      </c>
    </row>
    <row r="29" spans="1:5" ht="13.5" customHeight="1" thickBot="1" thickTop="1">
      <c r="A29" s="150" t="s">
        <v>33</v>
      </c>
      <c r="B29" s="149" t="s">
        <v>460</v>
      </c>
      <c r="C29" s="402">
        <f>'Bev.,kiad.mód (3)'!D155</f>
        <v>142611</v>
      </c>
      <c r="D29" s="402">
        <f>'Bev.,kiad.mód (3)'!E155</f>
        <v>28109</v>
      </c>
      <c r="E29" s="245">
        <f>C29+D29</f>
        <v>170720</v>
      </c>
    </row>
    <row r="30" spans="1:5" ht="15" customHeight="1" thickBot="1" thickTop="1">
      <c r="A30" s="400" t="s">
        <v>101</v>
      </c>
      <c r="B30" s="401" t="s">
        <v>547</v>
      </c>
      <c r="C30" s="402"/>
      <c r="D30" s="402">
        <f>10000-6600</f>
        <v>3400</v>
      </c>
      <c r="E30" s="245">
        <f>D30</f>
        <v>3400</v>
      </c>
    </row>
    <row r="31" spans="1:5" ht="15" customHeight="1" thickBot="1" thickTop="1">
      <c r="A31" s="400" t="s">
        <v>104</v>
      </c>
      <c r="B31" s="401" t="s">
        <v>578</v>
      </c>
      <c r="C31" s="402"/>
      <c r="D31" s="402">
        <f>'Bev.,kiad.mód (3)'!E157</f>
        <v>508824</v>
      </c>
      <c r="E31" s="245">
        <f>D31</f>
        <v>508824</v>
      </c>
    </row>
    <row r="32" spans="1:5" ht="15" customHeight="1" thickBot="1" thickTop="1">
      <c r="A32" s="400" t="s">
        <v>115</v>
      </c>
      <c r="B32" s="401" t="s">
        <v>579</v>
      </c>
      <c r="C32" s="402"/>
      <c r="D32" s="402">
        <f>'Bev.,kiad.mód (3)'!E158</f>
        <v>300000</v>
      </c>
      <c r="E32" s="245">
        <f>D32</f>
        <v>300000</v>
      </c>
    </row>
    <row r="33" spans="1:5" s="36" customFormat="1" ht="11.25" thickTop="1">
      <c r="A33" s="678" t="s">
        <v>40</v>
      </c>
      <c r="B33" s="681"/>
      <c r="C33" s="218" t="s">
        <v>41</v>
      </c>
      <c r="D33" s="218" t="s">
        <v>42</v>
      </c>
      <c r="E33" s="680" t="s">
        <v>43</v>
      </c>
    </row>
    <row r="34" spans="1:5" s="36" customFormat="1" ht="10.5">
      <c r="A34" s="678"/>
      <c r="B34" s="681"/>
      <c r="C34" s="218" t="s">
        <v>44</v>
      </c>
      <c r="D34" s="218" t="s">
        <v>44</v>
      </c>
      <c r="E34" s="680"/>
    </row>
    <row r="35" spans="1:5" ht="4.5" customHeight="1" thickBot="1">
      <c r="A35" s="37"/>
      <c r="B35" s="64"/>
      <c r="C35" s="39"/>
      <c r="D35" s="39"/>
      <c r="E35" s="220"/>
    </row>
    <row r="36" spans="1:5" ht="13.5" customHeight="1" thickBot="1">
      <c r="A36" s="675" t="s">
        <v>57</v>
      </c>
      <c r="B36" s="676"/>
      <c r="C36" s="676"/>
      <c r="D36" s="676"/>
      <c r="E36" s="677"/>
    </row>
    <row r="37" spans="1:5" s="43" customFormat="1" ht="11.25" customHeight="1">
      <c r="A37" s="44" t="s">
        <v>46</v>
      </c>
      <c r="B37" s="45" t="s">
        <v>58</v>
      </c>
      <c r="C37" s="65"/>
      <c r="D37" s="65"/>
      <c r="E37" s="221"/>
    </row>
    <row r="38" spans="1:5" s="50" customFormat="1" ht="13.5" customHeight="1">
      <c r="A38" s="47" t="s">
        <v>15</v>
      </c>
      <c r="B38" s="48" t="s">
        <v>35</v>
      </c>
      <c r="C38" s="49">
        <f>'Bev.,kiad.mód (3)'!D182</f>
        <v>681518</v>
      </c>
      <c r="D38" s="49"/>
      <c r="E38" s="242">
        <f aca="true" t="shared" si="1" ref="E38:E44">SUM(C38:D38)</f>
        <v>681518</v>
      </c>
    </row>
    <row r="39" spans="1:5" s="50" customFormat="1" ht="13.5" customHeight="1">
      <c r="A39" s="47" t="s">
        <v>17</v>
      </c>
      <c r="B39" s="51" t="s">
        <v>36</v>
      </c>
      <c r="C39" s="49">
        <f>'Bev.,kiad.mód (3)'!D183</f>
        <v>208661</v>
      </c>
      <c r="D39" s="52"/>
      <c r="E39" s="242">
        <f t="shared" si="1"/>
        <v>208661</v>
      </c>
    </row>
    <row r="40" spans="1:5" s="50" customFormat="1" ht="13.5" customHeight="1">
      <c r="A40" s="47" t="s">
        <v>19</v>
      </c>
      <c r="B40" s="51" t="s">
        <v>37</v>
      </c>
      <c r="C40" s="49">
        <f>'Bev.,kiad.mód (3)'!D184</f>
        <v>601851.2</v>
      </c>
      <c r="D40" s="52"/>
      <c r="E40" s="242">
        <f t="shared" si="1"/>
        <v>601851.2</v>
      </c>
    </row>
    <row r="41" spans="1:5" s="50" customFormat="1" ht="13.5" customHeight="1">
      <c r="A41" s="47" t="s">
        <v>21</v>
      </c>
      <c r="B41" s="51" t="s">
        <v>59</v>
      </c>
      <c r="C41" s="49">
        <f>'Bev.,kiad.mód (3)'!D185</f>
        <v>0</v>
      </c>
      <c r="D41" s="52"/>
      <c r="E41" s="242">
        <f t="shared" si="1"/>
        <v>0</v>
      </c>
    </row>
    <row r="42" spans="1:5" s="50" customFormat="1" ht="13.5" customHeight="1">
      <c r="A42" s="47" t="s">
        <v>23</v>
      </c>
      <c r="B42" s="51" t="s">
        <v>237</v>
      </c>
      <c r="C42" s="49">
        <f>'Bev.,kiad.mód (3)'!D186</f>
        <v>181114</v>
      </c>
      <c r="D42" s="52"/>
      <c r="E42" s="242">
        <f t="shared" si="1"/>
        <v>181114</v>
      </c>
    </row>
    <row r="43" spans="1:5" s="50" customFormat="1" ht="13.5" customHeight="1" thickBot="1">
      <c r="A43" s="47" t="s">
        <v>25</v>
      </c>
      <c r="B43" s="145" t="s">
        <v>233</v>
      </c>
      <c r="C43" s="49">
        <f>'Bev.,kiad.mód (3)'!D187</f>
        <v>411873</v>
      </c>
      <c r="D43" s="54"/>
      <c r="E43" s="242">
        <f t="shared" si="1"/>
        <v>411873</v>
      </c>
    </row>
    <row r="44" spans="1:5" s="58" customFormat="1" ht="10.5" thickBot="1" thickTop="1">
      <c r="A44" s="55"/>
      <c r="B44" s="56" t="s">
        <v>60</v>
      </c>
      <c r="C44" s="57">
        <f>SUM(C38:C43)</f>
        <v>2085017.2</v>
      </c>
      <c r="D44" s="66">
        <f>SUM(D38:D42)</f>
        <v>0</v>
      </c>
      <c r="E44" s="246">
        <f t="shared" si="1"/>
        <v>2085017.2</v>
      </c>
    </row>
    <row r="45" spans="1:5" s="43" customFormat="1" ht="15" customHeight="1" thickTop="1">
      <c r="A45" s="44" t="s">
        <v>48</v>
      </c>
      <c r="B45" s="45" t="s">
        <v>61</v>
      </c>
      <c r="C45" s="67"/>
      <c r="D45" s="67"/>
      <c r="E45" s="247"/>
    </row>
    <row r="46" spans="1:5" s="50" customFormat="1" ht="13.5" customHeight="1">
      <c r="A46" s="47" t="s">
        <v>15</v>
      </c>
      <c r="B46" s="48" t="s">
        <v>62</v>
      </c>
      <c r="C46" s="49"/>
      <c r="D46" s="49">
        <f>'Bev.,kiad.mód (3)'!E193+'Bev.,kiad.mód (3)'!E194</f>
        <v>683026</v>
      </c>
      <c r="E46" s="242">
        <f>SUM(C46:D46)</f>
        <v>683026</v>
      </c>
    </row>
    <row r="47" spans="1:5" s="50" customFormat="1" ht="12" customHeight="1">
      <c r="A47" s="47" t="s">
        <v>17</v>
      </c>
      <c r="B47" s="51" t="s">
        <v>63</v>
      </c>
      <c r="C47" s="52"/>
      <c r="D47" s="49">
        <f>'Bev.,kiad.mód (3)'!E195+'Bev.,kiad.mód (3)'!E196</f>
        <v>27809</v>
      </c>
      <c r="E47" s="242">
        <f>SUM(C47:D47)</f>
        <v>27809</v>
      </c>
    </row>
    <row r="48" spans="1:5" s="50" customFormat="1" ht="12" customHeight="1" thickBot="1">
      <c r="A48" s="47" t="s">
        <v>19</v>
      </c>
      <c r="B48" s="51" t="s">
        <v>64</v>
      </c>
      <c r="C48" s="52"/>
      <c r="D48" s="49">
        <f>'Bev.,kiad.mód (3)'!E202</f>
        <v>25162</v>
      </c>
      <c r="E48" s="242">
        <f>SUM(C48:D48)</f>
        <v>25162</v>
      </c>
    </row>
    <row r="49" spans="1:5" s="58" customFormat="1" ht="12.75" customHeight="1" thickBot="1" thickTop="1">
      <c r="A49" s="55"/>
      <c r="B49" s="56" t="s">
        <v>60</v>
      </c>
      <c r="C49" s="66">
        <f>SUM(C46:C48)</f>
        <v>0</v>
      </c>
      <c r="D49" s="57">
        <f>SUM(D46:D48)</f>
        <v>735997</v>
      </c>
      <c r="E49" s="246">
        <f>SUM(C49:D49)</f>
        <v>735997</v>
      </c>
    </row>
    <row r="50" spans="1:5" s="43" customFormat="1" ht="15" customHeight="1" thickTop="1">
      <c r="A50" s="44" t="s">
        <v>65</v>
      </c>
      <c r="B50" s="45" t="s">
        <v>39</v>
      </c>
      <c r="C50" s="67"/>
      <c r="D50" s="67"/>
      <c r="E50" s="247"/>
    </row>
    <row r="51" spans="1:5" s="50" customFormat="1" ht="13.5" customHeight="1">
      <c r="A51" s="47" t="s">
        <v>15</v>
      </c>
      <c r="B51" s="48" t="s">
        <v>66</v>
      </c>
      <c r="C51" s="49">
        <f>'Bev.,kiad.mód (3)'!D205</f>
        <v>21524</v>
      </c>
      <c r="D51" s="49"/>
      <c r="E51" s="242">
        <f>SUM(C51:D51)</f>
        <v>21524</v>
      </c>
    </row>
    <row r="52" spans="1:5" s="50" customFormat="1" ht="12" customHeight="1">
      <c r="A52" s="47" t="s">
        <v>17</v>
      </c>
      <c r="B52" s="51" t="s">
        <v>67</v>
      </c>
      <c r="C52" s="49">
        <f>'Bev.,kiad.mód (3)'!D206</f>
        <v>1248</v>
      </c>
      <c r="D52" s="52"/>
      <c r="E52" s="248">
        <f>SUM(C52:D52)</f>
        <v>1248</v>
      </c>
    </row>
    <row r="53" spans="1:5" s="50" customFormat="1" ht="12" customHeight="1" thickBot="1">
      <c r="A53" s="47" t="s">
        <v>19</v>
      </c>
      <c r="B53" s="53" t="s">
        <v>580</v>
      </c>
      <c r="C53" s="54"/>
      <c r="D53" s="54">
        <f>'Bev.,kiad.mód (3)'!E207</f>
        <v>300000</v>
      </c>
      <c r="E53" s="403">
        <f>D53</f>
        <v>300000</v>
      </c>
    </row>
    <row r="54" spans="1:5" s="58" customFormat="1" ht="12.75" customHeight="1" thickBot="1" thickTop="1">
      <c r="A54" s="55"/>
      <c r="B54" s="56" t="s">
        <v>60</v>
      </c>
      <c r="C54" s="57">
        <f>SUM(C51:C53)</f>
        <v>22772</v>
      </c>
      <c r="D54" s="57">
        <f>SUM(D51:D53)</f>
        <v>300000</v>
      </c>
      <c r="E54" s="246">
        <f>SUM(C54:D54)</f>
        <v>322772</v>
      </c>
    </row>
    <row r="55" spans="1:5" s="58" customFormat="1" ht="6.75" customHeight="1" thickBot="1" thickTop="1">
      <c r="A55" s="55"/>
      <c r="B55" s="56"/>
      <c r="C55" s="57"/>
      <c r="D55" s="57"/>
      <c r="E55" s="246"/>
    </row>
    <row r="56" spans="1:5" s="62" customFormat="1" ht="15" customHeight="1" thickBot="1" thickTop="1">
      <c r="A56" s="59"/>
      <c r="B56" s="60" t="s">
        <v>68</v>
      </c>
      <c r="C56" s="61">
        <f>SUM(C44,C49,C54)</f>
        <v>2107789.2</v>
      </c>
      <c r="D56" s="61">
        <f>SUM(D44,D49,D54)</f>
        <v>1035997</v>
      </c>
      <c r="E56" s="245">
        <f>SUM(C56:D56)</f>
        <v>3143786.2</v>
      </c>
    </row>
    <row r="57" ht="11.25" thickTop="1"/>
  </sheetData>
  <sheetProtection/>
  <mergeCells count="6">
    <mergeCell ref="A36:E36"/>
    <mergeCell ref="A9:B10"/>
    <mergeCell ref="E9:E10"/>
    <mergeCell ref="A12:E12"/>
    <mergeCell ref="A33:B34"/>
    <mergeCell ref="E33:E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E129"/>
  <sheetViews>
    <sheetView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30" customWidth="1"/>
    <col min="2" max="2" width="37.75390625" style="30" customWidth="1"/>
    <col min="3" max="3" width="11.375" style="31" customWidth="1"/>
    <col min="4" max="4" width="11.625" style="31" customWidth="1"/>
    <col min="5" max="5" width="10.75390625" style="31" customWidth="1"/>
    <col min="6" max="16384" width="9.125" style="30" customWidth="1"/>
  </cols>
  <sheetData>
    <row r="1" ht="12" customHeight="1"/>
    <row r="2" ht="12" customHeight="1"/>
    <row r="7" ht="11.25" thickBot="1">
      <c r="E7" s="32" t="s">
        <v>0</v>
      </c>
    </row>
    <row r="8" spans="1:5" ht="10.5">
      <c r="A8" s="33"/>
      <c r="B8" s="34"/>
      <c r="C8" s="35"/>
      <c r="D8" s="35"/>
      <c r="E8" s="443"/>
    </row>
    <row r="9" spans="1:5" ht="10.5">
      <c r="A9" s="678" t="s">
        <v>40</v>
      </c>
      <c r="B9" s="679"/>
      <c r="C9" s="444" t="s">
        <v>41</v>
      </c>
      <c r="D9" s="444" t="s">
        <v>42</v>
      </c>
      <c r="E9" s="682" t="s">
        <v>43</v>
      </c>
    </row>
    <row r="10" spans="1:5" ht="10.5">
      <c r="A10" s="678"/>
      <c r="B10" s="679"/>
      <c r="C10" s="444" t="s">
        <v>44</v>
      </c>
      <c r="D10" s="444" t="s">
        <v>44</v>
      </c>
      <c r="E10" s="682"/>
    </row>
    <row r="11" spans="1:5" ht="11.25" thickBot="1">
      <c r="A11" s="37"/>
      <c r="B11" s="38"/>
      <c r="C11" s="39"/>
      <c r="D11" s="39"/>
      <c r="E11" s="445"/>
    </row>
    <row r="12" spans="1:5" ht="11.25" thickBot="1">
      <c r="A12" s="675" t="s">
        <v>45</v>
      </c>
      <c r="B12" s="676"/>
      <c r="C12" s="676"/>
      <c r="D12" s="676"/>
      <c r="E12" s="677"/>
    </row>
    <row r="13" spans="1:5" ht="10.5">
      <c r="A13" s="40"/>
      <c r="B13" s="41"/>
      <c r="C13" s="42"/>
      <c r="D13" s="42"/>
      <c r="E13" s="240"/>
    </row>
    <row r="14" spans="1:5" ht="10.5">
      <c r="A14" s="44" t="s">
        <v>46</v>
      </c>
      <c r="B14" s="45" t="s">
        <v>590</v>
      </c>
      <c r="C14" s="46"/>
      <c r="D14" s="46"/>
      <c r="E14" s="446"/>
    </row>
    <row r="15" spans="1:5" ht="10.5">
      <c r="A15" s="47" t="s">
        <v>15</v>
      </c>
      <c r="B15" s="51" t="s">
        <v>52</v>
      </c>
      <c r="C15" s="52">
        <v>876</v>
      </c>
      <c r="D15" s="447"/>
      <c r="E15" s="248">
        <f>SUM(C15:D15)</f>
        <v>876</v>
      </c>
    </row>
    <row r="16" spans="1:5" ht="10.5">
      <c r="A16" s="47" t="s">
        <v>17</v>
      </c>
      <c r="B16" s="51" t="s">
        <v>421</v>
      </c>
      <c r="C16" s="52">
        <v>306</v>
      </c>
      <c r="D16" s="52"/>
      <c r="E16" s="242">
        <f>C16</f>
        <v>306</v>
      </c>
    </row>
    <row r="17" spans="1:5" ht="11.25" thickBot="1">
      <c r="A17" s="47" t="s">
        <v>19</v>
      </c>
      <c r="B17" s="53" t="s">
        <v>591</v>
      </c>
      <c r="C17" s="54">
        <v>15</v>
      </c>
      <c r="D17" s="54"/>
      <c r="E17" s="403">
        <f>C17</f>
        <v>15</v>
      </c>
    </row>
    <row r="18" spans="1:5" ht="12" thickBot="1" thickTop="1">
      <c r="A18" s="55"/>
      <c r="B18" s="56" t="s">
        <v>592</v>
      </c>
      <c r="C18" s="57">
        <f>SUM(C7:C17)</f>
        <v>1197</v>
      </c>
      <c r="D18" s="57">
        <f>SUM(D7:D16)</f>
        <v>0</v>
      </c>
      <c r="E18" s="243">
        <f>SUM(C18:D18)</f>
        <v>1197</v>
      </c>
    </row>
    <row r="19" spans="1:5" ht="12" thickBot="1" thickTop="1">
      <c r="A19" s="55"/>
      <c r="B19" s="56"/>
      <c r="C19" s="57"/>
      <c r="D19" s="57"/>
      <c r="E19" s="243"/>
    </row>
    <row r="20" spans="1:5" ht="12" thickBot="1" thickTop="1">
      <c r="A20" s="59"/>
      <c r="B20" s="60" t="s">
        <v>55</v>
      </c>
      <c r="C20" s="61">
        <f>SUM(C18,C19)</f>
        <v>1197</v>
      </c>
      <c r="D20" s="61">
        <f>SUM(D18,D19)</f>
        <v>0</v>
      </c>
      <c r="E20" s="244">
        <f>SUM(E18,E19)</f>
        <v>1197</v>
      </c>
    </row>
    <row r="21" spans="1:5" ht="11.25" thickTop="1">
      <c r="A21" s="50"/>
      <c r="B21" s="50"/>
      <c r="C21" s="448"/>
      <c r="D21" s="448"/>
      <c r="E21" s="448"/>
    </row>
    <row r="22" spans="1:5" ht="10.5">
      <c r="A22" s="50"/>
      <c r="B22" s="50"/>
      <c r="C22" s="448"/>
      <c r="D22" s="448"/>
      <c r="E22" s="448"/>
    </row>
    <row r="23" spans="1:5" ht="10.5">
      <c r="A23" s="50"/>
      <c r="B23" s="50"/>
      <c r="C23" s="448"/>
      <c r="D23" s="448"/>
      <c r="E23" s="448"/>
    </row>
    <row r="24" spans="1:5" ht="10.5">
      <c r="A24" s="50"/>
      <c r="B24" s="50"/>
      <c r="C24" s="448"/>
      <c r="D24" s="448"/>
      <c r="E24" s="448"/>
    </row>
    <row r="25" spans="1:5" ht="10.5">
      <c r="A25" s="50"/>
      <c r="B25" s="50"/>
      <c r="C25" s="448"/>
      <c r="D25" s="448"/>
      <c r="E25" s="448"/>
    </row>
    <row r="27" ht="11.25" thickBot="1">
      <c r="E27" s="32" t="s">
        <v>0</v>
      </c>
    </row>
    <row r="28" spans="1:5" ht="10.5">
      <c r="A28" s="33"/>
      <c r="B28" s="449"/>
      <c r="C28" s="35"/>
      <c r="D28" s="35"/>
      <c r="E28" s="443"/>
    </row>
    <row r="29" spans="1:5" ht="10.5">
      <c r="A29" s="678" t="s">
        <v>40</v>
      </c>
      <c r="B29" s="681"/>
      <c r="C29" s="444" t="s">
        <v>41</v>
      </c>
      <c r="D29" s="444" t="s">
        <v>42</v>
      </c>
      <c r="E29" s="682" t="s">
        <v>43</v>
      </c>
    </row>
    <row r="30" spans="1:5" ht="10.5">
      <c r="A30" s="678"/>
      <c r="B30" s="681"/>
      <c r="C30" s="444" t="s">
        <v>44</v>
      </c>
      <c r="D30" s="444" t="s">
        <v>44</v>
      </c>
      <c r="E30" s="682"/>
    </row>
    <row r="31" spans="1:5" ht="11.25" thickBot="1">
      <c r="A31" s="37"/>
      <c r="B31" s="64"/>
      <c r="C31" s="39"/>
      <c r="D31" s="39"/>
      <c r="E31" s="445"/>
    </row>
    <row r="32" spans="1:5" ht="11.25" thickBot="1">
      <c r="A32" s="675" t="s">
        <v>57</v>
      </c>
      <c r="B32" s="676"/>
      <c r="C32" s="676"/>
      <c r="D32" s="676"/>
      <c r="E32" s="677"/>
    </row>
    <row r="33" spans="1:5" ht="10.5">
      <c r="A33" s="44" t="s">
        <v>46</v>
      </c>
      <c r="B33" s="45" t="s">
        <v>58</v>
      </c>
      <c r="C33" s="65"/>
      <c r="D33" s="65"/>
      <c r="E33" s="450"/>
    </row>
    <row r="34" spans="1:5" ht="10.5">
      <c r="A34" s="47" t="s">
        <v>15</v>
      </c>
      <c r="B34" s="48" t="s">
        <v>35</v>
      </c>
      <c r="C34" s="49">
        <v>30</v>
      </c>
      <c r="D34" s="49"/>
      <c r="E34" s="242">
        <f aca="true" t="shared" si="0" ref="E34:E40">SUM(C34:D34)</f>
        <v>30</v>
      </c>
    </row>
    <row r="35" spans="1:5" ht="10.5">
      <c r="A35" s="47" t="s">
        <v>17</v>
      </c>
      <c r="B35" s="51" t="s">
        <v>36</v>
      </c>
      <c r="C35" s="49">
        <v>40</v>
      </c>
      <c r="D35" s="52"/>
      <c r="E35" s="242">
        <f t="shared" si="0"/>
        <v>40</v>
      </c>
    </row>
    <row r="36" spans="1:5" ht="10.5">
      <c r="A36" s="47" t="s">
        <v>19</v>
      </c>
      <c r="B36" s="51" t="s">
        <v>37</v>
      </c>
      <c r="C36" s="49">
        <v>1127</v>
      </c>
      <c r="D36" s="52"/>
      <c r="E36" s="242">
        <f t="shared" si="0"/>
        <v>1127</v>
      </c>
    </row>
    <row r="37" spans="1:5" ht="10.5">
      <c r="A37" s="47" t="s">
        <v>21</v>
      </c>
      <c r="B37" s="51" t="s">
        <v>59</v>
      </c>
      <c r="C37" s="49">
        <v>0</v>
      </c>
      <c r="D37" s="52"/>
      <c r="E37" s="242">
        <f t="shared" si="0"/>
        <v>0</v>
      </c>
    </row>
    <row r="38" spans="1:5" ht="10.5">
      <c r="A38" s="47" t="s">
        <v>23</v>
      </c>
      <c r="B38" s="51" t="s">
        <v>593</v>
      </c>
      <c r="C38" s="49">
        <v>0</v>
      </c>
      <c r="D38" s="52"/>
      <c r="E38" s="242">
        <f t="shared" si="0"/>
        <v>0</v>
      </c>
    </row>
    <row r="39" spans="1:5" ht="12" thickBot="1">
      <c r="A39" s="47" t="s">
        <v>25</v>
      </c>
      <c r="B39" s="145" t="s">
        <v>233</v>
      </c>
      <c r="C39" s="49">
        <v>0</v>
      </c>
      <c r="D39" s="54"/>
      <c r="E39" s="242">
        <f t="shared" si="0"/>
        <v>0</v>
      </c>
    </row>
    <row r="40" spans="1:5" ht="12" thickBot="1" thickTop="1">
      <c r="A40" s="55"/>
      <c r="B40" s="56" t="s">
        <v>60</v>
      </c>
      <c r="C40" s="57">
        <f>SUM(C34:C39)</f>
        <v>1197</v>
      </c>
      <c r="D40" s="66">
        <f>SUM(D34:D38)</f>
        <v>0</v>
      </c>
      <c r="E40" s="246">
        <f t="shared" si="0"/>
        <v>1197</v>
      </c>
    </row>
    <row r="41" spans="1:5" ht="12" thickBot="1" thickTop="1">
      <c r="A41" s="55"/>
      <c r="B41" s="56"/>
      <c r="C41" s="57"/>
      <c r="D41" s="57"/>
      <c r="E41" s="246"/>
    </row>
    <row r="42" spans="1:5" ht="12" thickBot="1" thickTop="1">
      <c r="A42" s="59"/>
      <c r="B42" s="60" t="s">
        <v>68</v>
      </c>
      <c r="C42" s="61">
        <f>SUM(C40)</f>
        <v>1197</v>
      </c>
      <c r="D42" s="61">
        <f>SUM(D40)</f>
        <v>0</v>
      </c>
      <c r="E42" s="244">
        <f>SUM(E40)</f>
        <v>1197</v>
      </c>
    </row>
    <row r="43" spans="1:5" ht="11.25" thickTop="1">
      <c r="A43" s="451"/>
      <c r="B43" s="451"/>
      <c r="C43" s="452"/>
      <c r="D43" s="452"/>
      <c r="E43" s="452"/>
    </row>
    <row r="49" ht="11.25" thickBot="1">
      <c r="E49" s="32" t="s">
        <v>0</v>
      </c>
    </row>
    <row r="50" spans="1:5" ht="10.5">
      <c r="A50" s="33"/>
      <c r="B50" s="34"/>
      <c r="C50" s="35"/>
      <c r="D50" s="35"/>
      <c r="E50" s="443"/>
    </row>
    <row r="51" spans="1:5" ht="10.5">
      <c r="A51" s="678" t="s">
        <v>40</v>
      </c>
      <c r="B51" s="679"/>
      <c r="C51" s="444" t="s">
        <v>41</v>
      </c>
      <c r="D51" s="444" t="s">
        <v>42</v>
      </c>
      <c r="E51" s="682" t="s">
        <v>43</v>
      </c>
    </row>
    <row r="52" spans="1:5" ht="10.5">
      <c r="A52" s="678"/>
      <c r="B52" s="679"/>
      <c r="C52" s="444" t="s">
        <v>44</v>
      </c>
      <c r="D52" s="444" t="s">
        <v>44</v>
      </c>
      <c r="E52" s="682"/>
    </row>
    <row r="53" spans="1:5" ht="11.25" thickBot="1">
      <c r="A53" s="37"/>
      <c r="B53" s="38"/>
      <c r="C53" s="39"/>
      <c r="D53" s="39"/>
      <c r="E53" s="445"/>
    </row>
    <row r="54" spans="1:5" ht="11.25" thickBot="1">
      <c r="A54" s="675" t="s">
        <v>45</v>
      </c>
      <c r="B54" s="676"/>
      <c r="C54" s="676"/>
      <c r="D54" s="676"/>
      <c r="E54" s="677"/>
    </row>
    <row r="55" spans="1:5" ht="10.5">
      <c r="A55" s="40"/>
      <c r="B55" s="41"/>
      <c r="C55" s="42"/>
      <c r="D55" s="42"/>
      <c r="E55" s="240"/>
    </row>
    <row r="56" spans="1:5" ht="10.5">
      <c r="A56" s="44" t="s">
        <v>46</v>
      </c>
      <c r="B56" s="45" t="s">
        <v>590</v>
      </c>
      <c r="C56" s="46"/>
      <c r="D56" s="46"/>
      <c r="E56" s="446"/>
    </row>
    <row r="57" spans="1:5" ht="10.5">
      <c r="A57" s="47" t="s">
        <v>15</v>
      </c>
      <c r="B57" s="51" t="s">
        <v>52</v>
      </c>
      <c r="C57" s="52">
        <v>789</v>
      </c>
      <c r="D57" s="447"/>
      <c r="E57" s="248">
        <f>SUM(C57:D57)</f>
        <v>789</v>
      </c>
    </row>
    <row r="58" spans="1:5" ht="10.5">
      <c r="A58" s="47" t="s">
        <v>17</v>
      </c>
      <c r="B58" s="51" t="s">
        <v>421</v>
      </c>
      <c r="C58" s="52">
        <v>158</v>
      </c>
      <c r="D58" s="52"/>
      <c r="E58" s="242">
        <f>C58</f>
        <v>158</v>
      </c>
    </row>
    <row r="59" spans="1:5" ht="10.5">
      <c r="A59" s="47" t="s">
        <v>19</v>
      </c>
      <c r="B59" s="51" t="s">
        <v>591</v>
      </c>
      <c r="C59" s="52">
        <v>12</v>
      </c>
      <c r="D59" s="52"/>
      <c r="E59" s="248">
        <f>C59</f>
        <v>12</v>
      </c>
    </row>
    <row r="60" spans="1:5" ht="11.25" thickBot="1">
      <c r="A60" s="47" t="s">
        <v>21</v>
      </c>
      <c r="B60" s="53" t="s">
        <v>594</v>
      </c>
      <c r="C60" s="54">
        <v>120</v>
      </c>
      <c r="D60" s="54"/>
      <c r="E60" s="403">
        <f>C60</f>
        <v>120</v>
      </c>
    </row>
    <row r="61" spans="1:5" ht="12" thickBot="1" thickTop="1">
      <c r="A61" s="55"/>
      <c r="B61" s="56" t="s">
        <v>592</v>
      </c>
      <c r="C61" s="57">
        <f>SUM(C49:C60)</f>
        <v>1079</v>
      </c>
      <c r="D61" s="57">
        <f>SUM(D49:D58)</f>
        <v>0</v>
      </c>
      <c r="E61" s="243">
        <f>SUM(C61:D61)</f>
        <v>1079</v>
      </c>
    </row>
    <row r="62" spans="1:5" ht="12" thickBot="1" thickTop="1">
      <c r="A62" s="47"/>
      <c r="B62" s="453"/>
      <c r="C62" s="454"/>
      <c r="D62" s="454"/>
      <c r="E62" s="455"/>
    </row>
    <row r="63" spans="1:5" ht="12" thickBot="1" thickTop="1">
      <c r="A63" s="55"/>
      <c r="B63" s="56"/>
      <c r="C63" s="57"/>
      <c r="D63" s="57"/>
      <c r="E63" s="243"/>
    </row>
    <row r="64" spans="1:5" ht="12" thickBot="1" thickTop="1">
      <c r="A64" s="59"/>
      <c r="B64" s="60" t="s">
        <v>55</v>
      </c>
      <c r="C64" s="61">
        <f>SUM(C61,C63)</f>
        <v>1079</v>
      </c>
      <c r="D64" s="61">
        <f>SUM(D61,D63)</f>
        <v>0</v>
      </c>
      <c r="E64" s="244">
        <f>SUM(E61,E63)</f>
        <v>1079</v>
      </c>
    </row>
    <row r="65" spans="1:5" ht="11.25" thickTop="1">
      <c r="A65" s="50"/>
      <c r="B65" s="50"/>
      <c r="C65" s="448"/>
      <c r="D65" s="448"/>
      <c r="E65" s="448"/>
    </row>
    <row r="66" spans="1:5" ht="10.5">
      <c r="A66" s="50"/>
      <c r="B66" s="50"/>
      <c r="C66" s="448"/>
      <c r="D66" s="448"/>
      <c r="E66" s="448"/>
    </row>
    <row r="67" spans="1:5" ht="10.5">
      <c r="A67" s="50"/>
      <c r="B67" s="50"/>
      <c r="C67" s="448"/>
      <c r="D67" s="448"/>
      <c r="E67" s="448"/>
    </row>
    <row r="68" spans="1:5" ht="10.5">
      <c r="A68" s="50"/>
      <c r="B68" s="50"/>
      <c r="C68" s="448"/>
      <c r="D68" s="448"/>
      <c r="E68" s="448"/>
    </row>
    <row r="69" spans="1:5" ht="10.5">
      <c r="A69" s="50"/>
      <c r="B69" s="50"/>
      <c r="C69" s="448"/>
      <c r="D69" s="448"/>
      <c r="E69" s="448"/>
    </row>
    <row r="71" ht="11.25" thickBot="1">
      <c r="E71" s="32" t="s">
        <v>0</v>
      </c>
    </row>
    <row r="72" spans="1:5" ht="10.5">
      <c r="A72" s="33"/>
      <c r="B72" s="449"/>
      <c r="C72" s="35"/>
      <c r="D72" s="35"/>
      <c r="E72" s="443"/>
    </row>
    <row r="73" spans="1:5" ht="10.5">
      <c r="A73" s="678" t="s">
        <v>40</v>
      </c>
      <c r="B73" s="681"/>
      <c r="C73" s="444" t="s">
        <v>41</v>
      </c>
      <c r="D73" s="444" t="s">
        <v>42</v>
      </c>
      <c r="E73" s="682" t="s">
        <v>43</v>
      </c>
    </row>
    <row r="74" spans="1:5" ht="10.5">
      <c r="A74" s="678"/>
      <c r="B74" s="681"/>
      <c r="C74" s="444" t="s">
        <v>44</v>
      </c>
      <c r="D74" s="444" t="s">
        <v>44</v>
      </c>
      <c r="E74" s="682"/>
    </row>
    <row r="75" spans="1:5" ht="11.25" thickBot="1">
      <c r="A75" s="37"/>
      <c r="B75" s="64"/>
      <c r="C75" s="39"/>
      <c r="D75" s="39"/>
      <c r="E75" s="445"/>
    </row>
    <row r="76" spans="1:5" ht="11.25" thickBot="1">
      <c r="A76" s="675" t="s">
        <v>57</v>
      </c>
      <c r="B76" s="676"/>
      <c r="C76" s="676"/>
      <c r="D76" s="676"/>
      <c r="E76" s="677"/>
    </row>
    <row r="77" spans="1:5" ht="10.5">
      <c r="A77" s="44" t="s">
        <v>46</v>
      </c>
      <c r="B77" s="45" t="s">
        <v>58</v>
      </c>
      <c r="C77" s="65"/>
      <c r="D77" s="65"/>
      <c r="E77" s="450"/>
    </row>
    <row r="78" spans="1:5" ht="10.5">
      <c r="A78" s="47" t="s">
        <v>15</v>
      </c>
      <c r="B78" s="48" t="s">
        <v>35</v>
      </c>
      <c r="C78" s="49">
        <v>0</v>
      </c>
      <c r="D78" s="49"/>
      <c r="E78" s="242">
        <f aca="true" t="shared" si="1" ref="E78:E84">SUM(C78:D78)</f>
        <v>0</v>
      </c>
    </row>
    <row r="79" spans="1:5" ht="10.5">
      <c r="A79" s="47" t="s">
        <v>17</v>
      </c>
      <c r="B79" s="51" t="s">
        <v>36</v>
      </c>
      <c r="C79" s="49">
        <v>34</v>
      </c>
      <c r="D79" s="52"/>
      <c r="E79" s="242">
        <f t="shared" si="1"/>
        <v>34</v>
      </c>
    </row>
    <row r="80" spans="1:5" ht="10.5">
      <c r="A80" s="47" t="s">
        <v>19</v>
      </c>
      <c r="B80" s="51" t="s">
        <v>37</v>
      </c>
      <c r="C80" s="49">
        <v>785</v>
      </c>
      <c r="D80" s="52"/>
      <c r="E80" s="242">
        <f t="shared" si="1"/>
        <v>785</v>
      </c>
    </row>
    <row r="81" spans="1:5" ht="10.5">
      <c r="A81" s="47" t="s">
        <v>21</v>
      </c>
      <c r="B81" s="51" t="s">
        <v>59</v>
      </c>
      <c r="C81" s="49">
        <v>0</v>
      </c>
      <c r="D81" s="52"/>
      <c r="E81" s="242">
        <f t="shared" si="1"/>
        <v>0</v>
      </c>
    </row>
    <row r="82" spans="1:5" ht="10.5">
      <c r="A82" s="47" t="s">
        <v>23</v>
      </c>
      <c r="B82" s="51" t="s">
        <v>593</v>
      </c>
      <c r="C82" s="49">
        <v>230</v>
      </c>
      <c r="D82" s="52"/>
      <c r="E82" s="242">
        <f t="shared" si="1"/>
        <v>230</v>
      </c>
    </row>
    <row r="83" spans="1:5" ht="12" thickBot="1">
      <c r="A83" s="47" t="s">
        <v>25</v>
      </c>
      <c r="B83" s="145" t="s">
        <v>233</v>
      </c>
      <c r="C83" s="49">
        <v>30</v>
      </c>
      <c r="D83" s="54"/>
      <c r="E83" s="242">
        <f t="shared" si="1"/>
        <v>30</v>
      </c>
    </row>
    <row r="84" spans="1:5" ht="12" thickBot="1" thickTop="1">
      <c r="A84" s="55"/>
      <c r="B84" s="56" t="s">
        <v>60</v>
      </c>
      <c r="C84" s="57">
        <f>SUM(C78:C83)</f>
        <v>1079</v>
      </c>
      <c r="D84" s="66">
        <f>SUM(D78:D82)</f>
        <v>0</v>
      </c>
      <c r="E84" s="246">
        <f t="shared" si="1"/>
        <v>1079</v>
      </c>
    </row>
    <row r="85" spans="1:5" ht="12" thickBot="1" thickTop="1">
      <c r="A85" s="55"/>
      <c r="B85" s="56"/>
      <c r="C85" s="57"/>
      <c r="D85" s="57"/>
      <c r="E85" s="246"/>
    </row>
    <row r="86" spans="1:5" ht="12" thickBot="1" thickTop="1">
      <c r="A86" s="59"/>
      <c r="B86" s="60" t="s">
        <v>68</v>
      </c>
      <c r="C86" s="61">
        <f>SUM(C84)</f>
        <v>1079</v>
      </c>
      <c r="D86" s="61">
        <f>SUM(D84)</f>
        <v>0</v>
      </c>
      <c r="E86" s="244">
        <f>SUM(E84)</f>
        <v>1079</v>
      </c>
    </row>
    <row r="87" spans="1:5" ht="11.25" thickTop="1">
      <c r="A87" s="451"/>
      <c r="B87" s="451"/>
      <c r="C87" s="452"/>
      <c r="D87" s="452"/>
      <c r="E87" s="452"/>
    </row>
    <row r="93" ht="11.25" thickBot="1">
      <c r="E93" s="32" t="s">
        <v>0</v>
      </c>
    </row>
    <row r="94" spans="1:5" ht="10.5">
      <c r="A94" s="33"/>
      <c r="B94" s="34"/>
      <c r="C94" s="35"/>
      <c r="D94" s="35"/>
      <c r="E94" s="443"/>
    </row>
    <row r="95" spans="1:5" ht="10.5">
      <c r="A95" s="678" t="s">
        <v>40</v>
      </c>
      <c r="B95" s="679"/>
      <c r="C95" s="444" t="s">
        <v>41</v>
      </c>
      <c r="D95" s="444" t="s">
        <v>42</v>
      </c>
      <c r="E95" s="682" t="s">
        <v>43</v>
      </c>
    </row>
    <row r="96" spans="1:5" ht="10.5">
      <c r="A96" s="678"/>
      <c r="B96" s="679"/>
      <c r="C96" s="444" t="s">
        <v>44</v>
      </c>
      <c r="D96" s="444" t="s">
        <v>44</v>
      </c>
      <c r="E96" s="682"/>
    </row>
    <row r="97" spans="1:5" ht="11.25" thickBot="1">
      <c r="A97" s="37"/>
      <c r="B97" s="38"/>
      <c r="C97" s="39"/>
      <c r="D97" s="39"/>
      <c r="E97" s="445"/>
    </row>
    <row r="98" spans="1:5" ht="11.25" thickBot="1">
      <c r="A98" s="675" t="s">
        <v>45</v>
      </c>
      <c r="B98" s="676"/>
      <c r="C98" s="676"/>
      <c r="D98" s="676"/>
      <c r="E98" s="677"/>
    </row>
    <row r="99" spans="1:5" ht="10.5">
      <c r="A99" s="40"/>
      <c r="B99" s="41"/>
      <c r="C99" s="42"/>
      <c r="D99" s="42"/>
      <c r="E99" s="240"/>
    </row>
    <row r="100" spans="1:5" ht="10.5">
      <c r="A100" s="44" t="s">
        <v>46</v>
      </c>
      <c r="B100" s="45" t="s">
        <v>590</v>
      </c>
      <c r="C100" s="46"/>
      <c r="D100" s="46"/>
      <c r="E100" s="446"/>
    </row>
    <row r="101" spans="1:5" ht="10.5">
      <c r="A101" s="47" t="s">
        <v>15</v>
      </c>
      <c r="B101" s="51" t="s">
        <v>52</v>
      </c>
      <c r="C101" s="52">
        <v>763</v>
      </c>
      <c r="D101" s="447"/>
      <c r="E101" s="248">
        <f>SUM(C101:D101)</f>
        <v>763</v>
      </c>
    </row>
    <row r="102" spans="1:5" ht="10.5">
      <c r="A102" s="47" t="s">
        <v>17</v>
      </c>
      <c r="B102" s="51" t="s">
        <v>421</v>
      </c>
      <c r="C102" s="52">
        <v>242</v>
      </c>
      <c r="D102" s="52"/>
      <c r="E102" s="242">
        <f>C102</f>
        <v>242</v>
      </c>
    </row>
    <row r="103" spans="1:5" ht="11.25" thickBot="1">
      <c r="A103" s="47" t="s">
        <v>19</v>
      </c>
      <c r="B103" s="53" t="s">
        <v>591</v>
      </c>
      <c r="C103" s="54">
        <v>22</v>
      </c>
      <c r="D103" s="54"/>
      <c r="E103" s="403">
        <f>C103</f>
        <v>22</v>
      </c>
    </row>
    <row r="104" spans="1:5" ht="12" thickBot="1" thickTop="1">
      <c r="A104" s="55"/>
      <c r="B104" s="56" t="s">
        <v>592</v>
      </c>
      <c r="C104" s="57">
        <f>SUM(C93:C103)</f>
        <v>1027</v>
      </c>
      <c r="D104" s="57">
        <f>SUM(D93:D102)</f>
        <v>0</v>
      </c>
      <c r="E104" s="243">
        <f>SUM(C104:D104)</f>
        <v>1027</v>
      </c>
    </row>
    <row r="105" spans="1:5" ht="12" thickBot="1" thickTop="1">
      <c r="A105" s="47"/>
      <c r="B105" s="453"/>
      <c r="C105" s="454"/>
      <c r="D105" s="454"/>
      <c r="E105" s="455"/>
    </row>
    <row r="106" spans="1:5" ht="12" thickBot="1" thickTop="1">
      <c r="A106" s="55"/>
      <c r="B106" s="56"/>
      <c r="C106" s="57"/>
      <c r="D106" s="57"/>
      <c r="E106" s="243"/>
    </row>
    <row r="107" spans="1:5" ht="12" thickBot="1" thickTop="1">
      <c r="A107" s="59"/>
      <c r="B107" s="60" t="s">
        <v>55</v>
      </c>
      <c r="C107" s="61">
        <f>SUM(C104,C106)</f>
        <v>1027</v>
      </c>
      <c r="D107" s="61">
        <f>SUM(D104,D106)</f>
        <v>0</v>
      </c>
      <c r="E107" s="244">
        <f>SUM(E104,E106)</f>
        <v>1027</v>
      </c>
    </row>
    <row r="108" spans="1:5" ht="11.25" thickTop="1">
      <c r="A108" s="50"/>
      <c r="B108" s="50"/>
      <c r="C108" s="448"/>
      <c r="D108" s="448"/>
      <c r="E108" s="448"/>
    </row>
    <row r="109" spans="1:5" ht="10.5">
      <c r="A109" s="50"/>
      <c r="B109" s="50"/>
      <c r="C109" s="448"/>
      <c r="D109" s="448"/>
      <c r="E109" s="448"/>
    </row>
    <row r="110" spans="1:5" ht="10.5">
      <c r="A110" s="50"/>
      <c r="B110" s="50"/>
      <c r="C110" s="448"/>
      <c r="D110" s="448"/>
      <c r="E110" s="448"/>
    </row>
    <row r="111" spans="1:5" ht="10.5">
      <c r="A111" s="50"/>
      <c r="B111" s="50"/>
      <c r="C111" s="448"/>
      <c r="D111" s="448"/>
      <c r="E111" s="448"/>
    </row>
    <row r="112" spans="1:5" ht="10.5">
      <c r="A112" s="50"/>
      <c r="B112" s="50"/>
      <c r="C112" s="448"/>
      <c r="D112" s="448"/>
      <c r="E112" s="448"/>
    </row>
    <row r="114" ht="11.25" thickBot="1">
      <c r="E114" s="32" t="s">
        <v>0</v>
      </c>
    </row>
    <row r="115" spans="1:5" ht="10.5">
      <c r="A115" s="33"/>
      <c r="B115" s="449"/>
      <c r="C115" s="35"/>
      <c r="D115" s="35"/>
      <c r="E115" s="443"/>
    </row>
    <row r="116" spans="1:5" ht="10.5">
      <c r="A116" s="678" t="s">
        <v>40</v>
      </c>
      <c r="B116" s="681"/>
      <c r="C116" s="444" t="s">
        <v>41</v>
      </c>
      <c r="D116" s="444" t="s">
        <v>42</v>
      </c>
      <c r="E116" s="682" t="s">
        <v>43</v>
      </c>
    </row>
    <row r="117" spans="1:5" ht="10.5">
      <c r="A117" s="678"/>
      <c r="B117" s="681"/>
      <c r="C117" s="444" t="s">
        <v>44</v>
      </c>
      <c r="D117" s="444" t="s">
        <v>44</v>
      </c>
      <c r="E117" s="682"/>
    </row>
    <row r="118" spans="1:5" ht="11.25" thickBot="1">
      <c r="A118" s="37"/>
      <c r="B118" s="64"/>
      <c r="C118" s="39"/>
      <c r="D118" s="39"/>
      <c r="E118" s="445"/>
    </row>
    <row r="119" spans="1:5" ht="11.25" thickBot="1">
      <c r="A119" s="675" t="s">
        <v>57</v>
      </c>
      <c r="B119" s="676"/>
      <c r="C119" s="676"/>
      <c r="D119" s="676"/>
      <c r="E119" s="677"/>
    </row>
    <row r="120" spans="1:5" ht="10.5">
      <c r="A120" s="44" t="s">
        <v>46</v>
      </c>
      <c r="B120" s="45" t="s">
        <v>58</v>
      </c>
      <c r="C120" s="65"/>
      <c r="D120" s="65"/>
      <c r="E120" s="450"/>
    </row>
    <row r="121" spans="1:5" ht="10.5">
      <c r="A121" s="47" t="s">
        <v>15</v>
      </c>
      <c r="B121" s="48" t="s">
        <v>35</v>
      </c>
      <c r="C121" s="49">
        <v>120</v>
      </c>
      <c r="D121" s="49"/>
      <c r="E121" s="242">
        <f aca="true" t="shared" si="2" ref="E121:E127">SUM(C121:D121)</f>
        <v>120</v>
      </c>
    </row>
    <row r="122" spans="1:5" ht="10.5">
      <c r="A122" s="47" t="s">
        <v>17</v>
      </c>
      <c r="B122" s="51" t="s">
        <v>36</v>
      </c>
      <c r="C122" s="49">
        <v>64</v>
      </c>
      <c r="D122" s="52"/>
      <c r="E122" s="242">
        <f t="shared" si="2"/>
        <v>64</v>
      </c>
    </row>
    <row r="123" spans="1:5" ht="10.5">
      <c r="A123" s="47" t="s">
        <v>19</v>
      </c>
      <c r="B123" s="51" t="s">
        <v>37</v>
      </c>
      <c r="C123" s="49">
        <v>843</v>
      </c>
      <c r="D123" s="52"/>
      <c r="E123" s="242">
        <f t="shared" si="2"/>
        <v>843</v>
      </c>
    </row>
    <row r="124" spans="1:5" ht="10.5">
      <c r="A124" s="47" t="s">
        <v>21</v>
      </c>
      <c r="B124" s="51" t="s">
        <v>59</v>
      </c>
      <c r="C124" s="49">
        <v>0</v>
      </c>
      <c r="D124" s="52"/>
      <c r="E124" s="242">
        <f t="shared" si="2"/>
        <v>0</v>
      </c>
    </row>
    <row r="125" spans="1:5" ht="10.5">
      <c r="A125" s="47" t="s">
        <v>23</v>
      </c>
      <c r="B125" s="51" t="s">
        <v>593</v>
      </c>
      <c r="C125" s="49">
        <v>0</v>
      </c>
      <c r="D125" s="52"/>
      <c r="E125" s="242">
        <f t="shared" si="2"/>
        <v>0</v>
      </c>
    </row>
    <row r="126" spans="1:5" ht="12" thickBot="1">
      <c r="A126" s="47" t="s">
        <v>25</v>
      </c>
      <c r="B126" s="145" t="s">
        <v>233</v>
      </c>
      <c r="C126" s="49">
        <v>0</v>
      </c>
      <c r="D126" s="54"/>
      <c r="E126" s="403">
        <f t="shared" si="2"/>
        <v>0</v>
      </c>
    </row>
    <row r="127" spans="1:5" ht="12" thickBot="1" thickTop="1">
      <c r="A127" s="55"/>
      <c r="B127" s="56" t="s">
        <v>60</v>
      </c>
      <c r="C127" s="57">
        <f>SUM(C121:C126)</f>
        <v>1027</v>
      </c>
      <c r="D127" s="66">
        <f>SUM(D121:D125)</f>
        <v>0</v>
      </c>
      <c r="E127" s="246">
        <f t="shared" si="2"/>
        <v>1027</v>
      </c>
    </row>
    <row r="128" spans="1:5" ht="12" thickBot="1" thickTop="1">
      <c r="A128" s="55"/>
      <c r="B128" s="56"/>
      <c r="C128" s="57"/>
      <c r="D128" s="57"/>
      <c r="E128" s="246"/>
    </row>
    <row r="129" spans="1:5" ht="12" thickBot="1" thickTop="1">
      <c r="A129" s="59"/>
      <c r="B129" s="60" t="s">
        <v>68</v>
      </c>
      <c r="C129" s="61">
        <f>SUM(C127)</f>
        <v>1027</v>
      </c>
      <c r="D129" s="61">
        <f>SUM(D127)</f>
        <v>0</v>
      </c>
      <c r="E129" s="244">
        <f>SUM(E127)</f>
        <v>1027</v>
      </c>
    </row>
    <row r="130" ht="11.25" thickTop="1"/>
  </sheetData>
  <sheetProtection/>
  <mergeCells count="18">
    <mergeCell ref="A119:E119"/>
    <mergeCell ref="A9:B10"/>
    <mergeCell ref="E9:E10"/>
    <mergeCell ref="A12:E12"/>
    <mergeCell ref="A29:B30"/>
    <mergeCell ref="E29:E30"/>
    <mergeCell ref="A32:E32"/>
    <mergeCell ref="A51:B52"/>
    <mergeCell ref="A73:B74"/>
    <mergeCell ref="E73:E74"/>
    <mergeCell ref="E51:E52"/>
    <mergeCell ref="A54:E54"/>
    <mergeCell ref="A116:B117"/>
    <mergeCell ref="E116:E117"/>
    <mergeCell ref="A76:E76"/>
    <mergeCell ref="A95:B96"/>
    <mergeCell ref="E95:E96"/>
    <mergeCell ref="A98:E9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2" manualBreakCount="2">
    <brk id="43" max="255" man="1"/>
    <brk id="8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3.125" style="69" customWidth="1"/>
    <col min="2" max="2" width="3.875" style="69" customWidth="1"/>
    <col min="3" max="3" width="41.00390625" style="70" customWidth="1"/>
    <col min="4" max="4" width="10.25390625" style="326" customWidth="1"/>
    <col min="5" max="5" width="10.75390625" style="326" customWidth="1"/>
    <col min="6" max="6" width="12.75390625" style="70" customWidth="1"/>
    <col min="7" max="16384" width="9.125" style="70" customWidth="1"/>
  </cols>
  <sheetData>
    <row r="1" spans="1:6" ht="12" customHeight="1">
      <c r="A1" s="104"/>
      <c r="B1" s="104"/>
      <c r="C1" s="98"/>
      <c r="D1" s="310"/>
      <c r="E1" s="310"/>
      <c r="F1" s="98"/>
    </row>
    <row r="2" spans="1:6" ht="12" customHeight="1">
      <c r="A2" s="104"/>
      <c r="B2" s="104"/>
      <c r="C2" s="98"/>
      <c r="D2" s="310"/>
      <c r="E2" s="310"/>
      <c r="F2" s="98"/>
    </row>
    <row r="3" spans="1:6" ht="14.25" customHeight="1">
      <c r="A3" s="104"/>
      <c r="B3" s="104"/>
      <c r="C3" s="98"/>
      <c r="D3" s="310"/>
      <c r="E3" s="310"/>
      <c r="F3" s="98"/>
    </row>
    <row r="4" spans="1:6" ht="14.25" customHeight="1">
      <c r="A4" s="104"/>
      <c r="B4" s="104"/>
      <c r="C4" s="98"/>
      <c r="D4" s="310"/>
      <c r="E4" s="310"/>
      <c r="F4" s="98"/>
    </row>
    <row r="5" spans="1:6" ht="13.5" customHeight="1" thickBot="1">
      <c r="A5" s="169"/>
      <c r="B5" s="169"/>
      <c r="C5" s="170"/>
      <c r="D5" s="311"/>
      <c r="E5" s="311"/>
      <c r="F5" s="311" t="s">
        <v>0</v>
      </c>
    </row>
    <row r="6" spans="1:6" ht="18" customHeight="1">
      <c r="A6" s="692" t="s">
        <v>70</v>
      </c>
      <c r="B6" s="693"/>
      <c r="C6" s="693"/>
      <c r="D6" s="107" t="s">
        <v>41</v>
      </c>
      <c r="E6" s="107" t="s">
        <v>42</v>
      </c>
      <c r="F6" s="696" t="s">
        <v>14</v>
      </c>
    </row>
    <row r="7" spans="1:6" ht="17.25" customHeight="1" thickBot="1">
      <c r="A7" s="694"/>
      <c r="B7" s="695"/>
      <c r="C7" s="695"/>
      <c r="D7" s="358" t="s">
        <v>44</v>
      </c>
      <c r="E7" s="358" t="s">
        <v>44</v>
      </c>
      <c r="F7" s="697"/>
    </row>
    <row r="8" spans="1:6" ht="21" customHeight="1" thickBot="1">
      <c r="A8" s="686" t="s">
        <v>71</v>
      </c>
      <c r="B8" s="687"/>
      <c r="C8" s="687"/>
      <c r="D8" s="687"/>
      <c r="E8" s="687"/>
      <c r="F8" s="688"/>
    </row>
    <row r="9" spans="1:6" s="80" customFormat="1" ht="12" customHeight="1">
      <c r="A9" s="76" t="s">
        <v>72</v>
      </c>
      <c r="B9" s="77"/>
      <c r="C9" s="78" t="s">
        <v>73</v>
      </c>
      <c r="D9" s="314"/>
      <c r="E9" s="314"/>
      <c r="F9" s="79"/>
    </row>
    <row r="10" spans="1:6" ht="10.5" customHeight="1">
      <c r="A10" s="72"/>
      <c r="B10" s="73"/>
      <c r="C10" s="74"/>
      <c r="D10" s="315"/>
      <c r="E10" s="315"/>
      <c r="F10" s="75"/>
    </row>
    <row r="11" spans="1:6" ht="10.5" customHeight="1">
      <c r="A11" s="72"/>
      <c r="B11" s="73" t="s">
        <v>15</v>
      </c>
      <c r="C11" s="81" t="s">
        <v>74</v>
      </c>
      <c r="D11" s="316">
        <f>'Int.bev(4)'!D20+'Int.bev(4)'!C20</f>
        <v>41320</v>
      </c>
      <c r="E11" s="316">
        <f>'Int.bev(4)'!E20</f>
        <v>1497</v>
      </c>
      <c r="F11" s="82">
        <f>SUM(D11:E11)</f>
        <v>42817</v>
      </c>
    </row>
    <row r="12" spans="1:6" ht="10.5" customHeight="1">
      <c r="A12" s="72"/>
      <c r="B12" s="73" t="s">
        <v>17</v>
      </c>
      <c r="C12" s="83" t="s">
        <v>317</v>
      </c>
      <c r="D12" s="317">
        <f>'Int.bev(4)'!G20</f>
        <v>35036</v>
      </c>
      <c r="E12" s="317"/>
      <c r="F12" s="84">
        <f>SUM(D12:E12)</f>
        <v>35036</v>
      </c>
    </row>
    <row r="13" spans="1:6" ht="10.5" customHeight="1" thickBot="1">
      <c r="A13" s="72"/>
      <c r="B13" s="73" t="s">
        <v>19</v>
      </c>
      <c r="C13" s="74" t="s">
        <v>422</v>
      </c>
      <c r="D13" s="315">
        <f>'Int.bev(4)'!H20</f>
        <v>0</v>
      </c>
      <c r="E13" s="315">
        <f>'Int.bev(4)'!I20</f>
        <v>935</v>
      </c>
      <c r="F13" s="96">
        <f>D13+E13</f>
        <v>935</v>
      </c>
    </row>
    <row r="14" spans="1:6" s="91" customFormat="1" ht="15" customHeight="1" thickBot="1" thickTop="1">
      <c r="A14" s="86"/>
      <c r="B14" s="87"/>
      <c r="C14" s="88" t="s">
        <v>43</v>
      </c>
      <c r="D14" s="318">
        <f>SUM(D11:D13)</f>
        <v>76356</v>
      </c>
      <c r="E14" s="318">
        <f>SUM(E11:E13)</f>
        <v>2432</v>
      </c>
      <c r="F14" s="90">
        <f>SUM(F11:F13)</f>
        <v>78788</v>
      </c>
    </row>
    <row r="15" spans="1:6" ht="7.5" customHeight="1" thickTop="1">
      <c r="A15" s="72"/>
      <c r="B15" s="73"/>
      <c r="C15" s="74"/>
      <c r="D15" s="315"/>
      <c r="E15" s="315"/>
      <c r="F15" s="75"/>
    </row>
    <row r="16" spans="1:6" s="80" customFormat="1" ht="12" customHeight="1">
      <c r="A16" s="76" t="s">
        <v>75</v>
      </c>
      <c r="B16" s="77"/>
      <c r="C16" s="78" t="s">
        <v>76</v>
      </c>
      <c r="D16" s="314"/>
      <c r="E16" s="314"/>
      <c r="F16" s="92"/>
    </row>
    <row r="17" spans="1:6" ht="6.75" customHeight="1">
      <c r="A17" s="72"/>
      <c r="B17" s="73"/>
      <c r="C17" s="74"/>
      <c r="D17" s="315"/>
      <c r="E17" s="315"/>
      <c r="F17" s="75"/>
    </row>
    <row r="18" spans="1:6" s="91" customFormat="1" ht="12" customHeight="1">
      <c r="A18" s="93" t="s">
        <v>46</v>
      </c>
      <c r="B18" s="94"/>
      <c r="C18" s="95" t="s">
        <v>372</v>
      </c>
      <c r="D18" s="313"/>
      <c r="E18" s="313"/>
      <c r="F18" s="96"/>
    </row>
    <row r="19" spans="1:6" s="91" customFormat="1" ht="12" customHeight="1">
      <c r="A19" s="93"/>
      <c r="B19" s="94"/>
      <c r="C19" s="95"/>
      <c r="D19" s="313"/>
      <c r="E19" s="313"/>
      <c r="F19" s="96"/>
    </row>
    <row r="20" spans="1:6" ht="10.5" customHeight="1">
      <c r="A20" s="72"/>
      <c r="B20" s="73" t="s">
        <v>15</v>
      </c>
      <c r="C20" s="83" t="s">
        <v>77</v>
      </c>
      <c r="D20" s="317">
        <f>8515+568</f>
        <v>9083</v>
      </c>
      <c r="E20" s="317"/>
      <c r="F20" s="84">
        <f aca="true" t="shared" si="0" ref="F20:F29">SUM(D20:E20)</f>
        <v>9083</v>
      </c>
    </row>
    <row r="21" spans="1:6" ht="10.5" customHeight="1">
      <c r="A21" s="72"/>
      <c r="B21" s="73" t="s">
        <v>17</v>
      </c>
      <c r="C21" s="83" t="s">
        <v>78</v>
      </c>
      <c r="D21" s="317">
        <f>3114+628</f>
        <v>3742</v>
      </c>
      <c r="E21" s="317"/>
      <c r="F21" s="84">
        <f t="shared" si="0"/>
        <v>3742</v>
      </c>
    </row>
    <row r="22" spans="1:6" ht="10.5" customHeight="1">
      <c r="A22" s="72"/>
      <c r="B22" s="73" t="s">
        <v>19</v>
      </c>
      <c r="C22" s="83" t="s">
        <v>79</v>
      </c>
      <c r="D22" s="317">
        <v>17000</v>
      </c>
      <c r="E22" s="317"/>
      <c r="F22" s="84">
        <f t="shared" si="0"/>
        <v>17000</v>
      </c>
    </row>
    <row r="23" spans="1:6" ht="10.5" customHeight="1">
      <c r="A23" s="72"/>
      <c r="B23" s="73" t="s">
        <v>21</v>
      </c>
      <c r="C23" s="83" t="s">
        <v>80</v>
      </c>
      <c r="D23" s="317">
        <v>6577</v>
      </c>
      <c r="E23" s="317"/>
      <c r="F23" s="84">
        <f t="shared" si="0"/>
        <v>6577</v>
      </c>
    </row>
    <row r="24" spans="1:6" ht="10.5" customHeight="1">
      <c r="A24" s="72"/>
      <c r="B24" s="73" t="s">
        <v>23</v>
      </c>
      <c r="C24" s="83" t="s">
        <v>81</v>
      </c>
      <c r="D24" s="317">
        <f>6789+1019+333</f>
        <v>8141</v>
      </c>
      <c r="E24" s="317">
        <f>1117+223+480</f>
        <v>1820</v>
      </c>
      <c r="F24" s="84">
        <f t="shared" si="0"/>
        <v>9961</v>
      </c>
    </row>
    <row r="25" spans="1:6" ht="10.5" customHeight="1">
      <c r="A25" s="72"/>
      <c r="B25" s="73" t="s">
        <v>25</v>
      </c>
      <c r="C25" s="83" t="s">
        <v>365</v>
      </c>
      <c r="D25" s="317">
        <v>5093</v>
      </c>
      <c r="E25" s="317"/>
      <c r="F25" s="84">
        <f t="shared" si="0"/>
        <v>5093</v>
      </c>
    </row>
    <row r="26" spans="1:6" ht="10.5" customHeight="1">
      <c r="A26" s="72"/>
      <c r="B26" s="73" t="s">
        <v>27</v>
      </c>
      <c r="C26" s="83" t="s">
        <v>82</v>
      </c>
      <c r="D26" s="317">
        <f>50+14</f>
        <v>64</v>
      </c>
      <c r="E26" s="317"/>
      <c r="F26" s="84">
        <f t="shared" si="0"/>
        <v>64</v>
      </c>
    </row>
    <row r="27" spans="1:6" ht="10.5" customHeight="1">
      <c r="A27" s="72"/>
      <c r="B27" s="73" t="s">
        <v>28</v>
      </c>
      <c r="C27" s="83" t="s">
        <v>83</v>
      </c>
      <c r="D27" s="317">
        <f>321+61</f>
        <v>382</v>
      </c>
      <c r="E27" s="317"/>
      <c r="F27" s="84">
        <f t="shared" si="0"/>
        <v>382</v>
      </c>
    </row>
    <row r="28" spans="1:6" ht="10.5" customHeight="1">
      <c r="A28" s="72"/>
      <c r="B28" s="73" t="s">
        <v>30</v>
      </c>
      <c r="C28" s="83" t="s">
        <v>84</v>
      </c>
      <c r="D28" s="317">
        <f>1070+1600+5000</f>
        <v>7670</v>
      </c>
      <c r="E28" s="317"/>
      <c r="F28" s="84">
        <f t="shared" si="0"/>
        <v>7670</v>
      </c>
    </row>
    <row r="29" spans="1:6" ht="10.5" customHeight="1">
      <c r="A29" s="72"/>
      <c r="B29" s="73" t="s">
        <v>32</v>
      </c>
      <c r="C29" s="171" t="s">
        <v>318</v>
      </c>
      <c r="D29" s="317">
        <v>116</v>
      </c>
      <c r="E29" s="317"/>
      <c r="F29" s="99">
        <f t="shared" si="0"/>
        <v>116</v>
      </c>
    </row>
    <row r="30" spans="1:6" ht="10.5" customHeight="1">
      <c r="A30" s="72"/>
      <c r="B30" s="73" t="s">
        <v>33</v>
      </c>
      <c r="C30" s="368" t="s">
        <v>488</v>
      </c>
      <c r="D30" s="315">
        <f>1+5+4+4+3+7+7+11+7</f>
        <v>49</v>
      </c>
      <c r="E30" s="315"/>
      <c r="F30" s="391">
        <f>D30</f>
        <v>49</v>
      </c>
    </row>
    <row r="31" spans="1:6" ht="10.5" customHeight="1">
      <c r="A31" s="72"/>
      <c r="B31" s="73" t="s">
        <v>101</v>
      </c>
      <c r="C31" s="171" t="s">
        <v>525</v>
      </c>
      <c r="D31" s="317">
        <v>201</v>
      </c>
      <c r="E31" s="317"/>
      <c r="F31" s="85">
        <f>D31</f>
        <v>201</v>
      </c>
    </row>
    <row r="32" spans="1:6" ht="10.5" customHeight="1" thickBot="1">
      <c r="A32" s="72"/>
      <c r="B32" s="73" t="s">
        <v>104</v>
      </c>
      <c r="C32" s="368" t="s">
        <v>526</v>
      </c>
      <c r="D32" s="315">
        <f>1545+679</f>
        <v>2224</v>
      </c>
      <c r="E32" s="315"/>
      <c r="F32" s="397">
        <f>D32</f>
        <v>2224</v>
      </c>
    </row>
    <row r="33" spans="1:6" s="91" customFormat="1" ht="16.5" customHeight="1" thickBot="1" thickTop="1">
      <c r="A33" s="86" t="s">
        <v>319</v>
      </c>
      <c r="B33" s="87"/>
      <c r="C33" s="88" t="s">
        <v>373</v>
      </c>
      <c r="D33" s="318">
        <f>SUM(D20:D32)</f>
        <v>60342</v>
      </c>
      <c r="E33" s="318">
        <f>SUM(E20:E29)</f>
        <v>1820</v>
      </c>
      <c r="F33" s="90">
        <f>SUM(F20:F32)</f>
        <v>62162</v>
      </c>
    </row>
    <row r="34" spans="1:6" ht="9" customHeight="1" thickTop="1">
      <c r="A34" s="72"/>
      <c r="B34" s="73"/>
      <c r="C34" s="74"/>
      <c r="D34" s="315"/>
      <c r="E34" s="315"/>
      <c r="F34" s="75"/>
    </row>
    <row r="35" spans="1:6" s="91" customFormat="1" ht="12" customHeight="1">
      <c r="A35" s="93" t="s">
        <v>48</v>
      </c>
      <c r="B35" s="94"/>
      <c r="C35" s="95" t="s">
        <v>374</v>
      </c>
      <c r="D35" s="313"/>
      <c r="E35" s="313"/>
      <c r="F35" s="96"/>
    </row>
    <row r="36" spans="1:6" ht="7.5" customHeight="1">
      <c r="A36" s="72"/>
      <c r="B36" s="73" t="s">
        <v>227</v>
      </c>
      <c r="C36" s="68" t="s">
        <v>227</v>
      </c>
      <c r="D36" s="316"/>
      <c r="E36" s="316"/>
      <c r="F36" s="82"/>
    </row>
    <row r="37" spans="1:6" ht="10.5" customHeight="1">
      <c r="A37" s="72"/>
      <c r="B37" s="73" t="s">
        <v>15</v>
      </c>
      <c r="C37" s="83" t="s">
        <v>394</v>
      </c>
      <c r="D37" s="317">
        <f>291000+20000+7312+17</f>
        <v>318329</v>
      </c>
      <c r="E37" s="317"/>
      <c r="F37" s="84">
        <f>D37+E37</f>
        <v>318329</v>
      </c>
    </row>
    <row r="38" spans="1:6" ht="10.5" customHeight="1">
      <c r="A38" s="72"/>
      <c r="B38" s="73" t="s">
        <v>17</v>
      </c>
      <c r="C38" s="83" t="s">
        <v>395</v>
      </c>
      <c r="D38" s="317"/>
      <c r="E38" s="317">
        <v>44000</v>
      </c>
      <c r="F38" s="84">
        <f>D38+E38</f>
        <v>44000</v>
      </c>
    </row>
    <row r="39" spans="1:6" ht="10.5" customHeight="1">
      <c r="A39" s="72"/>
      <c r="B39" s="73" t="s">
        <v>19</v>
      </c>
      <c r="C39" s="83" t="s">
        <v>85</v>
      </c>
      <c r="D39" s="317">
        <v>125000</v>
      </c>
      <c r="E39" s="317"/>
      <c r="F39" s="84">
        <f aca="true" t="shared" si="1" ref="F39:F48">SUM(D39:E39)</f>
        <v>125000</v>
      </c>
    </row>
    <row r="40" spans="1:6" ht="10.5" customHeight="1">
      <c r="A40" s="72"/>
      <c r="B40" s="73" t="s">
        <v>21</v>
      </c>
      <c r="C40" s="83" t="s">
        <v>86</v>
      </c>
      <c r="D40" s="317">
        <v>2500</v>
      </c>
      <c r="E40" s="317"/>
      <c r="F40" s="84">
        <f t="shared" si="1"/>
        <v>2500</v>
      </c>
    </row>
    <row r="41" spans="1:6" ht="10.5" customHeight="1">
      <c r="A41" s="72"/>
      <c r="B41" s="73" t="s">
        <v>23</v>
      </c>
      <c r="C41" s="83" t="s">
        <v>87</v>
      </c>
      <c r="D41" s="317">
        <f>98068</f>
        <v>98068</v>
      </c>
      <c r="E41" s="317">
        <v>0</v>
      </c>
      <c r="F41" s="84">
        <f t="shared" si="1"/>
        <v>98068</v>
      </c>
    </row>
    <row r="42" spans="1:6" ht="10.5" customHeight="1">
      <c r="A42" s="72"/>
      <c r="B42" s="73" t="s">
        <v>25</v>
      </c>
      <c r="C42" s="83" t="s">
        <v>376</v>
      </c>
      <c r="D42" s="317">
        <f>271889-8552-7312</f>
        <v>256025</v>
      </c>
      <c r="E42" s="317"/>
      <c r="F42" s="84">
        <f t="shared" si="1"/>
        <v>256025</v>
      </c>
    </row>
    <row r="43" spans="1:6" ht="10.5" customHeight="1">
      <c r="A43" s="72"/>
      <c r="B43" s="73" t="s">
        <v>27</v>
      </c>
      <c r="C43" s="83" t="s">
        <v>377</v>
      </c>
      <c r="D43" s="317">
        <f>200-100</f>
        <v>100</v>
      </c>
      <c r="E43" s="317"/>
      <c r="F43" s="84">
        <f t="shared" si="1"/>
        <v>100</v>
      </c>
    </row>
    <row r="44" spans="1:6" ht="10.5" customHeight="1">
      <c r="A44" s="72"/>
      <c r="B44" s="73" t="s">
        <v>28</v>
      </c>
      <c r="C44" s="83" t="s">
        <v>357</v>
      </c>
      <c r="D44" s="317">
        <v>452</v>
      </c>
      <c r="E44" s="317"/>
      <c r="F44" s="84">
        <f t="shared" si="1"/>
        <v>452</v>
      </c>
    </row>
    <row r="45" spans="1:6" ht="10.5" customHeight="1">
      <c r="A45" s="72"/>
      <c r="B45" s="73" t="s">
        <v>30</v>
      </c>
      <c r="C45" s="83" t="s">
        <v>378</v>
      </c>
      <c r="D45" s="317">
        <f>1000-500</f>
        <v>500</v>
      </c>
      <c r="E45" s="317"/>
      <c r="F45" s="84">
        <f t="shared" si="1"/>
        <v>500</v>
      </c>
    </row>
    <row r="46" spans="1:6" ht="10.5" customHeight="1">
      <c r="A46" s="72"/>
      <c r="B46" s="73" t="s">
        <v>32</v>
      </c>
      <c r="C46" s="83" t="s">
        <v>88</v>
      </c>
      <c r="D46" s="317">
        <f>250+44+39</f>
        <v>333</v>
      </c>
      <c r="E46" s="317"/>
      <c r="F46" s="84">
        <f t="shared" si="1"/>
        <v>333</v>
      </c>
    </row>
    <row r="47" spans="1:6" ht="10.5" customHeight="1">
      <c r="A47" s="72"/>
      <c r="B47" s="73" t="s">
        <v>33</v>
      </c>
      <c r="C47" s="83" t="s">
        <v>379</v>
      </c>
      <c r="D47" s="317">
        <v>60</v>
      </c>
      <c r="E47" s="317"/>
      <c r="F47" s="84">
        <f t="shared" si="1"/>
        <v>60</v>
      </c>
    </row>
    <row r="48" spans="1:6" ht="10.5" customHeight="1" thickBot="1">
      <c r="A48" s="72"/>
      <c r="B48" s="73" t="s">
        <v>101</v>
      </c>
      <c r="C48" s="74" t="s">
        <v>527</v>
      </c>
      <c r="D48" s="315">
        <f>5123+873</f>
        <v>5996</v>
      </c>
      <c r="E48" s="315"/>
      <c r="F48" s="96">
        <f t="shared" si="1"/>
        <v>5996</v>
      </c>
    </row>
    <row r="49" spans="1:6" s="91" customFormat="1" ht="12" customHeight="1" thickBot="1" thickTop="1">
      <c r="A49" s="86" t="s">
        <v>48</v>
      </c>
      <c r="B49" s="87"/>
      <c r="C49" s="88" t="s">
        <v>375</v>
      </c>
      <c r="D49" s="318">
        <f>SUM(D36:D48)</f>
        <v>807363</v>
      </c>
      <c r="E49" s="318">
        <f>SUM(E36:E47)</f>
        <v>44000</v>
      </c>
      <c r="F49" s="97">
        <f>SUM(F36:F48)</f>
        <v>851363</v>
      </c>
    </row>
    <row r="50" spans="1:6" ht="7.5" customHeight="1" thickTop="1">
      <c r="A50" s="72"/>
      <c r="B50" s="73"/>
      <c r="C50" s="74"/>
      <c r="D50" s="315"/>
      <c r="E50" s="315"/>
      <c r="F50" s="75"/>
    </row>
    <row r="51" spans="1:6" s="91" customFormat="1" ht="12" customHeight="1">
      <c r="A51" s="93" t="s">
        <v>65</v>
      </c>
      <c r="B51" s="94"/>
      <c r="C51" s="95" t="s">
        <v>51</v>
      </c>
      <c r="D51" s="313"/>
      <c r="E51" s="313"/>
      <c r="F51" s="96"/>
    </row>
    <row r="52" spans="1:6" s="91" customFormat="1" ht="7.5" customHeight="1">
      <c r="A52" s="93"/>
      <c r="B52" s="94"/>
      <c r="C52" s="95"/>
      <c r="D52" s="313"/>
      <c r="E52" s="313"/>
      <c r="F52" s="96"/>
    </row>
    <row r="53" spans="1:6" ht="10.5" customHeight="1">
      <c r="A53" s="72"/>
      <c r="B53" s="73" t="s">
        <v>15</v>
      </c>
      <c r="C53" s="83" t="s">
        <v>370</v>
      </c>
      <c r="D53" s="317"/>
      <c r="E53" s="317">
        <v>1667</v>
      </c>
      <c r="F53" s="84">
        <f aca="true" t="shared" si="2" ref="F53:F58">SUM(D53:E53)</f>
        <v>1667</v>
      </c>
    </row>
    <row r="54" spans="1:6" ht="10.5" customHeight="1">
      <c r="A54" s="72"/>
      <c r="B54" s="73" t="s">
        <v>17</v>
      </c>
      <c r="C54" s="83" t="s">
        <v>89</v>
      </c>
      <c r="D54" s="317"/>
      <c r="E54" s="317">
        <f>2000+3036</f>
        <v>5036</v>
      </c>
      <c r="F54" s="84">
        <f t="shared" si="2"/>
        <v>5036</v>
      </c>
    </row>
    <row r="55" spans="1:6" ht="10.5" customHeight="1">
      <c r="A55" s="72"/>
      <c r="B55" s="73" t="s">
        <v>19</v>
      </c>
      <c r="C55" s="83" t="s">
        <v>90</v>
      </c>
      <c r="D55" s="317"/>
      <c r="E55" s="317">
        <v>0</v>
      </c>
      <c r="F55" s="84">
        <f t="shared" si="2"/>
        <v>0</v>
      </c>
    </row>
    <row r="56" spans="1:6" ht="10.5" customHeight="1">
      <c r="A56" s="72"/>
      <c r="B56" s="73" t="s">
        <v>21</v>
      </c>
      <c r="C56" s="83" t="s">
        <v>91</v>
      </c>
      <c r="D56" s="317"/>
      <c r="E56" s="317">
        <f>3800+327</f>
        <v>4127</v>
      </c>
      <c r="F56" s="84">
        <f t="shared" si="2"/>
        <v>4127</v>
      </c>
    </row>
    <row r="57" spans="1:6" ht="10.5" customHeight="1">
      <c r="A57" s="72"/>
      <c r="B57" s="73" t="s">
        <v>23</v>
      </c>
      <c r="C57" s="83" t="s">
        <v>92</v>
      </c>
      <c r="D57" s="317"/>
      <c r="E57" s="317">
        <v>50</v>
      </c>
      <c r="F57" s="84">
        <f t="shared" si="2"/>
        <v>50</v>
      </c>
    </row>
    <row r="58" spans="1:6" ht="10.5" customHeight="1">
      <c r="A58" s="72"/>
      <c r="B58" s="73" t="s">
        <v>25</v>
      </c>
      <c r="C58" s="74" t="s">
        <v>557</v>
      </c>
      <c r="D58" s="315"/>
      <c r="E58" s="315">
        <v>5000</v>
      </c>
      <c r="F58" s="96">
        <f t="shared" si="2"/>
        <v>5000</v>
      </c>
    </row>
    <row r="59" spans="1:6" ht="10.5" customHeight="1" thickBot="1">
      <c r="A59" s="72"/>
      <c r="B59" s="73" t="s">
        <v>27</v>
      </c>
      <c r="C59" s="365" t="s">
        <v>575</v>
      </c>
      <c r="D59" s="394"/>
      <c r="E59" s="394">
        <f>5583+1117+2400</f>
        <v>9100</v>
      </c>
      <c r="F59" s="395">
        <f>E59</f>
        <v>9100</v>
      </c>
    </row>
    <row r="60" spans="1:6" s="91" customFormat="1" ht="12" customHeight="1" thickBot="1" thickTop="1">
      <c r="A60" s="86" t="s">
        <v>65</v>
      </c>
      <c r="B60" s="87"/>
      <c r="C60" s="88" t="s">
        <v>320</v>
      </c>
      <c r="D60" s="318">
        <f>SUM(D53:D57)</f>
        <v>0</v>
      </c>
      <c r="E60" s="318">
        <f>SUM(E53:E59)</f>
        <v>24980</v>
      </c>
      <c r="F60" s="90">
        <f>SUM(F53:F59)</f>
        <v>24980</v>
      </c>
    </row>
    <row r="61" spans="1:6" s="91" customFormat="1" ht="12" customHeight="1" thickTop="1">
      <c r="A61" s="93" t="s">
        <v>93</v>
      </c>
      <c r="B61" s="94"/>
      <c r="C61" s="95" t="s">
        <v>230</v>
      </c>
      <c r="D61" s="313"/>
      <c r="E61" s="313"/>
      <c r="F61" s="96"/>
    </row>
    <row r="62" spans="1:6" ht="10.5" customHeight="1">
      <c r="A62" s="148" t="s">
        <v>15</v>
      </c>
      <c r="B62" s="73"/>
      <c r="C62" s="95" t="s">
        <v>239</v>
      </c>
      <c r="D62" s="315"/>
      <c r="E62" s="315"/>
      <c r="F62" s="75"/>
    </row>
    <row r="63" spans="1:6" ht="7.5" customHeight="1">
      <c r="A63" s="148"/>
      <c r="B63" s="73"/>
      <c r="C63" s="95"/>
      <c r="D63" s="315"/>
      <c r="E63" s="315"/>
      <c r="F63" s="75"/>
    </row>
    <row r="64" spans="1:6" ht="10.5" customHeight="1">
      <c r="A64" s="72"/>
      <c r="B64" s="157" t="s">
        <v>243</v>
      </c>
      <c r="C64" s="83" t="s">
        <v>94</v>
      </c>
      <c r="D64" s="317">
        <f>33800-7169-7114-2246-6856-2358-2375</f>
        <v>5682</v>
      </c>
      <c r="E64" s="317"/>
      <c r="F64" s="84">
        <f aca="true" t="shared" si="3" ref="F64:F83">SUM(D64:E64)</f>
        <v>5682</v>
      </c>
    </row>
    <row r="65" spans="1:6" ht="10.5" customHeight="1">
      <c r="A65" s="72"/>
      <c r="B65" s="157" t="s">
        <v>244</v>
      </c>
      <c r="C65" s="83" t="s">
        <v>95</v>
      </c>
      <c r="D65" s="317">
        <f>(57000*0.9)-10709-10656-3315-10579-3706-3701</f>
        <v>8634</v>
      </c>
      <c r="E65" s="317"/>
      <c r="F65" s="84">
        <f t="shared" si="3"/>
        <v>8634</v>
      </c>
    </row>
    <row r="66" spans="1:6" ht="10.5" customHeight="1">
      <c r="A66" s="72"/>
      <c r="B66" s="157" t="s">
        <v>245</v>
      </c>
      <c r="C66" s="83" t="s">
        <v>96</v>
      </c>
      <c r="D66" s="317">
        <f>(15000*0.9)-2809-2947-970-2926-995-994</f>
        <v>1859</v>
      </c>
      <c r="E66" s="317"/>
      <c r="F66" s="84">
        <f t="shared" si="3"/>
        <v>1859</v>
      </c>
    </row>
    <row r="67" spans="1:6" ht="10.5" customHeight="1">
      <c r="A67" s="72"/>
      <c r="B67" s="157" t="s">
        <v>246</v>
      </c>
      <c r="C67" s="83" t="s">
        <v>231</v>
      </c>
      <c r="D67" s="317">
        <f>7000</f>
        <v>7000</v>
      </c>
      <c r="E67" s="317"/>
      <c r="F67" s="84">
        <f t="shared" si="3"/>
        <v>7000</v>
      </c>
    </row>
    <row r="68" spans="1:6" ht="10.5" customHeight="1">
      <c r="A68" s="72"/>
      <c r="B68" s="157" t="s">
        <v>247</v>
      </c>
      <c r="C68" s="68" t="s">
        <v>97</v>
      </c>
      <c r="D68" s="316">
        <f>11500*0.9-2369-2242-738-2243-729-721</f>
        <v>1308</v>
      </c>
      <c r="E68" s="316"/>
      <c r="F68" s="82">
        <f t="shared" si="3"/>
        <v>1308</v>
      </c>
    </row>
    <row r="69" spans="1:6" ht="10.5" customHeight="1">
      <c r="A69" s="72"/>
      <c r="B69" s="157" t="s">
        <v>248</v>
      </c>
      <c r="C69" s="68" t="s">
        <v>255</v>
      </c>
      <c r="D69" s="316">
        <v>500</v>
      </c>
      <c r="E69" s="316"/>
      <c r="F69" s="82">
        <f t="shared" si="3"/>
        <v>500</v>
      </c>
    </row>
    <row r="70" spans="1:6" ht="10.5" customHeight="1">
      <c r="A70" s="72"/>
      <c r="B70" s="157" t="s">
        <v>249</v>
      </c>
      <c r="C70" s="68" t="s">
        <v>232</v>
      </c>
      <c r="D70" s="316">
        <v>500</v>
      </c>
      <c r="E70" s="316"/>
      <c r="F70" s="82">
        <f t="shared" si="3"/>
        <v>500</v>
      </c>
    </row>
    <row r="71" spans="1:6" ht="10.5" customHeight="1">
      <c r="A71" s="72"/>
      <c r="B71" s="157" t="s">
        <v>250</v>
      </c>
      <c r="C71" s="68" t="s">
        <v>98</v>
      </c>
      <c r="D71" s="316">
        <v>700</v>
      </c>
      <c r="E71" s="316"/>
      <c r="F71" s="82">
        <f t="shared" si="3"/>
        <v>700</v>
      </c>
    </row>
    <row r="72" spans="1:6" ht="10.5" customHeight="1">
      <c r="A72" s="72"/>
      <c r="B72" s="157" t="s">
        <v>251</v>
      </c>
      <c r="C72" s="83" t="s">
        <v>99</v>
      </c>
      <c r="D72" s="317">
        <f>12427-1</f>
        <v>12426</v>
      </c>
      <c r="E72" s="317"/>
      <c r="F72" s="84">
        <f t="shared" si="3"/>
        <v>12426</v>
      </c>
    </row>
    <row r="73" spans="1:6" ht="12.75" customHeight="1">
      <c r="A73" s="72"/>
      <c r="B73" s="157" t="s">
        <v>252</v>
      </c>
      <c r="C73" s="83" t="s">
        <v>100</v>
      </c>
      <c r="D73" s="317">
        <v>1200</v>
      </c>
      <c r="E73" s="317"/>
      <c r="F73" s="84">
        <f t="shared" si="3"/>
        <v>1200</v>
      </c>
    </row>
    <row r="74" spans="1:6" ht="10.5" customHeight="1">
      <c r="A74" s="72"/>
      <c r="B74" s="157" t="s">
        <v>253</v>
      </c>
      <c r="C74" s="172" t="s">
        <v>296</v>
      </c>
      <c r="D74" s="317">
        <v>5000</v>
      </c>
      <c r="E74" s="317"/>
      <c r="F74" s="84">
        <f t="shared" si="3"/>
        <v>5000</v>
      </c>
    </row>
    <row r="75" spans="1:6" ht="10.5" customHeight="1">
      <c r="A75" s="72"/>
      <c r="B75" s="157" t="s">
        <v>254</v>
      </c>
      <c r="C75" s="173" t="s">
        <v>288</v>
      </c>
      <c r="D75" s="319">
        <f>100-100+325+375</f>
        <v>700</v>
      </c>
      <c r="E75" s="319"/>
      <c r="F75" s="99">
        <f t="shared" si="3"/>
        <v>700</v>
      </c>
    </row>
    <row r="76" spans="1:6" ht="10.5" customHeight="1">
      <c r="A76" s="72"/>
      <c r="B76" s="157" t="s">
        <v>321</v>
      </c>
      <c r="C76" s="173" t="s">
        <v>323</v>
      </c>
      <c r="D76" s="319">
        <v>3000</v>
      </c>
      <c r="E76" s="319"/>
      <c r="F76" s="99">
        <f t="shared" si="3"/>
        <v>3000</v>
      </c>
    </row>
    <row r="77" spans="1:6" ht="10.5" customHeight="1">
      <c r="A77" s="72"/>
      <c r="B77" s="157" t="s">
        <v>322</v>
      </c>
      <c r="C77" s="173" t="s">
        <v>339</v>
      </c>
      <c r="D77" s="319">
        <f>139+1140</f>
        <v>1279</v>
      </c>
      <c r="E77" s="319"/>
      <c r="F77" s="99">
        <f>SUM(D77:E77)</f>
        <v>1279</v>
      </c>
    </row>
    <row r="78" spans="1:6" ht="10.5" customHeight="1">
      <c r="A78" s="72"/>
      <c r="B78" s="157" t="s">
        <v>334</v>
      </c>
      <c r="C78" s="200" t="s">
        <v>342</v>
      </c>
      <c r="D78" s="317">
        <f>15945+7151+80+69+128+376</f>
        <v>23749</v>
      </c>
      <c r="E78" s="317"/>
      <c r="F78" s="84">
        <f t="shared" si="3"/>
        <v>23749</v>
      </c>
    </row>
    <row r="79" spans="1:6" ht="10.5" customHeight="1">
      <c r="A79" s="72"/>
      <c r="B79" s="157" t="s">
        <v>335</v>
      </c>
      <c r="C79" s="200" t="s">
        <v>371</v>
      </c>
      <c r="D79" s="317">
        <v>600</v>
      </c>
      <c r="E79" s="317"/>
      <c r="F79" s="84">
        <f t="shared" si="3"/>
        <v>600</v>
      </c>
    </row>
    <row r="80" spans="1:6" ht="10.5" customHeight="1">
      <c r="A80" s="72"/>
      <c r="B80" s="157" t="s">
        <v>337</v>
      </c>
      <c r="C80" s="200" t="s">
        <v>404</v>
      </c>
      <c r="D80" s="317">
        <f>(11*1643722)/1000+21148-21148-13237-4844</f>
        <v>-0.0580000000045402</v>
      </c>
      <c r="E80" s="317"/>
      <c r="F80" s="84">
        <f t="shared" si="3"/>
        <v>-0.0580000000045402</v>
      </c>
    </row>
    <row r="81" spans="1:6" ht="10.5" customHeight="1">
      <c r="A81" s="72"/>
      <c r="B81" s="157" t="s">
        <v>408</v>
      </c>
      <c r="C81" s="200" t="s">
        <v>410</v>
      </c>
      <c r="D81" s="317">
        <f>14271-7135-7136</f>
        <v>0</v>
      </c>
      <c r="E81" s="317"/>
      <c r="F81" s="84">
        <f t="shared" si="3"/>
        <v>0</v>
      </c>
    </row>
    <row r="82" spans="1:6" ht="10.5" customHeight="1">
      <c r="A82" s="72"/>
      <c r="B82" s="157" t="s">
        <v>409</v>
      </c>
      <c r="C82" s="350" t="s">
        <v>411</v>
      </c>
      <c r="D82" s="315">
        <f>5927-2964-2963</f>
        <v>0</v>
      </c>
      <c r="E82" s="315"/>
      <c r="F82" s="99">
        <f t="shared" si="3"/>
        <v>0</v>
      </c>
    </row>
    <row r="83" spans="1:6" ht="10.5" customHeight="1">
      <c r="A83" s="72"/>
      <c r="B83" s="157" t="s">
        <v>451</v>
      </c>
      <c r="C83" s="173" t="s">
        <v>452</v>
      </c>
      <c r="D83" s="319">
        <v>2640</v>
      </c>
      <c r="E83" s="319"/>
      <c r="F83" s="99">
        <f t="shared" si="3"/>
        <v>2640</v>
      </c>
    </row>
    <row r="84" spans="1:6" ht="10.5" customHeight="1">
      <c r="A84" s="72"/>
      <c r="B84" s="157" t="s">
        <v>455</v>
      </c>
      <c r="C84" s="173" t="s">
        <v>537</v>
      </c>
      <c r="D84" s="319">
        <f>1849+4818+1267</f>
        <v>7934</v>
      </c>
      <c r="E84" s="319"/>
      <c r="F84" s="99">
        <f>D84+E84</f>
        <v>7934</v>
      </c>
    </row>
    <row r="85" spans="1:6" ht="10.5" customHeight="1">
      <c r="A85" s="72"/>
      <c r="B85" s="157" t="s">
        <v>473</v>
      </c>
      <c r="C85" s="173" t="s">
        <v>474</v>
      </c>
      <c r="D85" s="319">
        <f>1027+110</f>
        <v>1137</v>
      </c>
      <c r="E85" s="319"/>
      <c r="F85" s="99">
        <f>D85+E85</f>
        <v>1137</v>
      </c>
    </row>
    <row r="86" spans="1:6" ht="10.5" customHeight="1">
      <c r="A86" s="72"/>
      <c r="B86" s="157" t="s">
        <v>484</v>
      </c>
      <c r="C86" s="173" t="s">
        <v>485</v>
      </c>
      <c r="D86" s="319">
        <f>990-990</f>
        <v>0</v>
      </c>
      <c r="E86" s="319"/>
      <c r="F86" s="99">
        <f aca="true" t="shared" si="4" ref="F86:F94">D86</f>
        <v>0</v>
      </c>
    </row>
    <row r="87" spans="1:6" ht="10.5" customHeight="1">
      <c r="A87" s="72"/>
      <c r="B87" s="157" t="s">
        <v>511</v>
      </c>
      <c r="C87" s="200" t="s">
        <v>515</v>
      </c>
      <c r="D87" s="317">
        <v>12522</v>
      </c>
      <c r="E87" s="317"/>
      <c r="F87" s="99">
        <f t="shared" si="4"/>
        <v>12522</v>
      </c>
    </row>
    <row r="88" spans="1:6" ht="10.5" customHeight="1">
      <c r="A88" s="72"/>
      <c r="B88" s="157" t="s">
        <v>512</v>
      </c>
      <c r="C88" s="200" t="s">
        <v>516</v>
      </c>
      <c r="D88" s="317">
        <v>120</v>
      </c>
      <c r="E88" s="317"/>
      <c r="F88" s="99">
        <f t="shared" si="4"/>
        <v>120</v>
      </c>
    </row>
    <row r="89" spans="1:6" ht="10.5" customHeight="1">
      <c r="A89" s="72"/>
      <c r="B89" s="157" t="s">
        <v>513</v>
      </c>
      <c r="C89" s="200" t="s">
        <v>572</v>
      </c>
      <c r="D89" s="317">
        <f>150+150</f>
        <v>300</v>
      </c>
      <c r="E89" s="317"/>
      <c r="F89" s="85">
        <f t="shared" si="4"/>
        <v>300</v>
      </c>
    </row>
    <row r="90" spans="1:6" ht="10.5" customHeight="1">
      <c r="A90" s="72"/>
      <c r="B90" s="157" t="s">
        <v>514</v>
      </c>
      <c r="C90" s="350" t="s">
        <v>494</v>
      </c>
      <c r="D90" s="315">
        <v>6988</v>
      </c>
      <c r="E90" s="315"/>
      <c r="F90" s="96">
        <f t="shared" si="4"/>
        <v>6988</v>
      </c>
    </row>
    <row r="91" spans="1:6" ht="10.5" customHeight="1">
      <c r="A91" s="72"/>
      <c r="B91" s="157" t="s">
        <v>562</v>
      </c>
      <c r="C91" s="200" t="s">
        <v>563</v>
      </c>
      <c r="D91" s="317">
        <v>500</v>
      </c>
      <c r="E91" s="317"/>
      <c r="F91" s="84">
        <f t="shared" si="4"/>
        <v>500</v>
      </c>
    </row>
    <row r="92" spans="1:6" ht="10.5" customHeight="1">
      <c r="A92" s="72"/>
      <c r="B92" s="157" t="s">
        <v>569</v>
      </c>
      <c r="C92" s="200" t="s">
        <v>570</v>
      </c>
      <c r="D92" s="317">
        <v>2850</v>
      </c>
      <c r="E92" s="317"/>
      <c r="F92" s="84">
        <f t="shared" si="4"/>
        <v>2850</v>
      </c>
    </row>
    <row r="93" spans="1:6" ht="10.5" customHeight="1">
      <c r="A93" s="72"/>
      <c r="B93" s="157" t="s">
        <v>584</v>
      </c>
      <c r="C93" s="101" t="s">
        <v>583</v>
      </c>
      <c r="D93" s="315">
        <v>113</v>
      </c>
      <c r="E93" s="315"/>
      <c r="F93" s="96">
        <f t="shared" si="4"/>
        <v>113</v>
      </c>
    </row>
    <row r="94" spans="1:6" ht="14.25" customHeight="1">
      <c r="A94" s="72"/>
      <c r="B94" s="157"/>
      <c r="C94" s="405" t="s">
        <v>43</v>
      </c>
      <c r="D94" s="313">
        <f>SUM(D64:D93)</f>
        <v>109240.942</v>
      </c>
      <c r="E94" s="313"/>
      <c r="F94" s="406">
        <f t="shared" si="4"/>
        <v>109240.942</v>
      </c>
    </row>
    <row r="95" spans="1:6" ht="6.75" customHeight="1">
      <c r="A95" s="72"/>
      <c r="B95" s="404"/>
      <c r="C95" s="405"/>
      <c r="D95" s="313"/>
      <c r="E95" s="313"/>
      <c r="F95" s="406"/>
    </row>
    <row r="96" spans="1:6" ht="10.5" customHeight="1">
      <c r="A96" s="72"/>
      <c r="B96" s="404"/>
      <c r="C96" s="405" t="s">
        <v>548</v>
      </c>
      <c r="D96" s="313"/>
      <c r="E96" s="313"/>
      <c r="F96" s="406"/>
    </row>
    <row r="97" spans="1:6" ht="8.25" customHeight="1">
      <c r="A97" s="72"/>
      <c r="B97" s="404"/>
      <c r="C97" s="405"/>
      <c r="D97" s="313"/>
      <c r="E97" s="313"/>
      <c r="F97" s="406"/>
    </row>
    <row r="98" spans="1:6" ht="9.75" customHeight="1">
      <c r="A98" s="72"/>
      <c r="B98" s="404" t="s">
        <v>531</v>
      </c>
      <c r="C98" s="171" t="s">
        <v>549</v>
      </c>
      <c r="D98" s="352"/>
      <c r="E98" s="352">
        <v>983</v>
      </c>
      <c r="F98" s="407">
        <f>D98+E98</f>
        <v>983</v>
      </c>
    </row>
    <row r="99" spans="1:6" ht="14.25" customHeight="1" thickBot="1">
      <c r="A99" s="72"/>
      <c r="B99" s="404"/>
      <c r="C99" s="405" t="s">
        <v>43</v>
      </c>
      <c r="D99" s="313">
        <f>D98</f>
        <v>0</v>
      </c>
      <c r="E99" s="313">
        <f>E98</f>
        <v>983</v>
      </c>
      <c r="F99" s="406">
        <f>F98</f>
        <v>983</v>
      </c>
    </row>
    <row r="100" spans="1:6" ht="13.5" customHeight="1" thickBot="1" thickTop="1">
      <c r="A100" s="86" t="s">
        <v>324</v>
      </c>
      <c r="B100" s="168"/>
      <c r="C100" s="89" t="s">
        <v>325</v>
      </c>
      <c r="D100" s="318">
        <f>SUM(D94)</f>
        <v>109240.942</v>
      </c>
      <c r="E100" s="318">
        <f>E99</f>
        <v>983</v>
      </c>
      <c r="F100" s="356">
        <f>F94+F99</f>
        <v>110223.942</v>
      </c>
    </row>
    <row r="101" spans="1:6" s="91" customFormat="1" ht="12" customHeight="1" thickTop="1">
      <c r="A101" s="93" t="s">
        <v>102</v>
      </c>
      <c r="B101" s="94"/>
      <c r="C101" s="95" t="s">
        <v>240</v>
      </c>
      <c r="D101" s="313"/>
      <c r="E101" s="313"/>
      <c r="F101" s="96"/>
    </row>
    <row r="102" spans="1:6" s="91" customFormat="1" ht="7.5" customHeight="1">
      <c r="A102" s="93"/>
      <c r="B102" s="94"/>
      <c r="C102" s="95"/>
      <c r="D102" s="313"/>
      <c r="E102" s="313"/>
      <c r="F102" s="96"/>
    </row>
    <row r="103" spans="1:6" s="91" customFormat="1" ht="12" customHeight="1">
      <c r="A103" s="148" t="s">
        <v>15</v>
      </c>
      <c r="B103" s="73"/>
      <c r="C103" s="147" t="s">
        <v>229</v>
      </c>
      <c r="D103" s="315"/>
      <c r="E103" s="315"/>
      <c r="F103" s="75"/>
    </row>
    <row r="104" spans="1:6" ht="22.5" customHeight="1">
      <c r="A104" s="72"/>
      <c r="B104" s="157" t="s">
        <v>243</v>
      </c>
      <c r="C104" s="100" t="s">
        <v>103</v>
      </c>
      <c r="D104" s="317"/>
      <c r="E104" s="317">
        <f>200+114</f>
        <v>314</v>
      </c>
      <c r="F104" s="84">
        <f>SUM(D104:E104)</f>
        <v>314</v>
      </c>
    </row>
    <row r="105" spans="1:6" ht="21" customHeight="1">
      <c r="A105" s="72"/>
      <c r="B105" s="157" t="s">
        <v>244</v>
      </c>
      <c r="C105" s="166" t="s">
        <v>366</v>
      </c>
      <c r="D105" s="317"/>
      <c r="E105" s="317">
        <f>400+210+176</f>
        <v>786</v>
      </c>
      <c r="F105" s="85">
        <f>SUM(D105:E105)</f>
        <v>786</v>
      </c>
    </row>
    <row r="106" spans="1:6" ht="15" customHeight="1">
      <c r="A106" s="72"/>
      <c r="B106" s="157" t="s">
        <v>245</v>
      </c>
      <c r="C106" s="345" t="s">
        <v>401</v>
      </c>
      <c r="D106" s="315"/>
      <c r="E106" s="315">
        <v>19475</v>
      </c>
      <c r="F106" s="391">
        <f>SUM(D106:E106)</f>
        <v>19475</v>
      </c>
    </row>
    <row r="107" spans="1:6" ht="17.25" customHeight="1">
      <c r="A107" s="72"/>
      <c r="B107" s="157" t="s">
        <v>246</v>
      </c>
      <c r="C107" s="166" t="s">
        <v>415</v>
      </c>
      <c r="D107" s="317"/>
      <c r="E107" s="317">
        <v>800</v>
      </c>
      <c r="F107" s="85">
        <f>SUM(D107:E107)</f>
        <v>800</v>
      </c>
    </row>
    <row r="108" spans="1:6" ht="16.5" customHeight="1">
      <c r="A108" s="72"/>
      <c r="B108" s="157"/>
      <c r="C108" s="390" t="s">
        <v>486</v>
      </c>
      <c r="D108" s="315"/>
      <c r="E108" s="392">
        <f>SUM(E104:E107)</f>
        <v>21375</v>
      </c>
      <c r="F108" s="96">
        <f>SUM(F104:F107)</f>
        <v>21375</v>
      </c>
    </row>
    <row r="109" spans="1:6" ht="9.75" customHeight="1">
      <c r="A109" s="72"/>
      <c r="B109" s="157"/>
      <c r="C109" s="390"/>
      <c r="D109" s="315"/>
      <c r="E109" s="392"/>
      <c r="F109" s="96"/>
    </row>
    <row r="110" spans="1:6" ht="14.25" customHeight="1">
      <c r="A110" s="72" t="s">
        <v>17</v>
      </c>
      <c r="B110" s="157"/>
      <c r="C110" s="390" t="s">
        <v>522</v>
      </c>
      <c r="D110" s="315"/>
      <c r="E110" s="392"/>
      <c r="F110" s="96"/>
    </row>
    <row r="111" spans="1:6" ht="13.5" customHeight="1">
      <c r="A111" s="72"/>
      <c r="B111" s="157" t="s">
        <v>531</v>
      </c>
      <c r="C111" s="398" t="s">
        <v>532</v>
      </c>
      <c r="D111" s="317">
        <v>15</v>
      </c>
      <c r="E111" s="399"/>
      <c r="F111" s="84">
        <f>D111</f>
        <v>15</v>
      </c>
    </row>
    <row r="112" spans="1:6" ht="13.5" customHeight="1">
      <c r="A112" s="72"/>
      <c r="B112" s="157" t="s">
        <v>524</v>
      </c>
      <c r="C112" s="166" t="s">
        <v>523</v>
      </c>
      <c r="D112" s="317">
        <v>112</v>
      </c>
      <c r="E112" s="399"/>
      <c r="F112" s="84">
        <f>D112</f>
        <v>112</v>
      </c>
    </row>
    <row r="113" spans="1:6" ht="16.5" customHeight="1">
      <c r="A113" s="72"/>
      <c r="B113" s="157"/>
      <c r="C113" s="390" t="s">
        <v>522</v>
      </c>
      <c r="D113" s="392">
        <f>D111+D112</f>
        <v>127</v>
      </c>
      <c r="E113" s="392"/>
      <c r="F113" s="96">
        <f>F111+F112</f>
        <v>127</v>
      </c>
    </row>
    <row r="114" spans="1:6" ht="12" customHeight="1" thickBot="1">
      <c r="A114" s="376"/>
      <c r="B114" s="377"/>
      <c r="C114" s="378" t="s">
        <v>43</v>
      </c>
      <c r="D114" s="379">
        <f>D113</f>
        <v>127</v>
      </c>
      <c r="E114" s="379">
        <f>E108</f>
        <v>21375</v>
      </c>
      <c r="F114" s="380">
        <f>F108+D114</f>
        <v>21502</v>
      </c>
    </row>
    <row r="115" spans="1:6" s="91" customFormat="1" ht="10.5" customHeight="1" thickBot="1" thickTop="1">
      <c r="A115" s="86" t="s">
        <v>102</v>
      </c>
      <c r="B115" s="87"/>
      <c r="C115" s="88" t="s">
        <v>241</v>
      </c>
      <c r="D115" s="318">
        <f>D114</f>
        <v>127</v>
      </c>
      <c r="E115" s="318">
        <f>E114</f>
        <v>21375</v>
      </c>
      <c r="F115" s="90">
        <f>F114</f>
        <v>21502</v>
      </c>
    </row>
    <row r="116" spans="1:6" s="91" customFormat="1" ht="12" customHeight="1" thickTop="1">
      <c r="A116" s="93" t="s">
        <v>105</v>
      </c>
      <c r="B116" s="94"/>
      <c r="C116" s="95" t="s">
        <v>106</v>
      </c>
      <c r="D116" s="313"/>
      <c r="E116" s="313"/>
      <c r="F116" s="96"/>
    </row>
    <row r="117" spans="1:6" ht="10.5" customHeight="1">
      <c r="A117" s="72"/>
      <c r="B117" s="73" t="s">
        <v>15</v>
      </c>
      <c r="C117" s="83" t="s">
        <v>380</v>
      </c>
      <c r="D117" s="317">
        <f>270650-1480-17-1</f>
        <v>269152</v>
      </c>
      <c r="E117" s="317"/>
      <c r="F117" s="85">
        <f>SUM(D117:E117)</f>
        <v>269152</v>
      </c>
    </row>
    <row r="118" spans="1:6" ht="10.5" customHeight="1">
      <c r="A118" s="72"/>
      <c r="B118" s="73" t="s">
        <v>17</v>
      </c>
      <c r="C118" s="83" t="s">
        <v>381</v>
      </c>
      <c r="D118" s="317">
        <v>269</v>
      </c>
      <c r="E118" s="317"/>
      <c r="F118" s="84">
        <f>SUM(D118:E118)</f>
        <v>269</v>
      </c>
    </row>
    <row r="119" spans="1:6" ht="10.5" customHeight="1">
      <c r="A119" s="72"/>
      <c r="B119" s="73" t="s">
        <v>19</v>
      </c>
      <c r="C119" s="83" t="s">
        <v>382</v>
      </c>
      <c r="D119" s="317">
        <f>168793</f>
        <v>168793</v>
      </c>
      <c r="E119" s="317"/>
      <c r="F119" s="84">
        <f>SUM(D119:E119)</f>
        <v>168793</v>
      </c>
    </row>
    <row r="120" spans="1:6" ht="10.5" customHeight="1">
      <c r="A120" s="72"/>
      <c r="B120" s="73" t="s">
        <v>21</v>
      </c>
      <c r="C120" s="74" t="s">
        <v>383</v>
      </c>
      <c r="D120" s="315">
        <f>6756+235</f>
        <v>6991</v>
      </c>
      <c r="E120" s="315"/>
      <c r="F120" s="99">
        <f>SUM(D120:E120)</f>
        <v>6991</v>
      </c>
    </row>
    <row r="121" spans="1:6" ht="10.5" customHeight="1">
      <c r="A121" s="72"/>
      <c r="B121" s="73" t="s">
        <v>23</v>
      </c>
      <c r="C121" s="83"/>
      <c r="D121" s="317" t="s">
        <v>227</v>
      </c>
      <c r="E121" s="317"/>
      <c r="F121" s="84"/>
    </row>
    <row r="122" spans="1:6" ht="10.5" customHeight="1">
      <c r="A122" s="72"/>
      <c r="B122" s="393" t="s">
        <v>489</v>
      </c>
      <c r="C122" s="83" t="s">
        <v>94</v>
      </c>
      <c r="D122" s="317">
        <f>7169+7114+2246+6856+2358+2375</f>
        <v>28118</v>
      </c>
      <c r="E122" s="317"/>
      <c r="F122" s="84">
        <f aca="true" t="shared" si="5" ref="F122:F128">D122</f>
        <v>28118</v>
      </c>
    </row>
    <row r="123" spans="1:6" ht="10.5" customHeight="1">
      <c r="A123" s="72"/>
      <c r="B123" s="393" t="s">
        <v>490</v>
      </c>
      <c r="C123" s="83" t="s">
        <v>95</v>
      </c>
      <c r="D123" s="317">
        <f>10709+10656+3315+10579+3706+3701</f>
        <v>42666</v>
      </c>
      <c r="E123" s="317"/>
      <c r="F123" s="84">
        <f t="shared" si="5"/>
        <v>42666</v>
      </c>
    </row>
    <row r="124" spans="1:6" ht="10.5" customHeight="1">
      <c r="A124" s="72"/>
      <c r="B124" s="393" t="s">
        <v>491</v>
      </c>
      <c r="C124" s="83" t="s">
        <v>96</v>
      </c>
      <c r="D124" s="317">
        <f>2809+2947+970+2926+995+995</f>
        <v>11642</v>
      </c>
      <c r="E124" s="317"/>
      <c r="F124" s="84">
        <f t="shared" si="5"/>
        <v>11642</v>
      </c>
    </row>
    <row r="125" spans="1:6" ht="10.5" customHeight="1">
      <c r="A125" s="72"/>
      <c r="B125" s="393" t="s">
        <v>492</v>
      </c>
      <c r="C125" s="83" t="s">
        <v>285</v>
      </c>
      <c r="D125" s="317">
        <f>2242+2369+738+2243+729+721</f>
        <v>9042</v>
      </c>
      <c r="E125" s="317"/>
      <c r="F125" s="84">
        <f t="shared" si="5"/>
        <v>9042</v>
      </c>
    </row>
    <row r="126" spans="1:6" ht="10.5" customHeight="1">
      <c r="A126" s="72"/>
      <c r="B126" s="393" t="s">
        <v>493</v>
      </c>
      <c r="C126" s="83" t="s">
        <v>470</v>
      </c>
      <c r="D126" s="317">
        <f>190-190</f>
        <v>0</v>
      </c>
      <c r="E126" s="317"/>
      <c r="F126" s="84">
        <f t="shared" si="5"/>
        <v>0</v>
      </c>
    </row>
    <row r="127" spans="1:6" ht="10.5" customHeight="1">
      <c r="A127" s="72"/>
      <c r="B127" s="393" t="s">
        <v>571</v>
      </c>
      <c r="C127" s="74" t="s">
        <v>231</v>
      </c>
      <c r="D127" s="315">
        <v>0</v>
      </c>
      <c r="E127" s="315"/>
      <c r="F127" s="96">
        <f>D127</f>
        <v>0</v>
      </c>
    </row>
    <row r="128" spans="1:6" ht="24" customHeight="1" thickBot="1">
      <c r="A128" s="72"/>
      <c r="B128" s="389" t="s">
        <v>25</v>
      </c>
      <c r="C128" s="396" t="s">
        <v>494</v>
      </c>
      <c r="D128" s="394">
        <v>0</v>
      </c>
      <c r="E128" s="394"/>
      <c r="F128" s="395">
        <f t="shared" si="5"/>
        <v>0</v>
      </c>
    </row>
    <row r="129" spans="1:6" ht="12" customHeight="1" thickBot="1" thickTop="1">
      <c r="A129" s="86" t="s">
        <v>105</v>
      </c>
      <c r="B129" s="87"/>
      <c r="C129" s="88" t="s">
        <v>326</v>
      </c>
      <c r="D129" s="318">
        <f>SUM(D117:D128)</f>
        <v>536673</v>
      </c>
      <c r="E129" s="318">
        <f>SUM(E117:E119)</f>
        <v>0</v>
      </c>
      <c r="F129" s="90">
        <f>SUM(F117:F128)</f>
        <v>536673</v>
      </c>
    </row>
    <row r="130" spans="1:6" s="91" customFormat="1" ht="12" customHeight="1" thickTop="1">
      <c r="A130" s="93" t="s">
        <v>107</v>
      </c>
      <c r="B130" s="94"/>
      <c r="C130" s="95" t="s">
        <v>108</v>
      </c>
      <c r="D130" s="437"/>
      <c r="E130" s="437"/>
      <c r="F130" s="436"/>
    </row>
    <row r="131" spans="1:6" ht="10.5" customHeight="1">
      <c r="A131" s="72"/>
      <c r="B131" s="73" t="s">
        <v>15</v>
      </c>
      <c r="C131" s="83" t="s">
        <v>109</v>
      </c>
      <c r="D131" s="317">
        <v>555</v>
      </c>
      <c r="E131" s="317"/>
      <c r="F131" s="85">
        <f>SUM(D131:E131)</f>
        <v>555</v>
      </c>
    </row>
    <row r="132" spans="1:6" ht="10.5" customHeight="1">
      <c r="A132" s="72"/>
      <c r="B132" s="73" t="s">
        <v>17</v>
      </c>
      <c r="C132" s="68" t="s">
        <v>110</v>
      </c>
      <c r="D132" s="316">
        <v>555</v>
      </c>
      <c r="E132" s="316"/>
      <c r="F132" s="82">
        <f>SUM(D132:E132)</f>
        <v>555</v>
      </c>
    </row>
    <row r="133" spans="1:6" ht="10.5" customHeight="1">
      <c r="A133" s="72"/>
      <c r="B133" s="73" t="s">
        <v>19</v>
      </c>
      <c r="C133" s="83" t="s">
        <v>111</v>
      </c>
      <c r="D133" s="317">
        <v>555</v>
      </c>
      <c r="E133" s="317"/>
      <c r="F133" s="84">
        <f>SUM(D133:E133)</f>
        <v>555</v>
      </c>
    </row>
    <row r="134" spans="1:6" ht="10.5" customHeight="1">
      <c r="A134" s="72"/>
      <c r="B134" s="73" t="s">
        <v>21</v>
      </c>
      <c r="C134" s="83" t="s">
        <v>449</v>
      </c>
      <c r="D134" s="317">
        <f>37+40</f>
        <v>77</v>
      </c>
      <c r="E134" s="317"/>
      <c r="F134" s="84">
        <f>D134+E134</f>
        <v>77</v>
      </c>
    </row>
    <row r="135" spans="1:6" ht="10.5" customHeight="1">
      <c r="A135" s="72"/>
      <c r="B135" s="73" t="s">
        <v>23</v>
      </c>
      <c r="C135" s="74" t="s">
        <v>469</v>
      </c>
      <c r="D135" s="315">
        <f>338+466+341+341</f>
        <v>1486</v>
      </c>
      <c r="E135" s="315"/>
      <c r="F135" s="96">
        <f>D135</f>
        <v>1486</v>
      </c>
    </row>
    <row r="136" spans="1:6" ht="10.5" customHeight="1">
      <c r="A136" s="72"/>
      <c r="B136" s="73" t="s">
        <v>25</v>
      </c>
      <c r="C136" s="83" t="s">
        <v>480</v>
      </c>
      <c r="D136" s="317">
        <v>512</v>
      </c>
      <c r="E136" s="317"/>
      <c r="F136" s="84">
        <f>D136</f>
        <v>512</v>
      </c>
    </row>
    <row r="137" spans="1:6" ht="10.5" customHeight="1">
      <c r="A137" s="72"/>
      <c r="B137" s="73" t="s">
        <v>27</v>
      </c>
      <c r="C137" s="74" t="s">
        <v>481</v>
      </c>
      <c r="D137" s="315">
        <f>227+311+201-1</f>
        <v>738</v>
      </c>
      <c r="E137" s="315"/>
      <c r="F137" s="96">
        <f>D137</f>
        <v>738</v>
      </c>
    </row>
    <row r="138" spans="1:6" ht="10.5" customHeight="1">
      <c r="A138" s="72"/>
      <c r="B138" s="73" t="s">
        <v>28</v>
      </c>
      <c r="C138" s="83" t="s">
        <v>497</v>
      </c>
      <c r="D138" s="317">
        <f>658</f>
        <v>658</v>
      </c>
      <c r="E138" s="317"/>
      <c r="F138" s="84">
        <f aca="true" t="shared" si="6" ref="F138:F144">D138</f>
        <v>658</v>
      </c>
    </row>
    <row r="139" spans="1:6" ht="10.5" customHeight="1">
      <c r="A139" s="72"/>
      <c r="B139" s="73" t="s">
        <v>30</v>
      </c>
      <c r="C139" s="83" t="s">
        <v>498</v>
      </c>
      <c r="D139" s="317">
        <v>1176</v>
      </c>
      <c r="E139" s="317"/>
      <c r="F139" s="84">
        <f t="shared" si="6"/>
        <v>1176</v>
      </c>
    </row>
    <row r="140" spans="1:6" ht="10.5" customHeight="1">
      <c r="A140" s="72"/>
      <c r="B140" s="73" t="s">
        <v>32</v>
      </c>
      <c r="C140" s="83" t="s">
        <v>404</v>
      </c>
      <c r="D140" s="317">
        <f>13237+6618+6619-1013+1013</f>
        <v>26474</v>
      </c>
      <c r="E140" s="317"/>
      <c r="F140" s="84">
        <f t="shared" si="6"/>
        <v>26474</v>
      </c>
    </row>
    <row r="141" spans="1:6" ht="10.5" customHeight="1">
      <c r="A141" s="72"/>
      <c r="B141" s="73" t="s">
        <v>33</v>
      </c>
      <c r="C141" s="83" t="s">
        <v>499</v>
      </c>
      <c r="D141" s="317">
        <v>24326</v>
      </c>
      <c r="E141" s="317"/>
      <c r="F141" s="84">
        <f t="shared" si="6"/>
        <v>24326</v>
      </c>
    </row>
    <row r="142" spans="1:6" ht="10.5" customHeight="1">
      <c r="A142" s="72"/>
      <c r="B142" s="73" t="s">
        <v>101</v>
      </c>
      <c r="C142" s="83" t="s">
        <v>500</v>
      </c>
      <c r="D142" s="317">
        <f>1+1875</f>
        <v>1876</v>
      </c>
      <c r="E142" s="317"/>
      <c r="F142" s="84">
        <f t="shared" si="6"/>
        <v>1876</v>
      </c>
    </row>
    <row r="143" spans="1:6" ht="10.5" customHeight="1">
      <c r="A143" s="72"/>
      <c r="B143" s="73" t="s">
        <v>104</v>
      </c>
      <c r="C143" s="83" t="s">
        <v>501</v>
      </c>
      <c r="D143" s="317">
        <f>3766+5021</f>
        <v>8787</v>
      </c>
      <c r="E143" s="317"/>
      <c r="F143" s="84">
        <f t="shared" si="6"/>
        <v>8787</v>
      </c>
    </row>
    <row r="144" spans="1:6" ht="12" customHeight="1">
      <c r="A144" s="72"/>
      <c r="B144" s="73" t="s">
        <v>115</v>
      </c>
      <c r="C144" s="83" t="s">
        <v>510</v>
      </c>
      <c r="D144" s="317">
        <v>22883</v>
      </c>
      <c r="E144" s="317"/>
      <c r="F144" s="84">
        <f t="shared" si="6"/>
        <v>22883</v>
      </c>
    </row>
    <row r="145" spans="1:6" ht="10.5" customHeight="1">
      <c r="A145" s="72"/>
      <c r="B145" s="73" t="s">
        <v>116</v>
      </c>
      <c r="C145" s="74" t="s">
        <v>521</v>
      </c>
      <c r="D145" s="315">
        <v>1121</v>
      </c>
      <c r="E145" s="315"/>
      <c r="F145" s="96">
        <f>D145</f>
        <v>1121</v>
      </c>
    </row>
    <row r="146" spans="1:6" ht="10.5" customHeight="1">
      <c r="A146" s="72"/>
      <c r="B146" s="73" t="s">
        <v>117</v>
      </c>
      <c r="C146" s="101" t="s">
        <v>528</v>
      </c>
      <c r="D146" s="319">
        <f>540+2188-2026+80</f>
        <v>782</v>
      </c>
      <c r="E146" s="319">
        <f>2188-2188+2026+1910</f>
        <v>3936</v>
      </c>
      <c r="F146" s="99">
        <f>D146+E146</f>
        <v>4718</v>
      </c>
    </row>
    <row r="147" spans="1:6" ht="10.5" customHeight="1">
      <c r="A147" s="72"/>
      <c r="B147" s="73" t="s">
        <v>118</v>
      </c>
      <c r="C147" s="101" t="s">
        <v>565</v>
      </c>
      <c r="D147" s="438"/>
      <c r="E147" s="319">
        <v>356</v>
      </c>
      <c r="F147" s="99">
        <f>D147+E147</f>
        <v>356</v>
      </c>
    </row>
    <row r="148" spans="1:6" ht="10.5" customHeight="1">
      <c r="A148" s="72"/>
      <c r="B148" s="73" t="s">
        <v>119</v>
      </c>
      <c r="C148" s="101" t="s">
        <v>574</v>
      </c>
      <c r="D148" s="319">
        <f>26-1</f>
        <v>25</v>
      </c>
      <c r="E148" s="319"/>
      <c r="F148" s="99">
        <f>D148+E148</f>
        <v>25</v>
      </c>
    </row>
    <row r="149" spans="1:6" ht="10.5" customHeight="1">
      <c r="A149" s="72"/>
      <c r="B149" s="73" t="s">
        <v>120</v>
      </c>
      <c r="C149" s="101" t="s">
        <v>585</v>
      </c>
      <c r="D149" s="319">
        <v>21907</v>
      </c>
      <c r="E149" s="319"/>
      <c r="F149" s="99">
        <f>D149</f>
        <v>21907</v>
      </c>
    </row>
    <row r="150" spans="1:6" ht="22.5" customHeight="1">
      <c r="A150" s="72"/>
      <c r="B150" s="73" t="s">
        <v>121</v>
      </c>
      <c r="C150" s="429" t="s">
        <v>586</v>
      </c>
      <c r="D150" s="319">
        <v>5465</v>
      </c>
      <c r="E150" s="319"/>
      <c r="F150" s="99">
        <f>D150</f>
        <v>5465</v>
      </c>
    </row>
    <row r="151" spans="1:6" ht="12" thickBot="1">
      <c r="A151" s="72"/>
      <c r="B151" s="73" t="s">
        <v>122</v>
      </c>
      <c r="C151" s="396" t="s">
        <v>587</v>
      </c>
      <c r="D151" s="394">
        <v>5419</v>
      </c>
      <c r="E151" s="394"/>
      <c r="F151" s="395">
        <f>D151</f>
        <v>5419</v>
      </c>
    </row>
    <row r="152" spans="1:6" ht="12" customHeight="1" thickBot="1" thickTop="1">
      <c r="A152" s="86" t="s">
        <v>107</v>
      </c>
      <c r="B152" s="87"/>
      <c r="C152" s="88" t="s">
        <v>327</v>
      </c>
      <c r="D152" s="318">
        <f>SUM(D131:D151)</f>
        <v>125377</v>
      </c>
      <c r="E152" s="318">
        <f>SUM(E131:E147)</f>
        <v>4292</v>
      </c>
      <c r="F152" s="90">
        <f>SUM(F131:F151)</f>
        <v>129669</v>
      </c>
    </row>
    <row r="153" spans="1:6" s="91" customFormat="1" ht="12" customHeight="1" thickTop="1">
      <c r="A153" s="93" t="s">
        <v>112</v>
      </c>
      <c r="B153" s="94"/>
      <c r="C153" s="102" t="s">
        <v>29</v>
      </c>
      <c r="D153" s="313"/>
      <c r="E153" s="313"/>
      <c r="F153" s="96"/>
    </row>
    <row r="154" spans="1:6" s="91" customFormat="1" ht="10.5" customHeight="1">
      <c r="A154" s="93"/>
      <c r="B154" s="73" t="s">
        <v>15</v>
      </c>
      <c r="C154" s="83" t="s">
        <v>113</v>
      </c>
      <c r="D154" s="317">
        <f>424395+20000-1836-122274+150-826+11991+12832-14898-34557-15000-4266-25000-4512</f>
        <v>246199</v>
      </c>
      <c r="E154" s="320"/>
      <c r="F154" s="85">
        <f>SUM(D154:E154)</f>
        <v>246199</v>
      </c>
    </row>
    <row r="155" spans="1:6" s="91" customFormat="1" ht="10.5" customHeight="1">
      <c r="A155" s="93"/>
      <c r="B155" s="73" t="s">
        <v>17</v>
      </c>
      <c r="C155" s="98" t="s">
        <v>242</v>
      </c>
      <c r="D155" s="369">
        <f>30885+111726</f>
        <v>142611</v>
      </c>
      <c r="E155" s="315">
        <f>110559-82450</f>
        <v>28109</v>
      </c>
      <c r="F155" s="391">
        <f>SUM(D155:E155)</f>
        <v>170720</v>
      </c>
    </row>
    <row r="156" spans="1:6" s="91" customFormat="1" ht="10.5" customHeight="1">
      <c r="A156" s="93"/>
      <c r="B156" s="73" t="s">
        <v>19</v>
      </c>
      <c r="C156" s="412" t="s">
        <v>546</v>
      </c>
      <c r="D156" s="351"/>
      <c r="E156" s="319">
        <f>10000-6600</f>
        <v>3400</v>
      </c>
      <c r="F156" s="99">
        <f>E156</f>
        <v>3400</v>
      </c>
    </row>
    <row r="157" spans="1:6" s="91" customFormat="1" ht="10.5" customHeight="1">
      <c r="A157" s="93"/>
      <c r="B157" s="73" t="s">
        <v>21</v>
      </c>
      <c r="C157" s="413" t="s">
        <v>577</v>
      </c>
      <c r="D157" s="352"/>
      <c r="E157" s="317">
        <f>508824</f>
        <v>508824</v>
      </c>
      <c r="F157" s="84">
        <f>E157</f>
        <v>508824</v>
      </c>
    </row>
    <row r="158" spans="1:6" s="91" customFormat="1" ht="10.5" customHeight="1" thickBot="1">
      <c r="A158" s="103"/>
      <c r="B158" s="73" t="s">
        <v>23</v>
      </c>
      <c r="C158" s="408" t="s">
        <v>579</v>
      </c>
      <c r="D158" s="409"/>
      <c r="E158" s="410">
        <v>300000</v>
      </c>
      <c r="F158" s="411">
        <f>E158</f>
        <v>300000</v>
      </c>
    </row>
    <row r="159" spans="1:6" s="91" customFormat="1" ht="12" customHeight="1" thickBot="1" thickTop="1">
      <c r="A159" s="86" t="s">
        <v>112</v>
      </c>
      <c r="B159" s="87"/>
      <c r="C159" s="88" t="s">
        <v>328</v>
      </c>
      <c r="D159" s="318">
        <f>SUM(D154:D155)</f>
        <v>388810</v>
      </c>
      <c r="E159" s="318">
        <f>SUM(E154:E158)</f>
        <v>840333</v>
      </c>
      <c r="F159" s="97">
        <f>SUM(D159:E159)</f>
        <v>1229143</v>
      </c>
    </row>
    <row r="160" spans="1:6" s="91" customFormat="1" ht="10.5" customHeight="1" thickTop="1">
      <c r="A160" s="93"/>
      <c r="B160" s="94"/>
      <c r="C160" s="95"/>
      <c r="D160" s="313"/>
      <c r="E160" s="313"/>
      <c r="F160" s="96"/>
    </row>
    <row r="161" spans="1:6" s="91" customFormat="1" ht="10.5" customHeight="1">
      <c r="A161" s="93"/>
      <c r="B161" s="94"/>
      <c r="C161" s="95"/>
      <c r="D161" s="313"/>
      <c r="E161" s="313"/>
      <c r="F161" s="96"/>
    </row>
    <row r="162" spans="1:6" ht="12" customHeight="1">
      <c r="A162" s="93" t="s">
        <v>336</v>
      </c>
      <c r="B162" s="94"/>
      <c r="C162" s="95" t="s">
        <v>114</v>
      </c>
      <c r="D162" s="313"/>
      <c r="E162" s="313"/>
      <c r="F162" s="96"/>
    </row>
    <row r="163" spans="1:6" ht="12" customHeight="1">
      <c r="A163" s="93"/>
      <c r="B163" s="94"/>
      <c r="C163" s="95"/>
      <c r="D163" s="313"/>
      <c r="E163" s="313"/>
      <c r="F163" s="96"/>
    </row>
    <row r="164" spans="1:6" ht="18.75" customHeight="1">
      <c r="A164" s="93"/>
      <c r="B164" s="372" t="s">
        <v>15</v>
      </c>
      <c r="C164" s="348" t="s">
        <v>358</v>
      </c>
      <c r="D164" s="321"/>
      <c r="E164" s="351">
        <f>1399</f>
        <v>1399</v>
      </c>
      <c r="F164" s="439">
        <f>D164+E164</f>
        <v>1399</v>
      </c>
    </row>
    <row r="165" spans="1:6" ht="22.5">
      <c r="A165" s="93"/>
      <c r="B165" s="372" t="s">
        <v>17</v>
      </c>
      <c r="C165" s="349" t="s">
        <v>359</v>
      </c>
      <c r="D165" s="320"/>
      <c r="E165" s="352">
        <v>3800</v>
      </c>
      <c r="F165" s="439">
        <f>D165+E165</f>
        <v>3800</v>
      </c>
    </row>
    <row r="166" spans="1:6" ht="22.5">
      <c r="A166" s="93"/>
      <c r="B166" s="372" t="s">
        <v>19</v>
      </c>
      <c r="C166" s="349" t="s">
        <v>360</v>
      </c>
      <c r="D166" s="320"/>
      <c r="E166" s="352">
        <v>3300</v>
      </c>
      <c r="F166" s="407">
        <f>D166+E166</f>
        <v>3300</v>
      </c>
    </row>
    <row r="167" spans="1:6" ht="22.5">
      <c r="A167" s="93"/>
      <c r="B167" s="372" t="s">
        <v>21</v>
      </c>
      <c r="C167" s="349" t="s">
        <v>361</v>
      </c>
      <c r="D167" s="320"/>
      <c r="E167" s="352">
        <v>1000</v>
      </c>
      <c r="F167" s="440">
        <f>D167+E167</f>
        <v>1000</v>
      </c>
    </row>
    <row r="168" spans="1:6" ht="23.25" thickBot="1">
      <c r="A168" s="93"/>
      <c r="B168" s="367" t="s">
        <v>23</v>
      </c>
      <c r="C168" s="435" t="s">
        <v>471</v>
      </c>
      <c r="D168" s="313"/>
      <c r="E168" s="369">
        <v>280</v>
      </c>
      <c r="F168" s="441">
        <f>D168+E168</f>
        <v>280</v>
      </c>
    </row>
    <row r="169" spans="1:6" ht="12" customHeight="1" thickBot="1" thickTop="1">
      <c r="A169" s="86" t="s">
        <v>336</v>
      </c>
      <c r="B169" s="168"/>
      <c r="C169" s="88" t="s">
        <v>329</v>
      </c>
      <c r="D169" s="318"/>
      <c r="E169" s="442">
        <f>SUM(E164:E168)</f>
        <v>9779</v>
      </c>
      <c r="F169" s="434">
        <f>SUM(D169,E169)</f>
        <v>9779</v>
      </c>
    </row>
    <row r="170" spans="1:6" ht="12" customHeight="1" thickBot="1" thickTop="1">
      <c r="A170" s="86"/>
      <c r="B170" s="168"/>
      <c r="C170" s="88"/>
      <c r="D170" s="318"/>
      <c r="E170" s="318"/>
      <c r="F170" s="90"/>
    </row>
    <row r="171" spans="1:6" ht="12" customHeight="1" thickBot="1" thickTop="1">
      <c r="A171" s="86" t="s">
        <v>431</v>
      </c>
      <c r="B171" s="168"/>
      <c r="C171" s="88" t="s">
        <v>432</v>
      </c>
      <c r="D171" s="318">
        <f>D172</f>
        <v>0</v>
      </c>
      <c r="E171" s="318">
        <f>E172</f>
        <v>86003</v>
      </c>
      <c r="F171" s="90">
        <f>F172</f>
        <v>86003</v>
      </c>
    </row>
    <row r="172" spans="1:6" s="371" customFormat="1" ht="12" customHeight="1" thickTop="1">
      <c r="A172" s="366"/>
      <c r="B172" s="367" t="s">
        <v>15</v>
      </c>
      <c r="C172" s="373" t="s">
        <v>432</v>
      </c>
      <c r="D172" s="374">
        <v>0</v>
      </c>
      <c r="E172" s="374">
        <f>86163-160</f>
        <v>86003</v>
      </c>
      <c r="F172" s="375">
        <f>D172+E172</f>
        <v>86003</v>
      </c>
    </row>
    <row r="173" spans="1:6" s="371" customFormat="1" ht="12" customHeight="1" thickBot="1">
      <c r="A173" s="366"/>
      <c r="B173" s="367"/>
      <c r="C173" s="368"/>
      <c r="D173" s="369"/>
      <c r="E173" s="369"/>
      <c r="F173" s="370"/>
    </row>
    <row r="174" spans="1:6" s="371" customFormat="1" ht="12" customHeight="1" thickBot="1" thickTop="1">
      <c r="A174" s="430" t="s">
        <v>588</v>
      </c>
      <c r="B174" s="431"/>
      <c r="C174" s="432" t="s">
        <v>589</v>
      </c>
      <c r="D174" s="433">
        <v>3500</v>
      </c>
      <c r="E174" s="433"/>
      <c r="F174" s="434">
        <f>D174</f>
        <v>3500</v>
      </c>
    </row>
    <row r="175" spans="1:6" s="371" customFormat="1" ht="12" customHeight="1" thickBot="1" thickTop="1">
      <c r="A175" s="366"/>
      <c r="B175" s="367"/>
      <c r="C175" s="368"/>
      <c r="D175" s="369"/>
      <c r="E175" s="369"/>
      <c r="F175" s="370"/>
    </row>
    <row r="176" spans="1:6" ht="12" customHeight="1" thickBot="1" thickTop="1">
      <c r="A176" s="689" t="s">
        <v>126</v>
      </c>
      <c r="B176" s="690"/>
      <c r="C176" s="691"/>
      <c r="D176" s="325">
        <f>SUM(D33,D49,D100,D115,D129,D152,D159,D171)+D174</f>
        <v>2031432.942</v>
      </c>
      <c r="E176" s="325">
        <f>E169+E159+E152+E129+E115+E100+E60+E49+E33+E171</f>
        <v>1033565</v>
      </c>
      <c r="F176" s="239">
        <f>SUM(D176:E176)</f>
        <v>3064997.942</v>
      </c>
    </row>
    <row r="177" spans="1:6" ht="12" customHeight="1" thickBot="1">
      <c r="A177" s="683" t="s">
        <v>127</v>
      </c>
      <c r="B177" s="684"/>
      <c r="C177" s="685"/>
      <c r="D177" s="322">
        <f>SUM(D14,D176)</f>
        <v>2107788.942</v>
      </c>
      <c r="E177" s="322">
        <f>SUM(E14,E176)</f>
        <v>1035997</v>
      </c>
      <c r="F177" s="106">
        <f>SUM(F14,F176)</f>
        <v>3143785.942</v>
      </c>
    </row>
    <row r="178" spans="1:6" ht="15" customHeight="1" thickBot="1">
      <c r="A178" s="686" t="s">
        <v>128</v>
      </c>
      <c r="B178" s="687"/>
      <c r="C178" s="687"/>
      <c r="D178" s="687"/>
      <c r="E178" s="687"/>
      <c r="F178" s="688"/>
    </row>
    <row r="179" spans="1:6" ht="12" customHeight="1">
      <c r="A179" s="93"/>
      <c r="B179" s="105"/>
      <c r="C179" s="107"/>
      <c r="D179" s="312"/>
      <c r="E179" s="312"/>
      <c r="F179" s="71"/>
    </row>
    <row r="180" spans="1:6" ht="12" customHeight="1">
      <c r="A180" s="93" t="s">
        <v>46</v>
      </c>
      <c r="B180" s="94"/>
      <c r="C180" s="95" t="s">
        <v>58</v>
      </c>
      <c r="D180" s="313"/>
      <c r="E180" s="313"/>
      <c r="F180" s="96"/>
    </row>
    <row r="181" spans="1:6" ht="12" customHeight="1">
      <c r="A181" s="72"/>
      <c r="B181" s="73"/>
      <c r="C181" s="74"/>
      <c r="D181" s="315"/>
      <c r="E181" s="315"/>
      <c r="F181" s="75"/>
    </row>
    <row r="182" spans="1:6" ht="12" customHeight="1">
      <c r="A182" s="72"/>
      <c r="B182" s="73" t="s">
        <v>15</v>
      </c>
      <c r="C182" s="83" t="s">
        <v>129</v>
      </c>
      <c r="D182" s="317">
        <f>'Kiad.(5)'!D160</f>
        <v>681518</v>
      </c>
      <c r="E182" s="317"/>
      <c r="F182" s="85">
        <f aca="true" t="shared" si="7" ref="F182:F187">SUM(D182:E182)</f>
        <v>681518</v>
      </c>
    </row>
    <row r="183" spans="1:6" ht="12" customHeight="1">
      <c r="A183" s="72"/>
      <c r="B183" s="73" t="s">
        <v>17</v>
      </c>
      <c r="C183" s="83" t="s">
        <v>36</v>
      </c>
      <c r="D183" s="317">
        <f>'Kiad.(5)'!E160</f>
        <v>208661</v>
      </c>
      <c r="E183" s="317"/>
      <c r="F183" s="84">
        <f t="shared" si="7"/>
        <v>208661</v>
      </c>
    </row>
    <row r="184" spans="1:6" s="91" customFormat="1" ht="12" customHeight="1">
      <c r="A184" s="72"/>
      <c r="B184" s="73" t="s">
        <v>19</v>
      </c>
      <c r="C184" s="83" t="s">
        <v>37</v>
      </c>
      <c r="D184" s="317">
        <f>'Kiad.(5)'!F160</f>
        <v>601851.2</v>
      </c>
      <c r="E184" s="317"/>
      <c r="F184" s="84">
        <f t="shared" si="7"/>
        <v>601851.2</v>
      </c>
    </row>
    <row r="185" spans="1:6" ht="12" customHeight="1">
      <c r="A185" s="72"/>
      <c r="B185" s="73" t="s">
        <v>21</v>
      </c>
      <c r="C185" s="83" t="s">
        <v>59</v>
      </c>
      <c r="D185" s="317">
        <f>'Kiad.(5)'!G160</f>
        <v>0</v>
      </c>
      <c r="E185" s="317"/>
      <c r="F185" s="84">
        <f t="shared" si="7"/>
        <v>0</v>
      </c>
    </row>
    <row r="186" spans="1:6" s="91" customFormat="1" ht="12" customHeight="1">
      <c r="A186" s="72"/>
      <c r="B186" s="73" t="s">
        <v>23</v>
      </c>
      <c r="C186" s="101" t="s">
        <v>130</v>
      </c>
      <c r="D186" s="317">
        <f>'Kiad.(5)'!H160</f>
        <v>181114</v>
      </c>
      <c r="E186" s="317"/>
      <c r="F186" s="84">
        <f t="shared" si="7"/>
        <v>181114</v>
      </c>
    </row>
    <row r="187" spans="1:6" ht="12" customHeight="1">
      <c r="A187" s="72"/>
      <c r="B187" s="73" t="s">
        <v>25</v>
      </c>
      <c r="C187" s="145" t="s">
        <v>233</v>
      </c>
      <c r="D187" s="317">
        <f>'Kiad.(5)'!I160</f>
        <v>411873</v>
      </c>
      <c r="E187" s="317"/>
      <c r="F187" s="84">
        <f t="shared" si="7"/>
        <v>411873</v>
      </c>
    </row>
    <row r="188" spans="1:6" ht="12" customHeight="1" thickBot="1">
      <c r="A188" s="72"/>
      <c r="B188" s="73"/>
      <c r="C188" s="116"/>
      <c r="D188" s="315"/>
      <c r="E188" s="315"/>
      <c r="F188" s="75"/>
    </row>
    <row r="189" spans="1:6" ht="12" customHeight="1" thickBot="1" thickTop="1">
      <c r="A189" s="86"/>
      <c r="B189" s="87"/>
      <c r="C189" s="146"/>
      <c r="D189" s="318">
        <f>SUM(D182:D187)</f>
        <v>2085017.2</v>
      </c>
      <c r="E189" s="318">
        <f>SUM(E182:E186)</f>
        <v>0</v>
      </c>
      <c r="F189" s="97">
        <f>SUM(F182:F187)</f>
        <v>2085017.2</v>
      </c>
    </row>
    <row r="190" spans="1:6" ht="12" customHeight="1" thickTop="1">
      <c r="A190" s="72"/>
      <c r="B190" s="73"/>
      <c r="C190" s="74"/>
      <c r="D190" s="315"/>
      <c r="E190" s="315"/>
      <c r="F190" s="75"/>
    </row>
    <row r="191" spans="1:6" ht="12" customHeight="1">
      <c r="A191" s="93" t="s">
        <v>48</v>
      </c>
      <c r="B191" s="94"/>
      <c r="C191" s="95" t="s">
        <v>61</v>
      </c>
      <c r="D191" s="313"/>
      <c r="E191" s="313"/>
      <c r="F191" s="96"/>
    </row>
    <row r="192" spans="1:6" ht="12" customHeight="1">
      <c r="A192" s="72"/>
      <c r="B192" s="73"/>
      <c r="C192" s="74"/>
      <c r="D192" s="315"/>
      <c r="E192" s="315"/>
      <c r="F192" s="75"/>
    </row>
    <row r="193" spans="1:6" s="91" customFormat="1" ht="12" customHeight="1">
      <c r="A193" s="72"/>
      <c r="B193" s="73" t="s">
        <v>15</v>
      </c>
      <c r="C193" s="83" t="s">
        <v>131</v>
      </c>
      <c r="D193" s="317"/>
      <c r="E193" s="317">
        <f>'Beruh.,felúj. (6)'!D8</f>
        <v>680207</v>
      </c>
      <c r="F193" s="85">
        <f>SUM(D193:E193)</f>
        <v>680207</v>
      </c>
    </row>
    <row r="194" spans="1:6" ht="12" customHeight="1">
      <c r="A194" s="72"/>
      <c r="B194" s="73" t="s">
        <v>17</v>
      </c>
      <c r="C194" s="68" t="s">
        <v>132</v>
      </c>
      <c r="D194" s="316"/>
      <c r="E194" s="316">
        <f>'Beruh.,felúj. (6)'!D56</f>
        <v>2819</v>
      </c>
      <c r="F194" s="82">
        <f>SUM(D194:E194)</f>
        <v>2819</v>
      </c>
    </row>
    <row r="195" spans="1:6" s="91" customFormat="1" ht="12" customHeight="1">
      <c r="A195" s="72"/>
      <c r="B195" s="73" t="s">
        <v>19</v>
      </c>
      <c r="C195" s="83" t="s">
        <v>133</v>
      </c>
      <c r="D195" s="317"/>
      <c r="E195" s="317">
        <f>'Beruh.,felúj. (6)'!D71</f>
        <v>27640</v>
      </c>
      <c r="F195" s="84">
        <f>SUM(D195:E195)</f>
        <v>27640</v>
      </c>
    </row>
    <row r="196" spans="1:6" s="91" customFormat="1" ht="12" customHeight="1" thickBot="1">
      <c r="A196" s="72"/>
      <c r="B196" s="73" t="s">
        <v>21</v>
      </c>
      <c r="C196" s="74" t="s">
        <v>536</v>
      </c>
      <c r="D196" s="315"/>
      <c r="E196" s="315">
        <f>'Beruh.,felúj. (6)'!D81</f>
        <v>169</v>
      </c>
      <c r="F196" s="96">
        <f>E196</f>
        <v>169</v>
      </c>
    </row>
    <row r="197" spans="1:6" ht="12" customHeight="1" thickBot="1" thickTop="1">
      <c r="A197" s="86"/>
      <c r="B197" s="87"/>
      <c r="C197" s="88" t="s">
        <v>43</v>
      </c>
      <c r="D197" s="318">
        <f>SUM(D193:D195)</f>
        <v>0</v>
      </c>
      <c r="E197" s="318">
        <f>SUM(E193:E196)</f>
        <v>710835</v>
      </c>
      <c r="F197" s="97">
        <f>SUM(F193:F196)</f>
        <v>710835</v>
      </c>
    </row>
    <row r="198" spans="1:6" ht="12" customHeight="1" thickTop="1">
      <c r="A198" s="93" t="s">
        <v>65</v>
      </c>
      <c r="B198" s="94"/>
      <c r="C198" s="95" t="s">
        <v>134</v>
      </c>
      <c r="D198" s="313"/>
      <c r="E198" s="313"/>
      <c r="F198" s="96"/>
    </row>
    <row r="199" spans="1:6" ht="12" customHeight="1">
      <c r="A199" s="93"/>
      <c r="B199" s="94"/>
      <c r="C199" s="95"/>
      <c r="D199" s="313"/>
      <c r="E199" s="313"/>
      <c r="F199" s="96"/>
    </row>
    <row r="200" spans="1:6" ht="12" customHeight="1">
      <c r="A200" s="93"/>
      <c r="B200" s="161" t="s">
        <v>15</v>
      </c>
      <c r="C200" s="83" t="s">
        <v>330</v>
      </c>
      <c r="D200" s="323"/>
      <c r="E200" s="324">
        <f>'Beruh.,felúj. (6)'!D87</f>
        <v>24387</v>
      </c>
      <c r="F200" s="84">
        <f>SUM(D200:E200)</f>
        <v>24387</v>
      </c>
    </row>
    <row r="201" spans="1:6" ht="16.5" customHeight="1" thickBot="1">
      <c r="A201" s="93"/>
      <c r="B201" s="161" t="s">
        <v>17</v>
      </c>
      <c r="C201" s="365" t="s">
        <v>430</v>
      </c>
      <c r="D201" s="363"/>
      <c r="E201" s="364">
        <f>'Beruh.,felúj. (6)'!D104</f>
        <v>775</v>
      </c>
      <c r="F201" s="96">
        <f>E201</f>
        <v>775</v>
      </c>
    </row>
    <row r="202" spans="1:6" ht="18.75" customHeight="1" thickBot="1" thickTop="1">
      <c r="A202" s="86"/>
      <c r="B202" s="87"/>
      <c r="C202" s="88" t="s">
        <v>43</v>
      </c>
      <c r="D202" s="318">
        <f>SUM(D200:D200)</f>
        <v>0</v>
      </c>
      <c r="E202" s="318">
        <f>SUM(E200:E201)</f>
        <v>25162</v>
      </c>
      <c r="F202" s="97">
        <f>SUM(F200:F201)</f>
        <v>25162</v>
      </c>
    </row>
    <row r="203" spans="1:6" ht="12" customHeight="1" thickTop="1">
      <c r="A203" s="93" t="s">
        <v>93</v>
      </c>
      <c r="B203" s="94"/>
      <c r="C203" s="95" t="s">
        <v>39</v>
      </c>
      <c r="D203" s="313"/>
      <c r="E203" s="313"/>
      <c r="F203" s="96"/>
    </row>
    <row r="204" spans="1:6" s="91" customFormat="1" ht="12" customHeight="1">
      <c r="A204" s="72"/>
      <c r="B204" s="73"/>
      <c r="C204" s="74"/>
      <c r="D204" s="315"/>
      <c r="E204" s="315"/>
      <c r="F204" s="75"/>
    </row>
    <row r="205" spans="1:6" ht="12" customHeight="1">
      <c r="A205" s="72"/>
      <c r="B205" s="73" t="s">
        <v>15</v>
      </c>
      <c r="C205" s="68" t="s">
        <v>66</v>
      </c>
      <c r="D205" s="316">
        <f>20000-400-170-2688-1000-4108-110+10000</f>
        <v>21524</v>
      </c>
      <c r="E205" s="316"/>
      <c r="F205" s="82">
        <f>SUM(D205:E205)</f>
        <v>21524</v>
      </c>
    </row>
    <row r="206" spans="1:6" ht="12" customHeight="1">
      <c r="A206" s="72"/>
      <c r="B206" s="73" t="s">
        <v>17</v>
      </c>
      <c r="C206" s="83" t="s">
        <v>136</v>
      </c>
      <c r="D206" s="317">
        <v>1248</v>
      </c>
      <c r="E206" s="317"/>
      <c r="F206" s="84">
        <f>SUM(D206:E206)</f>
        <v>1248</v>
      </c>
    </row>
    <row r="207" spans="1:6" ht="12" customHeight="1" thickBot="1">
      <c r="A207" s="72"/>
      <c r="B207" s="73" t="s">
        <v>19</v>
      </c>
      <c r="C207" s="74" t="s">
        <v>580</v>
      </c>
      <c r="D207" s="315">
        <v>0</v>
      </c>
      <c r="E207" s="315">
        <v>300000</v>
      </c>
      <c r="F207" s="96">
        <f>E207</f>
        <v>300000</v>
      </c>
    </row>
    <row r="208" spans="1:6" ht="12" customHeight="1" thickBot="1" thickTop="1">
      <c r="A208" s="86"/>
      <c r="B208" s="87"/>
      <c r="C208" s="88" t="s">
        <v>43</v>
      </c>
      <c r="D208" s="318">
        <f>SUM(D205:D207)</f>
        <v>22772</v>
      </c>
      <c r="E208" s="318">
        <f>SUM(E205:E207)</f>
        <v>300000</v>
      </c>
      <c r="F208" s="97">
        <f>SUM(F205:F207)</f>
        <v>322772</v>
      </c>
    </row>
    <row r="209" spans="1:6" ht="12" customHeight="1" thickBot="1" thickTop="1">
      <c r="A209" s="689" t="s">
        <v>137</v>
      </c>
      <c r="B209" s="690"/>
      <c r="C209" s="691"/>
      <c r="D209" s="325">
        <f>SUM(D189,D197,D202,D208)</f>
        <v>2107789.2</v>
      </c>
      <c r="E209" s="325">
        <f>SUM(E189,E197,E202,E208)</f>
        <v>1035997</v>
      </c>
      <c r="F209" s="239">
        <f>SUM(F189,F197,F202,F208)</f>
        <v>3143786.2</v>
      </c>
    </row>
  </sheetData>
  <sheetProtection/>
  <mergeCells count="7">
    <mergeCell ref="A177:C177"/>
    <mergeCell ref="A178:F178"/>
    <mergeCell ref="A209:C209"/>
    <mergeCell ref="A6:C7"/>
    <mergeCell ref="F6:F7"/>
    <mergeCell ref="A8:F8"/>
    <mergeCell ref="A176:C176"/>
  </mergeCells>
  <printOptions horizont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88" r:id="rId2"/>
  <rowBreaks count="2" manualBreakCount="2">
    <brk id="75" max="255" man="1"/>
    <brk id="1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1.125" style="112" customWidth="1"/>
    <col min="3" max="3" width="10.125" style="113" customWidth="1"/>
    <col min="4" max="4" width="9.125" style="113" customWidth="1"/>
    <col min="6" max="6" width="10.00390625" style="0" customWidth="1"/>
    <col min="7" max="7" width="7.875" style="0" customWidth="1"/>
    <col min="8" max="8" width="8.625" style="0" customWidth="1"/>
    <col min="9" max="9" width="10.75390625" style="0" customWidth="1"/>
    <col min="10" max="10" width="9.125" style="234" customWidth="1"/>
  </cols>
  <sheetData>
    <row r="1" spans="1:10" ht="12.75">
      <c r="A1" s="108"/>
      <c r="B1" s="108"/>
      <c r="C1" s="108"/>
      <c r="D1" s="108"/>
      <c r="E1" s="108"/>
      <c r="F1" s="108"/>
      <c r="G1" s="108"/>
      <c r="H1" s="108"/>
      <c r="I1" s="108"/>
      <c r="J1" s="232"/>
    </row>
    <row r="2" spans="1:10" ht="12.75">
      <c r="A2" s="108"/>
      <c r="B2" s="108"/>
      <c r="C2" s="108"/>
      <c r="D2" s="108"/>
      <c r="E2" s="108"/>
      <c r="F2" s="108"/>
      <c r="G2" s="108"/>
      <c r="H2" s="108"/>
      <c r="I2" s="108"/>
      <c r="J2" s="232"/>
    </row>
    <row r="3" spans="1:10" ht="12.75">
      <c r="A3" s="108"/>
      <c r="B3" s="108"/>
      <c r="C3" s="108"/>
      <c r="D3" s="108"/>
      <c r="E3" s="108"/>
      <c r="F3" s="108"/>
      <c r="G3" s="108"/>
      <c r="H3" s="108"/>
      <c r="I3" s="108"/>
      <c r="J3" s="232"/>
    </row>
    <row r="4" spans="1:10" ht="12.75">
      <c r="A4" s="108"/>
      <c r="B4" s="108"/>
      <c r="C4" s="108"/>
      <c r="D4" s="108"/>
      <c r="E4" s="108"/>
      <c r="F4" s="108"/>
      <c r="G4" s="108"/>
      <c r="H4" s="108"/>
      <c r="I4" s="108"/>
      <c r="J4" s="232"/>
    </row>
    <row r="5" spans="1:10" ht="12.75">
      <c r="A5" s="108"/>
      <c r="B5" s="108"/>
      <c r="C5" s="108"/>
      <c r="D5" s="108"/>
      <c r="E5" s="108"/>
      <c r="F5" s="108"/>
      <c r="G5" s="108"/>
      <c r="H5" s="108"/>
      <c r="I5" s="108"/>
      <c r="J5" s="232"/>
    </row>
    <row r="6" spans="1:10" ht="12.75">
      <c r="A6" s="108"/>
      <c r="B6" s="108"/>
      <c r="C6" s="108"/>
      <c r="D6" s="108"/>
      <c r="E6" s="108"/>
      <c r="F6" s="108"/>
      <c r="G6" s="108"/>
      <c r="H6" s="108"/>
      <c r="I6" s="108"/>
      <c r="J6" s="232"/>
    </row>
    <row r="7" spans="1:10" ht="12.75">
      <c r="A7" s="108"/>
      <c r="B7" s="108"/>
      <c r="C7" s="108"/>
      <c r="D7" s="108"/>
      <c r="E7" s="108"/>
      <c r="F7" s="108"/>
      <c r="G7" s="108"/>
      <c r="H7" s="108"/>
      <c r="I7" s="108"/>
      <c r="J7" s="232"/>
    </row>
    <row r="8" spans="1:10" ht="21.75" thickBot="1">
      <c r="A8" s="108"/>
      <c r="B8" s="108"/>
      <c r="C8" s="108"/>
      <c r="D8" s="108"/>
      <c r="E8" s="108"/>
      <c r="F8" s="108"/>
      <c r="G8" s="108"/>
      <c r="H8" s="108"/>
      <c r="I8" s="108"/>
      <c r="J8" s="233" t="s">
        <v>69</v>
      </c>
    </row>
    <row r="9" spans="1:10" ht="12.75">
      <c r="A9" s="259"/>
      <c r="B9" s="260"/>
      <c r="C9" s="698" t="s">
        <v>138</v>
      </c>
      <c r="D9" s="699"/>
      <c r="E9" s="700"/>
      <c r="F9" s="706" t="s">
        <v>384</v>
      </c>
      <c r="G9" s="261"/>
      <c r="H9" s="261"/>
      <c r="I9" s="261"/>
      <c r="J9" s="262"/>
    </row>
    <row r="10" spans="1:10" ht="12.75">
      <c r="A10" s="263" t="s">
        <v>139</v>
      </c>
      <c r="B10" s="264" t="s">
        <v>140</v>
      </c>
      <c r="C10" s="701"/>
      <c r="D10" s="702"/>
      <c r="E10" s="703"/>
      <c r="F10" s="707"/>
      <c r="G10" s="265" t="s">
        <v>141</v>
      </c>
      <c r="H10" s="704" t="s">
        <v>331</v>
      </c>
      <c r="I10" s="705"/>
      <c r="J10" s="235" t="s">
        <v>142</v>
      </c>
    </row>
    <row r="11" spans="1:10" ht="21">
      <c r="A11" s="263" t="s">
        <v>143</v>
      </c>
      <c r="B11" s="264" t="s">
        <v>144</v>
      </c>
      <c r="C11" s="266" t="s">
        <v>145</v>
      </c>
      <c r="D11" s="266" t="s">
        <v>146</v>
      </c>
      <c r="E11" s="267" t="s">
        <v>147</v>
      </c>
      <c r="F11" s="707"/>
      <c r="G11" s="265" t="s">
        <v>148</v>
      </c>
      <c r="H11" s="265" t="s">
        <v>41</v>
      </c>
      <c r="I11" s="265" t="s">
        <v>42</v>
      </c>
      <c r="J11" s="235" t="s">
        <v>149</v>
      </c>
    </row>
    <row r="12" spans="1:10" ht="13.5" thickBot="1">
      <c r="A12" s="268"/>
      <c r="B12" s="269"/>
      <c r="C12" s="270" t="s">
        <v>150</v>
      </c>
      <c r="D12" s="270" t="s">
        <v>151</v>
      </c>
      <c r="E12" s="271" t="s">
        <v>152</v>
      </c>
      <c r="F12" s="708"/>
      <c r="G12" s="270"/>
      <c r="H12" s="270"/>
      <c r="I12" s="270"/>
      <c r="J12" s="272"/>
    </row>
    <row r="13" spans="1:10" ht="27.75" customHeight="1">
      <c r="A13" s="177" t="s">
        <v>15</v>
      </c>
      <c r="B13" s="109" t="s">
        <v>256</v>
      </c>
      <c r="C13" s="110">
        <v>12702</v>
      </c>
      <c r="D13" s="110">
        <f>115+4966</f>
        <v>5081</v>
      </c>
      <c r="E13" s="110" t="s">
        <v>227</v>
      </c>
      <c r="F13" s="111">
        <f>81122+12+55+445+142+250+30+29+56+80+151+597+191+108+17</f>
        <v>83285</v>
      </c>
      <c r="G13" s="110" t="s">
        <v>227</v>
      </c>
      <c r="H13" s="110">
        <v>0</v>
      </c>
      <c r="I13" s="110">
        <v>69</v>
      </c>
      <c r="J13" s="174">
        <f aca="true" t="shared" si="0" ref="J13:J18">SUM(C13:I13)</f>
        <v>101137</v>
      </c>
    </row>
    <row r="14" spans="1:10" ht="23.25" customHeight="1">
      <c r="A14" s="177" t="s">
        <v>17</v>
      </c>
      <c r="B14" s="250" t="s">
        <v>385</v>
      </c>
      <c r="C14" s="251" t="s">
        <v>227</v>
      </c>
      <c r="D14" s="251">
        <f>3360+100</f>
        <v>3460</v>
      </c>
      <c r="E14" s="251"/>
      <c r="F14" s="252">
        <f>26965+66+459+147+4085-230+432+177+56+48+92+186+10+252+81-711</f>
        <v>32115</v>
      </c>
      <c r="G14" s="251">
        <f>34325+711</f>
        <v>35036</v>
      </c>
      <c r="H14" s="251">
        <v>0</v>
      </c>
      <c r="I14" s="251">
        <f>487</f>
        <v>487</v>
      </c>
      <c r="J14" s="253">
        <f t="shared" si="0"/>
        <v>71098</v>
      </c>
    </row>
    <row r="15" spans="1:10" ht="21.75" customHeight="1">
      <c r="A15" s="177" t="s">
        <v>19</v>
      </c>
      <c r="B15" s="250" t="s">
        <v>345</v>
      </c>
      <c r="C15" s="251">
        <f>6148+219+200-200</f>
        <v>6367</v>
      </c>
      <c r="D15" s="251">
        <f>200+92+500+20-20</f>
        <v>792</v>
      </c>
      <c r="E15" s="251" t="s">
        <v>227</v>
      </c>
      <c r="F15" s="252">
        <f>200+891+108703+30+110+60-123+383+122+540+2188+48-2188-540-20+40+540+173+61+19+69+262+84+376</f>
        <v>112028</v>
      </c>
      <c r="G15" s="251" t="s">
        <v>227</v>
      </c>
      <c r="H15" s="251">
        <v>0</v>
      </c>
      <c r="I15" s="251">
        <f>127</f>
        <v>127</v>
      </c>
      <c r="J15" s="253">
        <f t="shared" si="0"/>
        <v>119314</v>
      </c>
    </row>
    <row r="16" spans="1:10" ht="22.5" customHeight="1">
      <c r="A16" s="177" t="s">
        <v>21</v>
      </c>
      <c r="B16" s="250" t="s">
        <v>346</v>
      </c>
      <c r="C16" s="251">
        <f>4800+44-44</f>
        <v>4800</v>
      </c>
      <c r="D16" s="251">
        <f>44+100+108+19</f>
        <v>271</v>
      </c>
      <c r="E16" s="251"/>
      <c r="F16" s="252">
        <f>283+22122+125+40+114+36+90+29+334+455+145+110+379+99-20+129+41+56</f>
        <v>24567</v>
      </c>
      <c r="G16" s="251"/>
      <c r="H16" s="251">
        <v>0</v>
      </c>
      <c r="I16" s="251">
        <v>25</v>
      </c>
      <c r="J16" s="253">
        <f t="shared" si="0"/>
        <v>29663</v>
      </c>
    </row>
    <row r="17" spans="1:10" ht="26.25" customHeight="1">
      <c r="A17" s="177" t="s">
        <v>23</v>
      </c>
      <c r="B17" s="250" t="s">
        <v>344</v>
      </c>
      <c r="C17" s="251">
        <v>1025</v>
      </c>
      <c r="D17" s="251">
        <f>160+68+252+150</f>
        <v>630</v>
      </c>
      <c r="E17" s="251">
        <v>48</v>
      </c>
      <c r="F17" s="252">
        <f>677+34197+187+40+512+120+38+166-20+144+46-2000</f>
        <v>34107</v>
      </c>
      <c r="G17" s="251" t="s">
        <v>227</v>
      </c>
      <c r="H17" s="251">
        <v>0</v>
      </c>
      <c r="I17" s="251">
        <v>24</v>
      </c>
      <c r="J17" s="253">
        <f t="shared" si="0"/>
        <v>35834</v>
      </c>
    </row>
    <row r="18" spans="1:10" ht="36.75" customHeight="1">
      <c r="A18" s="177" t="s">
        <v>25</v>
      </c>
      <c r="B18" s="250" t="s">
        <v>347</v>
      </c>
      <c r="C18" s="251">
        <f>56+2695</f>
        <v>2751</v>
      </c>
      <c r="D18" s="251">
        <f>430+178+150+391+52+20+20</f>
        <v>1241</v>
      </c>
      <c r="E18" s="251">
        <f>1139+100+150</f>
        <v>1389</v>
      </c>
      <c r="F18" s="252">
        <f>21081+360+701+100+40+110+35+130+90+29+481+154+60+50+50-56+60+120+38+10+31+14</f>
        <v>23688</v>
      </c>
      <c r="G18" s="251"/>
      <c r="H18" s="251">
        <v>0</v>
      </c>
      <c r="I18" s="251">
        <f>43+160</f>
        <v>203</v>
      </c>
      <c r="J18" s="253">
        <f t="shared" si="0"/>
        <v>29272</v>
      </c>
    </row>
    <row r="19" spans="1:10" ht="32.25" customHeight="1" thickBot="1">
      <c r="A19" s="177" t="s">
        <v>27</v>
      </c>
      <c r="B19" s="255" t="s">
        <v>348</v>
      </c>
      <c r="C19" s="237" t="s">
        <v>227</v>
      </c>
      <c r="D19" s="237">
        <f>1760-60+500</f>
        <v>2200</v>
      </c>
      <c r="E19" s="237">
        <f>60</f>
        <v>60</v>
      </c>
      <c r="F19" s="238">
        <f>175161-563-1163+983+121+169+60+1420+455-52+566+181+658+150+1121+766+245+1314+4105+1</f>
        <v>185698</v>
      </c>
      <c r="G19" s="237" t="s">
        <v>227</v>
      </c>
      <c r="H19" s="237">
        <v>0</v>
      </c>
      <c r="I19" s="237" t="s">
        <v>227</v>
      </c>
      <c r="J19" s="275">
        <f>SUM(C19:I19)</f>
        <v>187958</v>
      </c>
    </row>
    <row r="20" spans="1:10" ht="29.25" customHeight="1" thickBot="1" thickTop="1">
      <c r="A20" s="276"/>
      <c r="B20" s="279" t="s">
        <v>349</v>
      </c>
      <c r="C20" s="277">
        <f>SUM(C13:C19)</f>
        <v>27645</v>
      </c>
      <c r="D20" s="277">
        <f aca="true" t="shared" si="1" ref="D20:J20">SUM(D13:D19)</f>
        <v>13675</v>
      </c>
      <c r="E20" s="277">
        <f t="shared" si="1"/>
        <v>1497</v>
      </c>
      <c r="F20" s="277">
        <f t="shared" si="1"/>
        <v>495488</v>
      </c>
      <c r="G20" s="277">
        <f t="shared" si="1"/>
        <v>35036</v>
      </c>
      <c r="H20" s="277">
        <f t="shared" si="1"/>
        <v>0</v>
      </c>
      <c r="I20" s="277">
        <f t="shared" si="1"/>
        <v>935</v>
      </c>
      <c r="J20" s="278">
        <f t="shared" si="1"/>
        <v>574276</v>
      </c>
    </row>
    <row r="22" ht="12.75">
      <c r="D22" s="144"/>
    </row>
  </sheetData>
  <sheetProtection/>
  <mergeCells count="3">
    <mergeCell ref="C9:E10"/>
    <mergeCell ref="H10:I10"/>
    <mergeCell ref="F9:F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4"/>
  <sheetViews>
    <sheetView view="pageBreakPreview" zoomScaleNormal="114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4.00390625" style="114" customWidth="1"/>
    <col min="2" max="2" width="3.00390625" style="115" customWidth="1"/>
    <col min="3" max="3" width="38.75390625" style="178" customWidth="1"/>
    <col min="4" max="4" width="8.125" style="178" customWidth="1"/>
    <col min="5" max="6" width="7.75390625" style="178" customWidth="1"/>
    <col min="7" max="7" width="6.625" style="178" customWidth="1"/>
    <col min="8" max="8" width="7.875" style="178" bestFit="1" customWidth="1"/>
    <col min="9" max="9" width="7.875" style="178" customWidth="1"/>
    <col min="10" max="10" width="9.375" style="179" bestFit="1" customWidth="1"/>
    <col min="11" max="11" width="8.625" style="178" bestFit="1" customWidth="1"/>
    <col min="12" max="12" width="9.25390625" style="178" customWidth="1"/>
    <col min="13" max="13" width="7.625" style="178" customWidth="1"/>
    <col min="14" max="14" width="9.75390625" style="179" customWidth="1"/>
    <col min="15" max="15" width="5.75390625" style="288" bestFit="1" customWidth="1"/>
    <col min="16" max="16384" width="9.125" style="115" customWidth="1"/>
  </cols>
  <sheetData>
    <row r="2" ht="12.75" customHeight="1">
      <c r="O2" s="353"/>
    </row>
    <row r="5" ht="12.75" customHeight="1" thickBot="1">
      <c r="N5" s="179" t="s">
        <v>0</v>
      </c>
    </row>
    <row r="6" spans="1:15" s="336" customFormat="1" ht="12.75" customHeight="1">
      <c r="A6" s="721" t="s">
        <v>140</v>
      </c>
      <c r="B6" s="722"/>
      <c r="C6" s="180" t="s">
        <v>153</v>
      </c>
      <c r="D6" s="180" t="s">
        <v>154</v>
      </c>
      <c r="E6" s="180" t="s">
        <v>155</v>
      </c>
      <c r="F6" s="180" t="s">
        <v>156</v>
      </c>
      <c r="G6" s="180" t="s">
        <v>157</v>
      </c>
      <c r="H6" s="716" t="s">
        <v>238</v>
      </c>
      <c r="I6" s="713" t="s">
        <v>234</v>
      </c>
      <c r="J6" s="180" t="s">
        <v>41</v>
      </c>
      <c r="K6" s="180" t="s">
        <v>158</v>
      </c>
      <c r="L6" s="180" t="s">
        <v>159</v>
      </c>
      <c r="M6" s="180"/>
      <c r="N6" s="180" t="s">
        <v>57</v>
      </c>
      <c r="O6" s="181" t="s">
        <v>160</v>
      </c>
    </row>
    <row r="7" spans="1:15" s="336" customFormat="1" ht="12.75" customHeight="1">
      <c r="A7" s="723" t="s">
        <v>161</v>
      </c>
      <c r="B7" s="724"/>
      <c r="C7" s="183" t="s">
        <v>162</v>
      </c>
      <c r="D7" s="183" t="s">
        <v>163</v>
      </c>
      <c r="E7" s="183" t="s">
        <v>164</v>
      </c>
      <c r="F7" s="183" t="s">
        <v>165</v>
      </c>
      <c r="G7" s="183" t="s">
        <v>166</v>
      </c>
      <c r="H7" s="717"/>
      <c r="I7" s="714"/>
      <c r="J7" s="183" t="s">
        <v>167</v>
      </c>
      <c r="K7" s="183" t="s">
        <v>168</v>
      </c>
      <c r="L7" s="183" t="s">
        <v>167</v>
      </c>
      <c r="M7" s="183" t="s">
        <v>39</v>
      </c>
      <c r="N7" s="183" t="s">
        <v>14</v>
      </c>
      <c r="O7" s="184" t="s">
        <v>169</v>
      </c>
    </row>
    <row r="8" spans="1:15" s="336" customFormat="1" ht="12.75" customHeight="1" thickBot="1">
      <c r="A8" s="725" t="s">
        <v>170</v>
      </c>
      <c r="B8" s="726"/>
      <c r="C8" s="186"/>
      <c r="D8" s="186" t="s">
        <v>165</v>
      </c>
      <c r="E8" s="186" t="s">
        <v>171</v>
      </c>
      <c r="F8" s="186"/>
      <c r="G8" s="186" t="s">
        <v>172</v>
      </c>
      <c r="H8" s="718"/>
      <c r="I8" s="715"/>
      <c r="J8" s="186" t="s">
        <v>14</v>
      </c>
      <c r="K8" s="186" t="s">
        <v>173</v>
      </c>
      <c r="L8" s="186" t="s">
        <v>174</v>
      </c>
      <c r="M8" s="186"/>
      <c r="N8" s="186"/>
      <c r="O8" s="187"/>
    </row>
    <row r="9" spans="1:15" s="117" customFormat="1" ht="12.75" customHeight="1">
      <c r="A9" s="201" t="s">
        <v>15</v>
      </c>
      <c r="B9" s="202"/>
      <c r="C9" s="327" t="s">
        <v>350</v>
      </c>
      <c r="D9" s="203">
        <f>445+55619+54+80+151+597</f>
        <v>56946</v>
      </c>
      <c r="E9" s="203">
        <f>142+17339+2+191</f>
        <v>17674</v>
      </c>
      <c r="F9" s="329">
        <f>25832+12+55+250+30+115+29+108+17</f>
        <v>26448</v>
      </c>
      <c r="G9" s="203">
        <v>0</v>
      </c>
      <c r="H9" s="203">
        <v>0</v>
      </c>
      <c r="I9" s="203">
        <v>0</v>
      </c>
      <c r="J9" s="285">
        <f aca="true" t="shared" si="0" ref="J9:J15">SUM(D9:I9)</f>
        <v>101068</v>
      </c>
      <c r="K9" s="203">
        <v>0</v>
      </c>
      <c r="L9" s="203">
        <f>69</f>
        <v>69</v>
      </c>
      <c r="M9" s="203">
        <v>0</v>
      </c>
      <c r="N9" s="304">
        <f aca="true" t="shared" si="1" ref="N9:N15">SUM(J9:M9)</f>
        <v>101137</v>
      </c>
      <c r="O9" s="193">
        <v>29.5</v>
      </c>
    </row>
    <row r="10" spans="1:15" ht="12.75" customHeight="1">
      <c r="A10" s="210" t="s">
        <v>17</v>
      </c>
      <c r="B10" s="214"/>
      <c r="C10" s="228" t="s">
        <v>385</v>
      </c>
      <c r="D10" s="254">
        <f>39089+459+177+48-1300+252</f>
        <v>38725</v>
      </c>
      <c r="E10" s="229">
        <f>12396+147+56-240+81</f>
        <v>12440</v>
      </c>
      <c r="F10" s="254">
        <f>13165+4085-432+202+92+100+186+1300+240+10</f>
        <v>18948</v>
      </c>
      <c r="G10" s="229">
        <v>0</v>
      </c>
      <c r="H10" s="229">
        <v>0</v>
      </c>
      <c r="I10" s="229">
        <v>0</v>
      </c>
      <c r="J10" s="195">
        <f t="shared" si="0"/>
        <v>70113</v>
      </c>
      <c r="K10" s="229">
        <f>66+432</f>
        <v>498</v>
      </c>
      <c r="L10" s="229">
        <f>487</f>
        <v>487</v>
      </c>
      <c r="M10" s="229">
        <v>0</v>
      </c>
      <c r="N10" s="196">
        <f>SUM(J10:M10)</f>
        <v>71098</v>
      </c>
      <c r="O10" s="223">
        <v>13.3</v>
      </c>
    </row>
    <row r="11" spans="1:15" ht="12.75" customHeight="1">
      <c r="A11" s="210" t="s">
        <v>19</v>
      </c>
      <c r="B11" s="214"/>
      <c r="C11" s="228" t="s">
        <v>351</v>
      </c>
      <c r="D11" s="229">
        <f>79899+200+83+50+383+540+61+69+262+231+21</f>
        <v>81799</v>
      </c>
      <c r="E11" s="229">
        <f>24920+27+10+122+173+19+84+74+50</f>
        <v>25479</v>
      </c>
      <c r="F11" s="254">
        <f>10124+891+30+60+96+140+500+540+48-540-20+40+20-20</f>
        <v>11909</v>
      </c>
      <c r="G11" s="229">
        <v>0</v>
      </c>
      <c r="H11" s="229">
        <v>0</v>
      </c>
      <c r="I11" s="229">
        <v>0</v>
      </c>
      <c r="J11" s="195">
        <f t="shared" si="0"/>
        <v>119187</v>
      </c>
      <c r="K11" s="229">
        <f>2188-2188</f>
        <v>0</v>
      </c>
      <c r="L11" s="229">
        <f>127</f>
        <v>127</v>
      </c>
      <c r="M11" s="229">
        <v>0</v>
      </c>
      <c r="N11" s="196">
        <f t="shared" si="1"/>
        <v>119314</v>
      </c>
      <c r="O11" s="223">
        <v>35.1</v>
      </c>
    </row>
    <row r="12" spans="1:15" ht="12.75" customHeight="1">
      <c r="A12" s="210" t="s">
        <v>21</v>
      </c>
      <c r="B12" s="214"/>
      <c r="C12" s="228" t="s">
        <v>352</v>
      </c>
      <c r="D12" s="229">
        <f>12588+114+90+455+379+129</f>
        <v>13755</v>
      </c>
      <c r="E12" s="229">
        <f>3949+36+29+145+99+41</f>
        <v>4299</v>
      </c>
      <c r="F12" s="254">
        <f>10385+283+125+40+44+334+100+108+110+19-20+56</f>
        <v>11584</v>
      </c>
      <c r="G12" s="229">
        <v>0</v>
      </c>
      <c r="H12" s="229">
        <v>0</v>
      </c>
      <c r="I12" s="229">
        <v>0</v>
      </c>
      <c r="J12" s="195">
        <f t="shared" si="0"/>
        <v>29638</v>
      </c>
      <c r="K12" s="229">
        <v>0</v>
      </c>
      <c r="L12" s="229">
        <f>25</f>
        <v>25</v>
      </c>
      <c r="M12" s="229">
        <v>0</v>
      </c>
      <c r="N12" s="196">
        <f t="shared" si="1"/>
        <v>29663</v>
      </c>
      <c r="O12" s="223">
        <v>7</v>
      </c>
    </row>
    <row r="13" spans="1:15" ht="12.75" customHeight="1">
      <c r="A13" s="210" t="s">
        <v>23</v>
      </c>
      <c r="B13" s="214"/>
      <c r="C13" s="228" t="s">
        <v>344</v>
      </c>
      <c r="D13" s="229">
        <f>120+18429+144</f>
        <v>18693</v>
      </c>
      <c r="E13" s="229">
        <f>38+5776+46</f>
        <v>5860</v>
      </c>
      <c r="F13" s="254">
        <f>9017+677+187+40+512+160+166+68+252+150-20-154</f>
        <v>11055</v>
      </c>
      <c r="G13" s="229">
        <v>0</v>
      </c>
      <c r="H13" s="229">
        <v>0</v>
      </c>
      <c r="I13" s="229">
        <v>0</v>
      </c>
      <c r="J13" s="195">
        <f t="shared" si="0"/>
        <v>35608</v>
      </c>
      <c r="K13" s="229">
        <f>2000-2000+48+154</f>
        <v>202</v>
      </c>
      <c r="L13" s="229">
        <f>24</f>
        <v>24</v>
      </c>
      <c r="M13" s="229">
        <v>0</v>
      </c>
      <c r="N13" s="196">
        <f t="shared" si="1"/>
        <v>35834</v>
      </c>
      <c r="O13" s="223">
        <v>9</v>
      </c>
    </row>
    <row r="14" spans="1:15" ht="12.75" customHeight="1">
      <c r="A14" s="210" t="s">
        <v>25</v>
      </c>
      <c r="B14" s="214"/>
      <c r="C14" s="228" t="s">
        <v>347</v>
      </c>
      <c r="D14" s="229">
        <f>13514+110+90+481+120+31</f>
        <v>14346</v>
      </c>
      <c r="E14" s="229">
        <f>4257+35+29+154+38+14</f>
        <v>4527</v>
      </c>
      <c r="F14" s="254">
        <f>6435+701+100+40+130+178+150+391+60+50+50+52+20+20+60+10</f>
        <v>8447</v>
      </c>
      <c r="G14" s="229">
        <v>0</v>
      </c>
      <c r="H14" s="229">
        <v>0</v>
      </c>
      <c r="I14" s="229">
        <v>0</v>
      </c>
      <c r="J14" s="195">
        <f t="shared" si="0"/>
        <v>27320</v>
      </c>
      <c r="K14" s="229">
        <f>160+360+100+1139+150</f>
        <v>1909</v>
      </c>
      <c r="L14" s="229">
        <f>43</f>
        <v>43</v>
      </c>
      <c r="M14" s="229">
        <v>0</v>
      </c>
      <c r="N14" s="196">
        <f>SUM(J14:M14)</f>
        <v>29272</v>
      </c>
      <c r="O14" s="223">
        <v>6</v>
      </c>
    </row>
    <row r="15" spans="1:15" ht="12.75" customHeight="1" thickBot="1">
      <c r="A15" s="256" t="s">
        <v>27</v>
      </c>
      <c r="B15" s="257"/>
      <c r="C15" s="280" t="s">
        <v>348</v>
      </c>
      <c r="D15" s="281">
        <f>130878-563+1420+566+499-3000+849-460+766-401+4105+1</f>
        <v>134660</v>
      </c>
      <c r="E15" s="281">
        <f>40197-1163+983+455+181+100+272-140+245-1865+1314</f>
        <v>40579</v>
      </c>
      <c r="F15" s="330">
        <f>5846+121-52+59+3000+460+140+500+401+1865</f>
        <v>12340</v>
      </c>
      <c r="G15" s="281">
        <v>0</v>
      </c>
      <c r="H15" s="281">
        <v>0</v>
      </c>
      <c r="I15" s="281">
        <v>0</v>
      </c>
      <c r="J15" s="286">
        <f t="shared" si="0"/>
        <v>187579</v>
      </c>
      <c r="K15" s="281">
        <f>169+60+150</f>
        <v>379</v>
      </c>
      <c r="L15" s="281">
        <v>0</v>
      </c>
      <c r="M15" s="281">
        <v>0</v>
      </c>
      <c r="N15" s="182">
        <f t="shared" si="1"/>
        <v>187958</v>
      </c>
      <c r="O15" s="282">
        <v>42</v>
      </c>
    </row>
    <row r="16" spans="1:15" ht="12.75" customHeight="1" thickBot="1">
      <c r="A16" s="719" t="s">
        <v>353</v>
      </c>
      <c r="B16" s="720"/>
      <c r="C16" s="720"/>
      <c r="D16" s="283">
        <f>SUM(D9:D15)</f>
        <v>358924</v>
      </c>
      <c r="E16" s="283">
        <f aca="true" t="shared" si="2" ref="E16:M16">SUM(E9:E15)</f>
        <v>110858</v>
      </c>
      <c r="F16" s="291">
        <f t="shared" si="2"/>
        <v>100731</v>
      </c>
      <c r="G16" s="283">
        <f t="shared" si="2"/>
        <v>0</v>
      </c>
      <c r="H16" s="283">
        <f t="shared" si="2"/>
        <v>0</v>
      </c>
      <c r="I16" s="283">
        <f t="shared" si="2"/>
        <v>0</v>
      </c>
      <c r="J16" s="283">
        <f t="shared" si="2"/>
        <v>570513</v>
      </c>
      <c r="K16" s="283">
        <f>SUM(K9:K15)</f>
        <v>2988</v>
      </c>
      <c r="L16" s="283">
        <f t="shared" si="2"/>
        <v>775</v>
      </c>
      <c r="M16" s="283">
        <f t="shared" si="2"/>
        <v>0</v>
      </c>
      <c r="N16" s="291">
        <f>SUM(N9:N15)</f>
        <v>574276</v>
      </c>
      <c r="O16" s="284">
        <f>SUM(O9:O15)</f>
        <v>141.9</v>
      </c>
    </row>
    <row r="17" spans="1:15" ht="12.75" customHeight="1">
      <c r="A17" s="210" t="s">
        <v>28</v>
      </c>
      <c r="B17" s="214"/>
      <c r="C17" s="196" t="s">
        <v>175</v>
      </c>
      <c r="D17" s="195">
        <f aca="true" t="shared" si="3" ref="D17:O17">SUM(D18:D19)</f>
        <v>6360</v>
      </c>
      <c r="E17" s="195">
        <f t="shared" si="3"/>
        <v>1379</v>
      </c>
      <c r="F17" s="196">
        <f t="shared" si="3"/>
        <v>26312</v>
      </c>
      <c r="G17" s="195">
        <f t="shared" si="3"/>
        <v>0</v>
      </c>
      <c r="H17" s="195">
        <f t="shared" si="3"/>
        <v>0</v>
      </c>
      <c r="I17" s="195">
        <f t="shared" si="3"/>
        <v>0</v>
      </c>
      <c r="J17" s="195">
        <f t="shared" si="3"/>
        <v>34051</v>
      </c>
      <c r="K17" s="195">
        <f t="shared" si="3"/>
        <v>0</v>
      </c>
      <c r="L17" s="195">
        <f t="shared" si="3"/>
        <v>0</v>
      </c>
      <c r="M17" s="195">
        <f t="shared" si="3"/>
        <v>0</v>
      </c>
      <c r="N17" s="196">
        <f t="shared" si="3"/>
        <v>34051</v>
      </c>
      <c r="O17" s="223">
        <f t="shared" si="3"/>
        <v>2</v>
      </c>
    </row>
    <row r="18" spans="1:15" ht="11.25" customHeight="1">
      <c r="A18" s="204"/>
      <c r="B18" s="206" t="s">
        <v>15</v>
      </c>
      <c r="C18" s="188" t="s">
        <v>257</v>
      </c>
      <c r="D18" s="190">
        <f>5280+300+200+110+30+200+200+40</f>
        <v>6360</v>
      </c>
      <c r="E18" s="190">
        <f>1068+96+64+10+64+64+13</f>
        <v>1379</v>
      </c>
      <c r="F18" s="189">
        <v>1646</v>
      </c>
      <c r="G18" s="190">
        <v>0</v>
      </c>
      <c r="H18" s="190">
        <v>0</v>
      </c>
      <c r="I18" s="190">
        <v>0</v>
      </c>
      <c r="J18" s="194">
        <f>SUM(D18:I18)</f>
        <v>9385</v>
      </c>
      <c r="K18" s="190">
        <v>0</v>
      </c>
      <c r="L18" s="190">
        <v>0</v>
      </c>
      <c r="M18" s="190">
        <v>0</v>
      </c>
      <c r="N18" s="333">
        <f aca="true" t="shared" si="4" ref="N18:N24">SUM(J18:M18)</f>
        <v>9385</v>
      </c>
      <c r="O18" s="191">
        <v>2</v>
      </c>
    </row>
    <row r="19" spans="1:15" ht="11.25" customHeight="1" thickBot="1">
      <c r="A19" s="212"/>
      <c r="B19" s="215" t="s">
        <v>17</v>
      </c>
      <c r="C19" s="230" t="s">
        <v>258</v>
      </c>
      <c r="D19" s="192">
        <v>0</v>
      </c>
      <c r="E19" s="192">
        <v>0</v>
      </c>
      <c r="F19" s="331">
        <f>23169+1477+300+20-300</f>
        <v>24666</v>
      </c>
      <c r="G19" s="192">
        <v>0</v>
      </c>
      <c r="H19" s="192">
        <v>0</v>
      </c>
      <c r="I19" s="192">
        <v>0</v>
      </c>
      <c r="J19" s="198">
        <f>SUM(D19:I19)</f>
        <v>24666</v>
      </c>
      <c r="K19" s="192">
        <v>0</v>
      </c>
      <c r="L19" s="192">
        <v>0</v>
      </c>
      <c r="M19" s="192">
        <v>0</v>
      </c>
      <c r="N19" s="332">
        <f t="shared" si="4"/>
        <v>24666</v>
      </c>
      <c r="O19" s="224"/>
    </row>
    <row r="20" spans="1:15" ht="12.75" customHeight="1">
      <c r="A20" s="210" t="s">
        <v>30</v>
      </c>
      <c r="B20" s="214"/>
      <c r="C20" s="196" t="s">
        <v>176</v>
      </c>
      <c r="D20" s="195">
        <f>D21</f>
        <v>0</v>
      </c>
      <c r="E20" s="195">
        <f aca="true" t="shared" si="5" ref="E20:J20">E21</f>
        <v>0</v>
      </c>
      <c r="F20" s="195">
        <f t="shared" si="5"/>
        <v>0</v>
      </c>
      <c r="G20" s="195">
        <f t="shared" si="5"/>
        <v>0</v>
      </c>
      <c r="H20" s="195">
        <f t="shared" si="5"/>
        <v>0</v>
      </c>
      <c r="I20" s="195">
        <f t="shared" si="5"/>
        <v>0</v>
      </c>
      <c r="J20" s="195">
        <f t="shared" si="5"/>
        <v>0</v>
      </c>
      <c r="K20" s="195">
        <f>K21</f>
        <v>51217</v>
      </c>
      <c r="L20" s="195">
        <f>L21</f>
        <v>1967</v>
      </c>
      <c r="M20" s="195">
        <f>M21</f>
        <v>0</v>
      </c>
      <c r="N20" s="195">
        <f>N21</f>
        <v>53184</v>
      </c>
      <c r="O20" s="223"/>
    </row>
    <row r="21" spans="1:15" ht="11.25" customHeight="1" thickBot="1">
      <c r="A21" s="212"/>
      <c r="B21" s="215" t="s">
        <v>15</v>
      </c>
      <c r="C21" s="230" t="s">
        <v>177</v>
      </c>
      <c r="D21" s="192">
        <v>0</v>
      </c>
      <c r="E21" s="192">
        <v>0</v>
      </c>
      <c r="F21" s="331">
        <v>0</v>
      </c>
      <c r="G21" s="192">
        <v>0</v>
      </c>
      <c r="H21" s="192">
        <v>0</v>
      </c>
      <c r="I21" s="192">
        <v>0</v>
      </c>
      <c r="J21" s="198">
        <f>SUM(D21:I21)</f>
        <v>0</v>
      </c>
      <c r="K21" s="192">
        <f>13375+19137+19475+800+5720+4954+790+2700+822-66-616-360-320-674-400-396-100-432+470-3000-750-2164-410-163-5000+32-1967-470+156+674-600</f>
        <v>51217</v>
      </c>
      <c r="L21" s="192">
        <v>1967</v>
      </c>
      <c r="M21" s="192">
        <v>0</v>
      </c>
      <c r="N21" s="332">
        <f>J21+K21+L21+M21</f>
        <v>53184</v>
      </c>
      <c r="O21" s="224"/>
    </row>
    <row r="22" spans="1:15" ht="12.75" customHeight="1">
      <c r="A22" s="210" t="s">
        <v>32</v>
      </c>
      <c r="B22" s="214"/>
      <c r="C22" s="196" t="s">
        <v>178</v>
      </c>
      <c r="D22" s="195">
        <f aca="true" t="shared" si="6" ref="D22:I22">SUM(D23:D24)</f>
        <v>524</v>
      </c>
      <c r="E22" s="195">
        <f t="shared" si="6"/>
        <v>137</v>
      </c>
      <c r="F22" s="196">
        <f t="shared" si="6"/>
        <v>16305</v>
      </c>
      <c r="G22" s="195">
        <f t="shared" si="6"/>
        <v>0</v>
      </c>
      <c r="H22" s="195">
        <f t="shared" si="6"/>
        <v>0</v>
      </c>
      <c r="I22" s="195">
        <f t="shared" si="6"/>
        <v>0</v>
      </c>
      <c r="J22" s="195">
        <f>SUM(D22:H22)</f>
        <v>16966</v>
      </c>
      <c r="K22" s="195">
        <f>K23+K24</f>
        <v>0</v>
      </c>
      <c r="L22" s="195">
        <f>L23+L24</f>
        <v>0</v>
      </c>
      <c r="M22" s="195">
        <f>M23+M24</f>
        <v>0</v>
      </c>
      <c r="N22" s="196">
        <f>J22+K22+L22+M22</f>
        <v>16966</v>
      </c>
      <c r="O22" s="223"/>
    </row>
    <row r="23" spans="1:15" ht="11.25" customHeight="1">
      <c r="A23" s="204"/>
      <c r="B23" s="206" t="s">
        <v>15</v>
      </c>
      <c r="C23" s="188" t="s">
        <v>179</v>
      </c>
      <c r="D23" s="190">
        <v>0</v>
      </c>
      <c r="E23" s="190">
        <v>0</v>
      </c>
      <c r="F23" s="189">
        <f>15150+375</f>
        <v>15525</v>
      </c>
      <c r="G23" s="190">
        <v>0</v>
      </c>
      <c r="H23" s="190">
        <v>0</v>
      </c>
      <c r="I23" s="190">
        <v>0</v>
      </c>
      <c r="J23" s="194">
        <f>SUM(D23:I23)</f>
        <v>15525</v>
      </c>
      <c r="K23" s="190">
        <v>0</v>
      </c>
      <c r="L23" s="190">
        <v>0</v>
      </c>
      <c r="M23" s="190">
        <v>0</v>
      </c>
      <c r="N23" s="334">
        <f t="shared" si="4"/>
        <v>15525</v>
      </c>
      <c r="O23" s="191"/>
    </row>
    <row r="24" spans="1:15" ht="11.25" customHeight="1" thickBot="1">
      <c r="A24" s="212"/>
      <c r="B24" s="215" t="s">
        <v>17</v>
      </c>
      <c r="C24" s="230" t="s">
        <v>180</v>
      </c>
      <c r="D24" s="192">
        <f>393+131</f>
        <v>524</v>
      </c>
      <c r="E24" s="192">
        <f>103+34</f>
        <v>137</v>
      </c>
      <c r="F24" s="331">
        <v>780</v>
      </c>
      <c r="G24" s="192">
        <v>0</v>
      </c>
      <c r="H24" s="192">
        <v>0</v>
      </c>
      <c r="I24" s="192">
        <v>0</v>
      </c>
      <c r="J24" s="198">
        <f>SUM(D24:I24)</f>
        <v>1441</v>
      </c>
      <c r="K24" s="192">
        <v>0</v>
      </c>
      <c r="L24" s="192">
        <v>0</v>
      </c>
      <c r="M24" s="192">
        <v>0</v>
      </c>
      <c r="N24" s="332">
        <f t="shared" si="4"/>
        <v>1441</v>
      </c>
      <c r="O24" s="224"/>
    </row>
    <row r="25" spans="1:15" ht="12.75" customHeight="1">
      <c r="A25" s="210" t="s">
        <v>33</v>
      </c>
      <c r="B25" s="214"/>
      <c r="C25" s="196" t="s">
        <v>181</v>
      </c>
      <c r="D25" s="195">
        <f aca="true" t="shared" si="7" ref="D25:M25">SUM(D26:D32)</f>
        <v>0</v>
      </c>
      <c r="E25" s="195">
        <f t="shared" si="7"/>
        <v>0</v>
      </c>
      <c r="F25" s="196">
        <f t="shared" si="7"/>
        <v>34257.2</v>
      </c>
      <c r="G25" s="195">
        <f t="shared" si="7"/>
        <v>0</v>
      </c>
      <c r="H25" s="195">
        <f t="shared" si="7"/>
        <v>205</v>
      </c>
      <c r="I25" s="195">
        <f t="shared" si="7"/>
        <v>0</v>
      </c>
      <c r="J25" s="195">
        <f>SUM(J26:J33)</f>
        <v>34462.2</v>
      </c>
      <c r="K25" s="195">
        <f>SUM(K26:K33)</f>
        <v>112261</v>
      </c>
      <c r="L25" s="195">
        <f t="shared" si="7"/>
        <v>2000</v>
      </c>
      <c r="M25" s="195">
        <f t="shared" si="7"/>
        <v>0</v>
      </c>
      <c r="N25" s="196">
        <f>SUM(N26:N33)</f>
        <v>148723.2</v>
      </c>
      <c r="O25" s="223"/>
    </row>
    <row r="26" spans="1:15" ht="22.5" customHeight="1">
      <c r="A26" s="204"/>
      <c r="B26" s="206" t="s">
        <v>15</v>
      </c>
      <c r="C26" s="207" t="s">
        <v>259</v>
      </c>
      <c r="D26" s="190">
        <v>0</v>
      </c>
      <c r="E26" s="190">
        <v>0</v>
      </c>
      <c r="F26" s="189">
        <f>3657+1894*1.2+200*1.2+455+150+50+562+112-150+434+574</f>
        <v>8356.8</v>
      </c>
      <c r="G26" s="190">
        <v>0</v>
      </c>
      <c r="H26" s="190">
        <f>205</f>
        <v>205</v>
      </c>
      <c r="I26" s="190">
        <v>0</v>
      </c>
      <c r="J26" s="194">
        <f aca="true" t="shared" si="8" ref="J26:J31">SUM(D26:I26)</f>
        <v>8561.8</v>
      </c>
      <c r="K26" s="190">
        <f>4550+320+170301-85+400-6000-5333-169-45400-1476-15-1650-470-150+2925+3000+750-32-3630+470-1120-3000-156+4-170-1749-300-154</f>
        <v>111661</v>
      </c>
      <c r="L26" s="190">
        <v>2000</v>
      </c>
      <c r="M26" s="190">
        <v>0</v>
      </c>
      <c r="N26" s="334">
        <f aca="true" t="shared" si="9" ref="N26:N31">SUM(J26:M26)</f>
        <v>122222.8</v>
      </c>
      <c r="O26" s="191"/>
    </row>
    <row r="27" spans="1:15" ht="16.5" customHeight="1">
      <c r="A27" s="204"/>
      <c r="B27" s="206" t="s">
        <v>17</v>
      </c>
      <c r="C27" s="207" t="s">
        <v>260</v>
      </c>
      <c r="D27" s="190">
        <v>0</v>
      </c>
      <c r="E27" s="190">
        <v>0</v>
      </c>
      <c r="F27" s="189">
        <v>6112</v>
      </c>
      <c r="G27" s="190">
        <v>0</v>
      </c>
      <c r="H27" s="190">
        <v>0</v>
      </c>
      <c r="I27" s="190">
        <v>0</v>
      </c>
      <c r="J27" s="194">
        <f t="shared" si="8"/>
        <v>6112</v>
      </c>
      <c r="K27" s="190">
        <v>0</v>
      </c>
      <c r="L27" s="190">
        <v>0</v>
      </c>
      <c r="M27" s="190">
        <v>0</v>
      </c>
      <c r="N27" s="334">
        <f t="shared" si="9"/>
        <v>6112</v>
      </c>
      <c r="O27" s="191"/>
    </row>
    <row r="28" spans="1:15" ht="11.25" customHeight="1">
      <c r="A28" s="208"/>
      <c r="B28" s="206" t="s">
        <v>19</v>
      </c>
      <c r="C28" s="188" t="s">
        <v>399</v>
      </c>
      <c r="D28" s="190">
        <v>0</v>
      </c>
      <c r="E28" s="190">
        <v>0</v>
      </c>
      <c r="F28" s="189">
        <f>(140+20+7)*1.2+150+220</f>
        <v>570.4</v>
      </c>
      <c r="G28" s="190">
        <v>0</v>
      </c>
      <c r="H28" s="190">
        <v>0</v>
      </c>
      <c r="I28" s="190">
        <v>0</v>
      </c>
      <c r="J28" s="194">
        <f t="shared" si="8"/>
        <v>570.4</v>
      </c>
      <c r="K28" s="190">
        <v>0</v>
      </c>
      <c r="L28" s="190">
        <v>0</v>
      </c>
      <c r="M28" s="190">
        <v>0</v>
      </c>
      <c r="N28" s="334">
        <f t="shared" si="9"/>
        <v>570.4</v>
      </c>
      <c r="O28" s="191"/>
    </row>
    <row r="29" spans="1:15" ht="11.25" customHeight="1">
      <c r="A29" s="208"/>
      <c r="B29" s="206" t="s">
        <v>21</v>
      </c>
      <c r="C29" s="188" t="s">
        <v>400</v>
      </c>
      <c r="D29" s="190">
        <v>0</v>
      </c>
      <c r="E29" s="190">
        <v>0</v>
      </c>
      <c r="F29" s="189">
        <f>2200+89+13</f>
        <v>2302</v>
      </c>
      <c r="G29" s="190">
        <v>0</v>
      </c>
      <c r="H29" s="190">
        <v>0</v>
      </c>
      <c r="I29" s="190">
        <v>0</v>
      </c>
      <c r="J29" s="194">
        <f t="shared" si="8"/>
        <v>2302</v>
      </c>
      <c r="K29" s="190">
        <v>0</v>
      </c>
      <c r="L29" s="190">
        <v>0</v>
      </c>
      <c r="M29" s="190">
        <v>0</v>
      </c>
      <c r="N29" s="334">
        <f t="shared" si="9"/>
        <v>2302</v>
      </c>
      <c r="O29" s="191"/>
    </row>
    <row r="30" spans="1:15" ht="11.25" customHeight="1">
      <c r="A30" s="208"/>
      <c r="B30" s="206" t="s">
        <v>23</v>
      </c>
      <c r="C30" s="188" t="s">
        <v>261</v>
      </c>
      <c r="D30" s="190">
        <v>0</v>
      </c>
      <c r="E30" s="190">
        <v>0</v>
      </c>
      <c r="F30" s="189">
        <f>8141-1000+3728+805+1605+1340</f>
        <v>14619</v>
      </c>
      <c r="G30" s="190">
        <v>0</v>
      </c>
      <c r="H30" s="190">
        <v>0</v>
      </c>
      <c r="I30" s="190">
        <v>0</v>
      </c>
      <c r="J30" s="194">
        <f t="shared" si="8"/>
        <v>14619</v>
      </c>
      <c r="K30" s="190">
        <v>0</v>
      </c>
      <c r="L30" s="190">
        <v>0</v>
      </c>
      <c r="M30" s="190">
        <v>0</v>
      </c>
      <c r="N30" s="334">
        <f t="shared" si="9"/>
        <v>14619</v>
      </c>
      <c r="O30" s="191"/>
    </row>
    <row r="31" spans="1:15" ht="11.25" customHeight="1">
      <c r="A31" s="208"/>
      <c r="B31" s="206" t="s">
        <v>25</v>
      </c>
      <c r="C31" s="188" t="s">
        <v>262</v>
      </c>
      <c r="D31" s="190" t="s">
        <v>227</v>
      </c>
      <c r="E31" s="190" t="s">
        <v>227</v>
      </c>
      <c r="F31" s="189">
        <f>(80+100+50+100)*1.2+101</f>
        <v>497</v>
      </c>
      <c r="G31" s="190" t="s">
        <v>227</v>
      </c>
      <c r="H31" s="190" t="s">
        <v>227</v>
      </c>
      <c r="I31" s="190" t="s">
        <v>227</v>
      </c>
      <c r="J31" s="194">
        <f t="shared" si="8"/>
        <v>497</v>
      </c>
      <c r="K31" s="190">
        <v>0</v>
      </c>
      <c r="L31" s="190">
        <v>0</v>
      </c>
      <c r="M31" s="190">
        <v>0</v>
      </c>
      <c r="N31" s="334">
        <f t="shared" si="9"/>
        <v>497</v>
      </c>
      <c r="O31" s="191"/>
    </row>
    <row r="32" spans="1:15" ht="11.25" customHeight="1">
      <c r="A32" s="384"/>
      <c r="B32" s="301" t="s">
        <v>27</v>
      </c>
      <c r="C32" s="302" t="s">
        <v>356</v>
      </c>
      <c r="D32" s="287"/>
      <c r="E32" s="287"/>
      <c r="F32" s="303">
        <v>1800</v>
      </c>
      <c r="G32" s="287"/>
      <c r="H32" s="287"/>
      <c r="I32" s="287"/>
      <c r="J32" s="226">
        <f>SUM(D32:I32)</f>
        <v>1800</v>
      </c>
      <c r="K32" s="287"/>
      <c r="L32" s="287"/>
      <c r="M32" s="287"/>
      <c r="N32" s="335">
        <f>SUM(J32:M32)</f>
        <v>1800</v>
      </c>
      <c r="O32" s="290"/>
    </row>
    <row r="33" spans="1:15" ht="11.25" customHeight="1" thickBot="1">
      <c r="A33" s="289"/>
      <c r="B33" s="215" t="s">
        <v>28</v>
      </c>
      <c r="C33" s="230" t="s">
        <v>442</v>
      </c>
      <c r="D33" s="192"/>
      <c r="E33" s="192"/>
      <c r="F33" s="331"/>
      <c r="G33" s="192"/>
      <c r="H33" s="192"/>
      <c r="I33" s="192"/>
      <c r="J33" s="198">
        <f>SUM(D33:I33)</f>
        <v>0</v>
      </c>
      <c r="K33" s="192">
        <v>600</v>
      </c>
      <c r="L33" s="192"/>
      <c r="M33" s="192"/>
      <c r="N33" s="332">
        <f>SUM(J33:M33)</f>
        <v>600</v>
      </c>
      <c r="O33" s="224"/>
    </row>
    <row r="34" spans="1:15" ht="12.75" customHeight="1">
      <c r="A34" s="210" t="s">
        <v>101</v>
      </c>
      <c r="B34" s="214"/>
      <c r="C34" s="196" t="s">
        <v>182</v>
      </c>
      <c r="D34" s="195">
        <f aca="true" t="shared" si="10" ref="D34:I34">SUM(D35:D43)</f>
        <v>250662</v>
      </c>
      <c r="E34" s="195">
        <f t="shared" si="10"/>
        <v>75882</v>
      </c>
      <c r="F34" s="195">
        <f>SUM(F35:F45)</f>
        <v>229205</v>
      </c>
      <c r="G34" s="195">
        <f t="shared" si="10"/>
        <v>0</v>
      </c>
      <c r="H34" s="195">
        <f t="shared" si="10"/>
        <v>53</v>
      </c>
      <c r="I34" s="195">
        <f t="shared" si="10"/>
        <v>5984</v>
      </c>
      <c r="J34" s="195">
        <f>SUM(J35:J45)</f>
        <v>561786</v>
      </c>
      <c r="K34" s="195">
        <f>SUM(K35:K46)</f>
        <v>431166</v>
      </c>
      <c r="L34" s="195">
        <f>SUM(L35:L45)</f>
        <v>415</v>
      </c>
      <c r="M34" s="195">
        <f>SUM(M35:M46)</f>
        <v>300000</v>
      </c>
      <c r="N34" s="196">
        <f>SUM(N35:N46)</f>
        <v>1293367</v>
      </c>
      <c r="O34" s="199">
        <f>SUM(O35:O40)</f>
        <v>67</v>
      </c>
    </row>
    <row r="35" spans="1:15" ht="11.25" customHeight="1">
      <c r="A35" s="204"/>
      <c r="B35" s="206" t="s">
        <v>15</v>
      </c>
      <c r="C35" s="188" t="s">
        <v>263</v>
      </c>
      <c r="D35" s="190">
        <f>227268+2036+9084+354+54+254+351+230+922+1219+256+1176+257+50</f>
        <v>243511</v>
      </c>
      <c r="E35" s="190">
        <f>68514+652+2907+114+55+84+106+115+74+296+390+85+377+84+16</f>
        <v>73869</v>
      </c>
      <c r="F35" s="189">
        <f>46450+550+2684+52+957+30-100+47</f>
        <v>50670</v>
      </c>
      <c r="G35" s="190">
        <v>0</v>
      </c>
      <c r="H35" s="190">
        <v>53</v>
      </c>
      <c r="I35" s="190">
        <v>0</v>
      </c>
      <c r="J35" s="194">
        <f aca="true" t="shared" si="11" ref="J35:J42">SUM(D35:I35)</f>
        <v>368103</v>
      </c>
      <c r="K35" s="190">
        <f>2500+1246+1046</f>
        <v>4792</v>
      </c>
      <c r="L35" s="190">
        <v>400</v>
      </c>
      <c r="M35" s="190">
        <v>0</v>
      </c>
      <c r="N35" s="334">
        <f aca="true" t="shared" si="12" ref="N35:N53">SUM(J35:M35)</f>
        <v>373295</v>
      </c>
      <c r="O35" s="191">
        <v>64.5</v>
      </c>
    </row>
    <row r="36" spans="1:15" ht="11.25" customHeight="1">
      <c r="A36" s="204"/>
      <c r="B36" s="206" t="s">
        <v>17</v>
      </c>
      <c r="C36" s="188" t="s">
        <v>264</v>
      </c>
      <c r="D36" s="190">
        <f>4792+129+30+40</f>
        <v>4991</v>
      </c>
      <c r="E36" s="190">
        <f>1416+41+10+12</f>
        <v>1479</v>
      </c>
      <c r="F36" s="189">
        <f>2160-1500+209-120</f>
        <v>749</v>
      </c>
      <c r="G36" s="190">
        <v>0</v>
      </c>
      <c r="H36" s="190">
        <v>0</v>
      </c>
      <c r="I36" s="190">
        <v>0</v>
      </c>
      <c r="J36" s="194">
        <f t="shared" si="11"/>
        <v>7219</v>
      </c>
      <c r="K36" s="190">
        <v>0</v>
      </c>
      <c r="L36" s="190">
        <v>0</v>
      </c>
      <c r="M36" s="190">
        <v>0</v>
      </c>
      <c r="N36" s="334">
        <f t="shared" si="12"/>
        <v>7219</v>
      </c>
      <c r="O36" s="191">
        <v>2.5</v>
      </c>
    </row>
    <row r="37" spans="1:15" ht="11.25" customHeight="1">
      <c r="A37" s="204"/>
      <c r="B37" s="206" t="s">
        <v>19</v>
      </c>
      <c r="C37" s="188" t="s">
        <v>265</v>
      </c>
      <c r="D37" s="190">
        <v>776</v>
      </c>
      <c r="E37" s="190">
        <v>224</v>
      </c>
      <c r="F37" s="189">
        <v>0</v>
      </c>
      <c r="G37" s="190">
        <v>0</v>
      </c>
      <c r="H37" s="190">
        <v>0</v>
      </c>
      <c r="I37" s="190">
        <v>0</v>
      </c>
      <c r="J37" s="194">
        <f t="shared" si="11"/>
        <v>1000</v>
      </c>
      <c r="K37" s="190">
        <v>0</v>
      </c>
      <c r="L37" s="190">
        <v>0</v>
      </c>
      <c r="M37" s="190">
        <v>0</v>
      </c>
      <c r="N37" s="334">
        <f t="shared" si="12"/>
        <v>1000</v>
      </c>
      <c r="O37" s="191"/>
    </row>
    <row r="38" spans="1:15" ht="11.25" customHeight="1">
      <c r="A38" s="204"/>
      <c r="B38" s="206" t="s">
        <v>21</v>
      </c>
      <c r="C38" s="188" t="s">
        <v>266</v>
      </c>
      <c r="D38" s="190">
        <v>0</v>
      </c>
      <c r="E38" s="190">
        <v>0</v>
      </c>
      <c r="F38" s="189">
        <v>200</v>
      </c>
      <c r="G38" s="190">
        <v>0</v>
      </c>
      <c r="H38" s="190">
        <v>0</v>
      </c>
      <c r="I38" s="190">
        <v>0</v>
      </c>
      <c r="J38" s="194">
        <f t="shared" si="11"/>
        <v>200</v>
      </c>
      <c r="K38" s="190">
        <v>0</v>
      </c>
      <c r="L38" s="190">
        <v>0</v>
      </c>
      <c r="M38" s="190">
        <v>0</v>
      </c>
      <c r="N38" s="334">
        <f t="shared" si="12"/>
        <v>200</v>
      </c>
      <c r="O38" s="191"/>
    </row>
    <row r="39" spans="1:15" ht="11.25" customHeight="1">
      <c r="A39" s="204"/>
      <c r="B39" s="206" t="s">
        <v>23</v>
      </c>
      <c r="C39" s="188" t="s">
        <v>183</v>
      </c>
      <c r="D39" s="190">
        <v>0</v>
      </c>
      <c r="E39" s="190">
        <v>0</v>
      </c>
      <c r="F39" s="189">
        <v>0</v>
      </c>
      <c r="G39" s="190">
        <v>0</v>
      </c>
      <c r="H39" s="190">
        <v>0</v>
      </c>
      <c r="I39" s="190">
        <v>5984</v>
      </c>
      <c r="J39" s="194">
        <f t="shared" si="11"/>
        <v>5984</v>
      </c>
      <c r="K39" s="190">
        <v>0</v>
      </c>
      <c r="L39" s="190">
        <v>0</v>
      </c>
      <c r="M39" s="190">
        <v>0</v>
      </c>
      <c r="N39" s="334">
        <f t="shared" si="12"/>
        <v>5984</v>
      </c>
      <c r="O39" s="191"/>
    </row>
    <row r="40" spans="1:15" ht="11.25" customHeight="1">
      <c r="A40" s="225"/>
      <c r="B40" s="301" t="s">
        <v>25</v>
      </c>
      <c r="C40" s="302" t="s">
        <v>332</v>
      </c>
      <c r="D40" s="287">
        <v>0</v>
      </c>
      <c r="E40" s="287">
        <v>0</v>
      </c>
      <c r="F40" s="303">
        <f>4982-300</f>
        <v>4682</v>
      </c>
      <c r="G40" s="287">
        <v>0</v>
      </c>
      <c r="H40" s="287">
        <v>0</v>
      </c>
      <c r="I40" s="287">
        <v>0</v>
      </c>
      <c r="J40" s="226">
        <f t="shared" si="11"/>
        <v>4682</v>
      </c>
      <c r="K40" s="287">
        <v>0</v>
      </c>
      <c r="L40" s="287">
        <v>0</v>
      </c>
      <c r="M40" s="287">
        <v>0</v>
      </c>
      <c r="N40" s="335">
        <f t="shared" si="12"/>
        <v>4682</v>
      </c>
      <c r="O40" s="290"/>
    </row>
    <row r="41" spans="1:15" ht="11.25" customHeight="1">
      <c r="A41" s="225"/>
      <c r="B41" s="301" t="s">
        <v>27</v>
      </c>
      <c r="C41" s="302" t="s">
        <v>398</v>
      </c>
      <c r="D41" s="287"/>
      <c r="E41" s="287"/>
      <c r="F41" s="303">
        <f>25000+12832+1200</f>
        <v>39032</v>
      </c>
      <c r="G41" s="287"/>
      <c r="H41" s="287"/>
      <c r="I41" s="287"/>
      <c r="J41" s="226">
        <f t="shared" si="11"/>
        <v>39032</v>
      </c>
      <c r="K41" s="287"/>
      <c r="L41" s="287"/>
      <c r="M41" s="287"/>
      <c r="N41" s="335">
        <f t="shared" si="12"/>
        <v>39032</v>
      </c>
      <c r="O41" s="290"/>
    </row>
    <row r="42" spans="1:15" ht="11.25" customHeight="1">
      <c r="A42" s="225"/>
      <c r="B42" s="301" t="s">
        <v>28</v>
      </c>
      <c r="C42" s="302" t="s">
        <v>412</v>
      </c>
      <c r="D42" s="287"/>
      <c r="E42" s="287"/>
      <c r="F42" s="303">
        <f>20000+111726</f>
        <v>131726</v>
      </c>
      <c r="G42" s="287"/>
      <c r="H42" s="287">
        <v>0</v>
      </c>
      <c r="I42" s="287" t="s">
        <v>227</v>
      </c>
      <c r="J42" s="226">
        <f t="shared" si="11"/>
        <v>131726</v>
      </c>
      <c r="K42" s="287"/>
      <c r="L42" s="287">
        <v>0</v>
      </c>
      <c r="M42" s="287"/>
      <c r="N42" s="335">
        <f t="shared" si="12"/>
        <v>131726</v>
      </c>
      <c r="O42" s="290"/>
    </row>
    <row r="43" spans="1:15" ht="11.25" customHeight="1">
      <c r="A43" s="225"/>
      <c r="B43" s="301" t="s">
        <v>30</v>
      </c>
      <c r="C43" s="302" t="s">
        <v>453</v>
      </c>
      <c r="D43" s="287">
        <v>1384</v>
      </c>
      <c r="E43" s="287">
        <v>310</v>
      </c>
      <c r="F43" s="303">
        <f>946</f>
        <v>946</v>
      </c>
      <c r="G43" s="287">
        <v>0</v>
      </c>
      <c r="H43" s="287">
        <v>0</v>
      </c>
      <c r="I43" s="287">
        <v>0</v>
      </c>
      <c r="J43" s="226">
        <f>SUM(D43:I43)</f>
        <v>2640</v>
      </c>
      <c r="K43" s="287"/>
      <c r="L43" s="287"/>
      <c r="M43" s="287"/>
      <c r="N43" s="335">
        <f t="shared" si="12"/>
        <v>2640</v>
      </c>
      <c r="O43" s="290"/>
    </row>
    <row r="44" spans="1:15" ht="11.25" customHeight="1">
      <c r="A44" s="225"/>
      <c r="B44" s="301" t="s">
        <v>32</v>
      </c>
      <c r="C44" s="302" t="s">
        <v>507</v>
      </c>
      <c r="D44" s="287"/>
      <c r="E44" s="287"/>
      <c r="F44" s="303"/>
      <c r="G44" s="287"/>
      <c r="H44" s="287"/>
      <c r="I44" s="287"/>
      <c r="J44" s="226">
        <v>0</v>
      </c>
      <c r="K44" s="287"/>
      <c r="L44" s="287">
        <v>15</v>
      </c>
      <c r="M44" s="287"/>
      <c r="N44" s="335">
        <f>L44</f>
        <v>15</v>
      </c>
      <c r="O44" s="290"/>
    </row>
    <row r="45" spans="1:15" ht="11.25" customHeight="1">
      <c r="A45" s="225"/>
      <c r="B45" s="301" t="s">
        <v>33</v>
      </c>
      <c r="C45" s="302" t="s">
        <v>509</v>
      </c>
      <c r="D45" s="287"/>
      <c r="E45" s="287"/>
      <c r="F45" s="303">
        <v>1200</v>
      </c>
      <c r="G45" s="287"/>
      <c r="H45" s="287"/>
      <c r="I45" s="287"/>
      <c r="J45" s="226">
        <f>F45</f>
        <v>1200</v>
      </c>
      <c r="K45" s="287"/>
      <c r="L45" s="287"/>
      <c r="M45" s="287"/>
      <c r="N45" s="335">
        <f>J45</f>
        <v>1200</v>
      </c>
      <c r="O45" s="290"/>
    </row>
    <row r="46" spans="1:15" ht="11.25" customHeight="1" thickBot="1">
      <c r="A46" s="212"/>
      <c r="B46" s="215" t="s">
        <v>101</v>
      </c>
      <c r="C46" s="230" t="s">
        <v>577</v>
      </c>
      <c r="D46" s="192"/>
      <c r="E46" s="192"/>
      <c r="F46" s="331">
        <v>0</v>
      </c>
      <c r="G46" s="192"/>
      <c r="H46" s="192"/>
      <c r="I46" s="192"/>
      <c r="J46" s="198">
        <v>0</v>
      </c>
      <c r="K46" s="192">
        <f>508824-'Beruh.,felúj. (6)'!D125</f>
        <v>426374</v>
      </c>
      <c r="L46" s="192"/>
      <c r="M46" s="192">
        <v>300000</v>
      </c>
      <c r="N46" s="332">
        <f>K46+M46</f>
        <v>726374</v>
      </c>
      <c r="O46" s="224"/>
    </row>
    <row r="47" spans="1:15" ht="12.75" customHeight="1" thickBot="1">
      <c r="A47" s="293" t="s">
        <v>104</v>
      </c>
      <c r="B47" s="295"/>
      <c r="C47" s="291" t="s">
        <v>184</v>
      </c>
      <c r="D47" s="283">
        <v>44669</v>
      </c>
      <c r="E47" s="283">
        <v>13440</v>
      </c>
      <c r="F47" s="291">
        <f>2454+204+27</f>
        <v>2685</v>
      </c>
      <c r="G47" s="283">
        <v>0</v>
      </c>
      <c r="H47" s="283">
        <v>0</v>
      </c>
      <c r="I47" s="283">
        <v>0</v>
      </c>
      <c r="J47" s="283">
        <f aca="true" t="shared" si="13" ref="J47:J53">SUM(D47:I47)</f>
        <v>60794</v>
      </c>
      <c r="K47" s="283">
        <v>0</v>
      </c>
      <c r="L47" s="283">
        <v>0</v>
      </c>
      <c r="M47" s="283">
        <v>0</v>
      </c>
      <c r="N47" s="291">
        <f t="shared" si="12"/>
        <v>60794</v>
      </c>
      <c r="O47" s="292">
        <v>2</v>
      </c>
    </row>
    <row r="48" spans="1:15" ht="12.75" customHeight="1" thickBot="1">
      <c r="A48" s="297" t="s">
        <v>115</v>
      </c>
      <c r="B48" s="298"/>
      <c r="C48" s="185" t="s">
        <v>185</v>
      </c>
      <c r="D48" s="299">
        <v>0</v>
      </c>
      <c r="E48" s="299">
        <v>0</v>
      </c>
      <c r="F48" s="185">
        <f>91+6+19</f>
        <v>116</v>
      </c>
      <c r="G48" s="299">
        <v>0</v>
      </c>
      <c r="H48" s="299">
        <f>700+150+100</f>
        <v>950</v>
      </c>
      <c r="I48" s="299">
        <v>0</v>
      </c>
      <c r="J48" s="299">
        <f t="shared" si="13"/>
        <v>1066</v>
      </c>
      <c r="K48" s="299">
        <v>0</v>
      </c>
      <c r="L48" s="299">
        <v>150</v>
      </c>
      <c r="M48" s="299">
        <v>0</v>
      </c>
      <c r="N48" s="185">
        <f t="shared" si="12"/>
        <v>1216</v>
      </c>
      <c r="O48" s="300"/>
    </row>
    <row r="49" spans="1:15" ht="12.75" customHeight="1" thickBot="1">
      <c r="A49" s="256" t="s">
        <v>116</v>
      </c>
      <c r="B49" s="257"/>
      <c r="C49" s="182" t="s">
        <v>186</v>
      </c>
      <c r="D49" s="286">
        <f>432-362</f>
        <v>70</v>
      </c>
      <c r="E49" s="286">
        <f>139-117</f>
        <v>22</v>
      </c>
      <c r="F49" s="182">
        <f>972+362+117</f>
        <v>1451</v>
      </c>
      <c r="G49" s="286">
        <v>0</v>
      </c>
      <c r="H49" s="286">
        <v>0</v>
      </c>
      <c r="I49" s="286">
        <v>0</v>
      </c>
      <c r="J49" s="286">
        <f t="shared" si="13"/>
        <v>1543</v>
      </c>
      <c r="K49" s="286">
        <v>74</v>
      </c>
      <c r="L49" s="286">
        <v>0</v>
      </c>
      <c r="M49" s="286">
        <v>0</v>
      </c>
      <c r="N49" s="182">
        <f t="shared" si="12"/>
        <v>1617</v>
      </c>
      <c r="O49" s="282"/>
    </row>
    <row r="50" spans="1:15" ht="12.75" customHeight="1" thickBot="1">
      <c r="A50" s="293" t="s">
        <v>117</v>
      </c>
      <c r="B50" s="294"/>
      <c r="C50" s="291" t="s">
        <v>267</v>
      </c>
      <c r="D50" s="283">
        <f>12420-200-445</f>
        <v>11775</v>
      </c>
      <c r="E50" s="283">
        <f>4325-100-135</f>
        <v>4090</v>
      </c>
      <c r="F50" s="291">
        <f>150+715+143</f>
        <v>1008</v>
      </c>
      <c r="G50" s="283">
        <v>0</v>
      </c>
      <c r="H50" s="283">
        <v>0</v>
      </c>
      <c r="I50" s="283">
        <v>0</v>
      </c>
      <c r="J50" s="283">
        <f t="shared" si="13"/>
        <v>16873</v>
      </c>
      <c r="K50" s="283">
        <v>0</v>
      </c>
      <c r="L50" s="283">
        <v>0</v>
      </c>
      <c r="M50" s="283">
        <v>0</v>
      </c>
      <c r="N50" s="291">
        <f t="shared" si="12"/>
        <v>16873</v>
      </c>
      <c r="O50" s="284">
        <v>15</v>
      </c>
    </row>
    <row r="51" spans="1:15" ht="12.75" customHeight="1" thickBot="1">
      <c r="A51" s="293" t="s">
        <v>118</v>
      </c>
      <c r="B51" s="295"/>
      <c r="C51" s="291" t="s">
        <v>187</v>
      </c>
      <c r="D51" s="283">
        <f>4140+572+200+445</f>
        <v>5357</v>
      </c>
      <c r="E51" s="283">
        <f>1442+183+100+135</f>
        <v>1860</v>
      </c>
      <c r="F51" s="291">
        <f>380+38</f>
        <v>418</v>
      </c>
      <c r="G51" s="283">
        <v>0</v>
      </c>
      <c r="H51" s="283">
        <v>0</v>
      </c>
      <c r="I51" s="283">
        <v>0</v>
      </c>
      <c r="J51" s="283">
        <f t="shared" si="13"/>
        <v>7635</v>
      </c>
      <c r="K51" s="283">
        <v>0</v>
      </c>
      <c r="L51" s="283">
        <v>0</v>
      </c>
      <c r="M51" s="283">
        <v>0</v>
      </c>
      <c r="N51" s="291">
        <f t="shared" si="12"/>
        <v>7635</v>
      </c>
      <c r="O51" s="284">
        <v>6</v>
      </c>
    </row>
    <row r="52" spans="1:15" ht="12.75" customHeight="1" thickBot="1">
      <c r="A52" s="293" t="s">
        <v>119</v>
      </c>
      <c r="B52" s="295"/>
      <c r="C52" s="182" t="s">
        <v>188</v>
      </c>
      <c r="D52" s="286">
        <v>0</v>
      </c>
      <c r="E52" s="286">
        <v>0</v>
      </c>
      <c r="F52" s="182">
        <v>0</v>
      </c>
      <c r="G52" s="286">
        <v>0</v>
      </c>
      <c r="H52" s="286">
        <v>0</v>
      </c>
      <c r="I52" s="286">
        <v>0</v>
      </c>
      <c r="J52" s="286">
        <f t="shared" si="13"/>
        <v>0</v>
      </c>
      <c r="K52" s="286">
        <v>0</v>
      </c>
      <c r="L52" s="286">
        <v>0</v>
      </c>
      <c r="M52" s="286">
        <f>28300-700-400-170-2688-1000-468-60-20-45-100-25-50-12-22-1350-320-396-50-130-4108-110-40-40-40-60-25-50-264-30-455-145-481-154+10000-36-43-30-10-25-25-175-30-20-40-60-50-50-41-40-40-9-24-27-10-53-108-209-15-200-100-30-20</f>
        <v>22772</v>
      </c>
      <c r="N52" s="182">
        <f t="shared" si="12"/>
        <v>22772</v>
      </c>
      <c r="O52" s="282"/>
    </row>
    <row r="53" spans="1:15" ht="12.75" customHeight="1" thickBot="1">
      <c r="A53" s="293" t="s">
        <v>120</v>
      </c>
      <c r="B53" s="296"/>
      <c r="C53" s="291" t="s">
        <v>189</v>
      </c>
      <c r="D53" s="283">
        <v>0</v>
      </c>
      <c r="E53" s="283">
        <v>0</v>
      </c>
      <c r="F53" s="291">
        <f>12785-3900-885+25</f>
        <v>8025</v>
      </c>
      <c r="G53" s="283">
        <v>0</v>
      </c>
      <c r="H53" s="283">
        <v>0</v>
      </c>
      <c r="I53" s="283">
        <v>0</v>
      </c>
      <c r="J53" s="283">
        <f t="shared" si="13"/>
        <v>8025</v>
      </c>
      <c r="K53" s="283">
        <f>1368+3900+5333+396+1749</f>
        <v>12746</v>
      </c>
      <c r="L53" s="283">
        <v>0</v>
      </c>
      <c r="M53" s="283">
        <v>0</v>
      </c>
      <c r="N53" s="291">
        <f t="shared" si="12"/>
        <v>20771</v>
      </c>
      <c r="O53" s="292"/>
    </row>
    <row r="54" spans="1:15" ht="12.75" customHeight="1">
      <c r="A54" s="210" t="s">
        <v>121</v>
      </c>
      <c r="B54" s="211"/>
      <c r="C54" s="196" t="s">
        <v>191</v>
      </c>
      <c r="D54" s="195">
        <f aca="true" t="shared" si="14" ref="D54:M54">SUM(D55:D60)</f>
        <v>0</v>
      </c>
      <c r="E54" s="195">
        <f t="shared" si="14"/>
        <v>0</v>
      </c>
      <c r="F54" s="196">
        <f t="shared" si="14"/>
        <v>0</v>
      </c>
      <c r="G54" s="195">
        <f t="shared" si="14"/>
        <v>0</v>
      </c>
      <c r="H54" s="195">
        <f t="shared" si="14"/>
        <v>4500</v>
      </c>
      <c r="I54" s="195">
        <f t="shared" si="14"/>
        <v>0</v>
      </c>
      <c r="J54" s="195">
        <f t="shared" si="14"/>
        <v>4500</v>
      </c>
      <c r="K54" s="195">
        <f>SUM(K55:K61)</f>
        <v>4020</v>
      </c>
      <c r="L54" s="195">
        <f t="shared" si="14"/>
        <v>0</v>
      </c>
      <c r="M54" s="195">
        <f t="shared" si="14"/>
        <v>0</v>
      </c>
      <c r="N54" s="196">
        <f>SUM(J54:M54)</f>
        <v>8520</v>
      </c>
      <c r="O54" s="199"/>
    </row>
    <row r="55" spans="1:15" ht="12.75" customHeight="1">
      <c r="A55" s="204"/>
      <c r="B55" s="206" t="s">
        <v>15</v>
      </c>
      <c r="C55" s="188" t="s">
        <v>268</v>
      </c>
      <c r="D55" s="190">
        <v>0</v>
      </c>
      <c r="E55" s="190">
        <v>0</v>
      </c>
      <c r="F55" s="189">
        <v>0</v>
      </c>
      <c r="G55" s="190">
        <v>0</v>
      </c>
      <c r="H55" s="190">
        <v>1000</v>
      </c>
      <c r="I55" s="190">
        <v>0</v>
      </c>
      <c r="J55" s="194">
        <f aca="true" t="shared" si="15" ref="J55:J61">SUM(D55:I55)</f>
        <v>1000</v>
      </c>
      <c r="K55" s="190">
        <v>0</v>
      </c>
      <c r="L55" s="190">
        <v>0</v>
      </c>
      <c r="M55" s="190">
        <v>0</v>
      </c>
      <c r="N55" s="196">
        <f aca="true" t="shared" si="16" ref="N55:N61">SUM(J55:M55)</f>
        <v>1000</v>
      </c>
      <c r="O55" s="197"/>
    </row>
    <row r="56" spans="1:15" ht="12.75" customHeight="1">
      <c r="A56" s="204"/>
      <c r="B56" s="206" t="s">
        <v>17</v>
      </c>
      <c r="C56" s="188" t="s">
        <v>269</v>
      </c>
      <c r="D56" s="190">
        <v>0</v>
      </c>
      <c r="E56" s="190">
        <v>0</v>
      </c>
      <c r="F56" s="189">
        <v>0</v>
      </c>
      <c r="G56" s="190">
        <v>0</v>
      </c>
      <c r="H56" s="190">
        <v>1000</v>
      </c>
      <c r="I56" s="190">
        <v>0</v>
      </c>
      <c r="J56" s="194">
        <f t="shared" si="15"/>
        <v>1000</v>
      </c>
      <c r="K56" s="190">
        <v>0</v>
      </c>
      <c r="L56" s="189">
        <v>0</v>
      </c>
      <c r="M56" s="189">
        <v>0</v>
      </c>
      <c r="N56" s="196">
        <f t="shared" si="16"/>
        <v>1000</v>
      </c>
      <c r="O56" s="197"/>
    </row>
    <row r="57" spans="1:15" ht="12.75" customHeight="1">
      <c r="A57" s="204"/>
      <c r="B57" s="206" t="s">
        <v>19</v>
      </c>
      <c r="C57" s="188" t="s">
        <v>270</v>
      </c>
      <c r="D57" s="190">
        <v>0</v>
      </c>
      <c r="E57" s="190">
        <v>0</v>
      </c>
      <c r="F57" s="189">
        <v>0</v>
      </c>
      <c r="G57" s="190">
        <v>0</v>
      </c>
      <c r="H57" s="190">
        <v>500</v>
      </c>
      <c r="I57" s="190">
        <v>0</v>
      </c>
      <c r="J57" s="194">
        <f t="shared" si="15"/>
        <v>500</v>
      </c>
      <c r="K57" s="190">
        <v>0</v>
      </c>
      <c r="L57" s="189">
        <v>0</v>
      </c>
      <c r="M57" s="189">
        <v>0</v>
      </c>
      <c r="N57" s="196">
        <f t="shared" si="16"/>
        <v>500</v>
      </c>
      <c r="O57" s="197"/>
    </row>
    <row r="58" spans="1:15" ht="12.75" customHeight="1">
      <c r="A58" s="204"/>
      <c r="B58" s="206" t="s">
        <v>21</v>
      </c>
      <c r="C58" s="188" t="s">
        <v>271</v>
      </c>
      <c r="D58" s="190">
        <v>0</v>
      </c>
      <c r="E58" s="190">
        <v>0</v>
      </c>
      <c r="F58" s="189">
        <v>0</v>
      </c>
      <c r="G58" s="190">
        <v>0</v>
      </c>
      <c r="H58" s="190">
        <v>1500</v>
      </c>
      <c r="I58" s="190">
        <v>0</v>
      </c>
      <c r="J58" s="194">
        <f t="shared" si="15"/>
        <v>1500</v>
      </c>
      <c r="K58" s="190">
        <v>0</v>
      </c>
      <c r="L58" s="189">
        <v>0</v>
      </c>
      <c r="M58" s="189">
        <v>0</v>
      </c>
      <c r="N58" s="196">
        <f t="shared" si="16"/>
        <v>1500</v>
      </c>
      <c r="O58" s="197"/>
    </row>
    <row r="59" spans="1:15" ht="12.75" customHeight="1">
      <c r="A59" s="204"/>
      <c r="B59" s="206" t="s">
        <v>23</v>
      </c>
      <c r="C59" s="188" t="s">
        <v>392</v>
      </c>
      <c r="D59" s="190"/>
      <c r="E59" s="190"/>
      <c r="F59" s="189"/>
      <c r="G59" s="190"/>
      <c r="H59" s="190"/>
      <c r="I59" s="190"/>
      <c r="J59" s="194">
        <f t="shared" si="15"/>
        <v>0</v>
      </c>
      <c r="K59" s="190">
        <f>3000-180</f>
        <v>2820</v>
      </c>
      <c r="L59" s="189"/>
      <c r="M59" s="189"/>
      <c r="N59" s="196">
        <f t="shared" si="16"/>
        <v>2820</v>
      </c>
      <c r="O59" s="197"/>
    </row>
    <row r="60" spans="1:15" ht="12.75" customHeight="1">
      <c r="A60" s="204"/>
      <c r="B60" s="206" t="s">
        <v>25</v>
      </c>
      <c r="C60" s="188" t="s">
        <v>333</v>
      </c>
      <c r="D60" s="190">
        <v>0</v>
      </c>
      <c r="E60" s="190">
        <v>0</v>
      </c>
      <c r="F60" s="189">
        <v>0</v>
      </c>
      <c r="G60" s="190">
        <v>0</v>
      </c>
      <c r="H60" s="190">
        <v>500</v>
      </c>
      <c r="I60" s="190">
        <v>0</v>
      </c>
      <c r="J60" s="194">
        <f t="shared" si="15"/>
        <v>500</v>
      </c>
      <c r="K60" s="190">
        <v>0</v>
      </c>
      <c r="L60" s="189">
        <v>0</v>
      </c>
      <c r="M60" s="189">
        <v>0</v>
      </c>
      <c r="N60" s="196">
        <f t="shared" si="16"/>
        <v>500</v>
      </c>
      <c r="O60" s="197"/>
    </row>
    <row r="61" spans="1:15" ht="12.75" customHeight="1" thickBot="1">
      <c r="A61" s="210"/>
      <c r="B61" s="211" t="s">
        <v>27</v>
      </c>
      <c r="C61" s="228" t="s">
        <v>435</v>
      </c>
      <c r="D61" s="229"/>
      <c r="E61" s="229"/>
      <c r="F61" s="254"/>
      <c r="G61" s="229"/>
      <c r="H61" s="229"/>
      <c r="I61" s="229"/>
      <c r="J61" s="194">
        <f t="shared" si="15"/>
        <v>0</v>
      </c>
      <c r="K61" s="229">
        <v>1200</v>
      </c>
      <c r="L61" s="254"/>
      <c r="M61" s="254"/>
      <c r="N61" s="196">
        <f t="shared" si="16"/>
        <v>1200</v>
      </c>
      <c r="O61" s="199"/>
    </row>
    <row r="62" spans="1:15" ht="12.75" customHeight="1">
      <c r="A62" s="201" t="s">
        <v>122</v>
      </c>
      <c r="B62" s="202"/>
      <c r="C62" s="304" t="s">
        <v>193</v>
      </c>
      <c r="D62" s="285">
        <f>D63+D64+D65</f>
        <v>0</v>
      </c>
      <c r="E62" s="285">
        <f aca="true" t="shared" si="17" ref="E62:N62">E63+E64+E65</f>
        <v>0</v>
      </c>
      <c r="F62" s="304">
        <f t="shared" si="17"/>
        <v>1080</v>
      </c>
      <c r="G62" s="285">
        <f t="shared" si="17"/>
        <v>0</v>
      </c>
      <c r="H62" s="285">
        <f t="shared" si="17"/>
        <v>539</v>
      </c>
      <c r="I62" s="285">
        <f t="shared" si="17"/>
        <v>0</v>
      </c>
      <c r="J62" s="285">
        <f t="shared" si="17"/>
        <v>1619</v>
      </c>
      <c r="K62" s="285">
        <f t="shared" si="17"/>
        <v>0</v>
      </c>
      <c r="L62" s="285">
        <f t="shared" si="17"/>
        <v>0</v>
      </c>
      <c r="M62" s="285">
        <f t="shared" si="17"/>
        <v>0</v>
      </c>
      <c r="N62" s="304">
        <f t="shared" si="17"/>
        <v>1619</v>
      </c>
      <c r="O62" s="305"/>
    </row>
    <row r="63" spans="1:15" ht="12.75" customHeight="1">
      <c r="A63" s="204"/>
      <c r="B63" s="205" t="s">
        <v>15</v>
      </c>
      <c r="C63" s="188" t="s">
        <v>272</v>
      </c>
      <c r="D63" s="190">
        <v>0</v>
      </c>
      <c r="E63" s="190">
        <v>0</v>
      </c>
      <c r="F63" s="189">
        <v>1000</v>
      </c>
      <c r="G63" s="190">
        <v>0</v>
      </c>
      <c r="H63" s="190">
        <v>0</v>
      </c>
      <c r="I63" s="190">
        <v>0</v>
      </c>
      <c r="J63" s="194">
        <f>SUM(D63:I63)</f>
        <v>1000</v>
      </c>
      <c r="K63" s="190">
        <v>0</v>
      </c>
      <c r="L63" s="190">
        <v>0</v>
      </c>
      <c r="M63" s="190">
        <v>0</v>
      </c>
      <c r="N63" s="334">
        <f>SUM(J63:L63)</f>
        <v>1000</v>
      </c>
      <c r="O63" s="197"/>
    </row>
    <row r="64" spans="1:15" ht="12.75" customHeight="1">
      <c r="A64" s="204"/>
      <c r="B64" s="205" t="s">
        <v>17</v>
      </c>
      <c r="C64" s="188" t="s">
        <v>273</v>
      </c>
      <c r="D64" s="190">
        <v>0</v>
      </c>
      <c r="E64" s="190">
        <v>0</v>
      </c>
      <c r="F64" s="189">
        <v>0</v>
      </c>
      <c r="G64" s="190">
        <v>0</v>
      </c>
      <c r="H64" s="190">
        <f>462+77</f>
        <v>539</v>
      </c>
      <c r="I64" s="190">
        <v>0</v>
      </c>
      <c r="J64" s="194">
        <f>SUM(D64:I64)</f>
        <v>539</v>
      </c>
      <c r="K64" s="190">
        <v>0</v>
      </c>
      <c r="L64" s="190">
        <f>2925-2925</f>
        <v>0</v>
      </c>
      <c r="M64" s="190">
        <v>0</v>
      </c>
      <c r="N64" s="334">
        <f>SUM(J64:L64)</f>
        <v>539</v>
      </c>
      <c r="O64" s="197"/>
    </row>
    <row r="65" spans="1:15" ht="12.75" customHeight="1" thickBot="1">
      <c r="A65" s="212"/>
      <c r="B65" s="306" t="s">
        <v>19</v>
      </c>
      <c r="C65" s="230" t="s">
        <v>274</v>
      </c>
      <c r="D65" s="192">
        <v>0</v>
      </c>
      <c r="E65" s="192">
        <v>0</v>
      </c>
      <c r="F65" s="331">
        <v>80</v>
      </c>
      <c r="G65" s="192">
        <v>0</v>
      </c>
      <c r="H65" s="192">
        <v>0</v>
      </c>
      <c r="I65" s="192">
        <v>0</v>
      </c>
      <c r="J65" s="198">
        <f>SUM(D65:I65)</f>
        <v>80</v>
      </c>
      <c r="K65" s="192">
        <v>0</v>
      </c>
      <c r="L65" s="192">
        <v>0</v>
      </c>
      <c r="M65" s="192">
        <v>0</v>
      </c>
      <c r="N65" s="332">
        <f>SUM(J65:L65)</f>
        <v>80</v>
      </c>
      <c r="O65" s="213"/>
    </row>
    <row r="66" spans="1:15" ht="12.75" customHeight="1">
      <c r="A66" s="210" t="s">
        <v>123</v>
      </c>
      <c r="B66" s="211"/>
      <c r="C66" s="196" t="s">
        <v>195</v>
      </c>
      <c r="D66" s="195">
        <f>D67+D68</f>
        <v>0</v>
      </c>
      <c r="E66" s="195">
        <f aca="true" t="shared" si="18" ref="E66:N66">E67+E68</f>
        <v>0</v>
      </c>
      <c r="F66" s="196">
        <f t="shared" si="18"/>
        <v>26730</v>
      </c>
      <c r="G66" s="195">
        <f t="shared" si="18"/>
        <v>0</v>
      </c>
      <c r="H66" s="195">
        <f t="shared" si="18"/>
        <v>0</v>
      </c>
      <c r="I66" s="195">
        <f t="shared" si="18"/>
        <v>0</v>
      </c>
      <c r="J66" s="195">
        <f t="shared" si="18"/>
        <v>26730</v>
      </c>
      <c r="K66" s="195">
        <f t="shared" si="18"/>
        <v>100</v>
      </c>
      <c r="L66" s="195">
        <f t="shared" si="18"/>
        <v>0</v>
      </c>
      <c r="M66" s="195">
        <f t="shared" si="18"/>
        <v>0</v>
      </c>
      <c r="N66" s="196">
        <f t="shared" si="18"/>
        <v>26830</v>
      </c>
      <c r="O66" s="199"/>
    </row>
    <row r="67" spans="1:15" ht="12.75" customHeight="1">
      <c r="A67" s="204"/>
      <c r="B67" s="206" t="s">
        <v>15</v>
      </c>
      <c r="C67" s="188" t="s">
        <v>275</v>
      </c>
      <c r="D67" s="190">
        <v>0</v>
      </c>
      <c r="E67" s="190">
        <v>0</v>
      </c>
      <c r="F67" s="189">
        <f>25000+275</f>
        <v>25275</v>
      </c>
      <c r="G67" s="189">
        <v>0</v>
      </c>
      <c r="H67" s="190">
        <v>0</v>
      </c>
      <c r="I67" s="190">
        <v>0</v>
      </c>
      <c r="J67" s="194">
        <f>SUM(D67:I67)</f>
        <v>25275</v>
      </c>
      <c r="K67" s="189">
        <v>0</v>
      </c>
      <c r="L67" s="189">
        <v>0</v>
      </c>
      <c r="M67" s="189">
        <v>0</v>
      </c>
      <c r="N67" s="334">
        <f>SUM(J67:L67)</f>
        <v>25275</v>
      </c>
      <c r="O67" s="197"/>
    </row>
    <row r="68" spans="1:15" ht="12.75" customHeight="1" thickBot="1">
      <c r="A68" s="225"/>
      <c r="B68" s="301" t="s">
        <v>17</v>
      </c>
      <c r="C68" s="302" t="s">
        <v>390</v>
      </c>
      <c r="D68" s="287">
        <v>0</v>
      </c>
      <c r="E68" s="287">
        <v>0</v>
      </c>
      <c r="F68" s="303">
        <f>450+615+30+360</f>
        <v>1455</v>
      </c>
      <c r="G68" s="303">
        <v>0</v>
      </c>
      <c r="H68" s="287">
        <v>0</v>
      </c>
      <c r="I68" s="287">
        <v>0</v>
      </c>
      <c r="J68" s="226">
        <f>SUM(D68:I68)</f>
        <v>1455</v>
      </c>
      <c r="K68" s="303">
        <v>100</v>
      </c>
      <c r="L68" s="303">
        <v>0</v>
      </c>
      <c r="M68" s="303">
        <v>0</v>
      </c>
      <c r="N68" s="335">
        <f>SUM(J68:L68)</f>
        <v>1555</v>
      </c>
      <c r="O68" s="227"/>
    </row>
    <row r="69" spans="1:15" ht="12.75" customHeight="1">
      <c r="A69" s="201" t="s">
        <v>124</v>
      </c>
      <c r="B69" s="202"/>
      <c r="C69" s="307" t="s">
        <v>197</v>
      </c>
      <c r="D69" s="285">
        <f aca="true" t="shared" si="19" ref="D69:M69">SUM(D70:D78)</f>
        <v>120</v>
      </c>
      <c r="E69" s="285">
        <f t="shared" si="19"/>
        <v>45</v>
      </c>
      <c r="F69" s="285">
        <f>SUM(F70:F86)</f>
        <v>12727</v>
      </c>
      <c r="G69" s="285">
        <f t="shared" si="19"/>
        <v>0</v>
      </c>
      <c r="H69" s="285">
        <f>SUM(H70:H85)</f>
        <v>4138</v>
      </c>
      <c r="I69" s="285">
        <f>SUM(I70:I87)</f>
        <v>357951</v>
      </c>
      <c r="J69" s="285">
        <f>SUM(J70:J86)</f>
        <v>374981</v>
      </c>
      <c r="K69" s="285">
        <f>SUM(K70:K87)</f>
        <v>29417</v>
      </c>
      <c r="L69" s="285">
        <f t="shared" si="19"/>
        <v>11526</v>
      </c>
      <c r="M69" s="285">
        <f t="shared" si="19"/>
        <v>0</v>
      </c>
      <c r="N69" s="304">
        <f>SUM(N70:N87)</f>
        <v>415924</v>
      </c>
      <c r="O69" s="354">
        <f>SUM(O70:O77)</f>
        <v>0</v>
      </c>
    </row>
    <row r="70" spans="1:15" ht="12.75" customHeight="1">
      <c r="A70" s="204"/>
      <c r="B70" s="206" t="s">
        <v>15</v>
      </c>
      <c r="C70" s="188" t="s">
        <v>276</v>
      </c>
      <c r="D70" s="190">
        <f>931+756+1449+1800+3352-6965-612-336-114-110-31</f>
        <v>120</v>
      </c>
      <c r="E70" s="190">
        <f>2652-2229-196-97-36-35-14</f>
        <v>45</v>
      </c>
      <c r="F70" s="189">
        <f>1500-30-187-125-186-166-48-110-56+612</f>
        <v>1204</v>
      </c>
      <c r="G70" s="190">
        <v>0</v>
      </c>
      <c r="H70" s="190">
        <v>0</v>
      </c>
      <c r="I70" s="190">
        <f>16897+711-622-1200-1080+64+1261-864-254-150-13-53-19-12-32-5-43-48-574</f>
        <v>13964</v>
      </c>
      <c r="J70" s="194">
        <f>SUM(D70:I70)</f>
        <v>15333</v>
      </c>
      <c r="K70" s="190">
        <f>180+280+1960+5000+10000</f>
        <v>17420</v>
      </c>
      <c r="L70" s="190">
        <v>0</v>
      </c>
      <c r="M70" s="190">
        <v>0</v>
      </c>
      <c r="N70" s="334">
        <f aca="true" t="shared" si="20" ref="N70:N84">SUM(J70:M70)</f>
        <v>32753</v>
      </c>
      <c r="O70" s="191"/>
    </row>
    <row r="71" spans="1:15" ht="12.75" customHeight="1">
      <c r="A71" s="204"/>
      <c r="B71" s="206" t="s">
        <v>17</v>
      </c>
      <c r="C71" s="188" t="s">
        <v>198</v>
      </c>
      <c r="D71" s="190">
        <v>0</v>
      </c>
      <c r="E71" s="190">
        <v>0</v>
      </c>
      <c r="F71" s="189">
        <v>0</v>
      </c>
      <c r="G71" s="190">
        <v>0</v>
      </c>
      <c r="H71" s="190">
        <v>950</v>
      </c>
      <c r="I71" s="190">
        <v>0</v>
      </c>
      <c r="J71" s="194">
        <f aca="true" t="shared" si="21" ref="J71:J82">SUM(D71:I71)</f>
        <v>950</v>
      </c>
      <c r="K71" s="190">
        <v>0</v>
      </c>
      <c r="L71" s="190">
        <v>0</v>
      </c>
      <c r="M71" s="190">
        <v>0</v>
      </c>
      <c r="N71" s="334">
        <f t="shared" si="20"/>
        <v>950</v>
      </c>
      <c r="O71" s="191"/>
    </row>
    <row r="72" spans="1:15" ht="12.75" customHeight="1">
      <c r="A72" s="204"/>
      <c r="B72" s="206" t="s">
        <v>19</v>
      </c>
      <c r="C72" s="188" t="s">
        <v>277</v>
      </c>
      <c r="D72" s="190">
        <v>0</v>
      </c>
      <c r="E72" s="190">
        <v>0</v>
      </c>
      <c r="F72" s="189">
        <v>0</v>
      </c>
      <c r="G72" s="190">
        <v>0</v>
      </c>
      <c r="H72" s="190">
        <f>300-300</f>
        <v>0</v>
      </c>
      <c r="I72" s="190">
        <v>0</v>
      </c>
      <c r="J72" s="194">
        <f t="shared" si="21"/>
        <v>0</v>
      </c>
      <c r="K72" s="190">
        <v>0</v>
      </c>
      <c r="L72" s="190">
        <v>0</v>
      </c>
      <c r="M72" s="190">
        <v>0</v>
      </c>
      <c r="N72" s="334">
        <f t="shared" si="20"/>
        <v>0</v>
      </c>
      <c r="O72" s="191"/>
    </row>
    <row r="73" spans="1:15" ht="12.75" customHeight="1">
      <c r="A73" s="204"/>
      <c r="B73" s="206" t="s">
        <v>21</v>
      </c>
      <c r="C73" s="188" t="s">
        <v>278</v>
      </c>
      <c r="D73" s="190">
        <v>0</v>
      </c>
      <c r="E73" s="190">
        <v>0</v>
      </c>
      <c r="F73" s="189">
        <f>250+20</f>
        <v>270</v>
      </c>
      <c r="G73" s="190">
        <v>0</v>
      </c>
      <c r="H73" s="190">
        <v>0</v>
      </c>
      <c r="I73" s="190">
        <v>0</v>
      </c>
      <c r="J73" s="194">
        <f t="shared" si="21"/>
        <v>270</v>
      </c>
      <c r="K73" s="190">
        <v>0</v>
      </c>
      <c r="L73" s="190">
        <v>0</v>
      </c>
      <c r="M73" s="190">
        <v>0</v>
      </c>
      <c r="N73" s="334">
        <f t="shared" si="20"/>
        <v>270</v>
      </c>
      <c r="O73" s="191"/>
    </row>
    <row r="74" spans="1:15" ht="12.75" customHeight="1">
      <c r="A74" s="204"/>
      <c r="B74" s="206" t="s">
        <v>23</v>
      </c>
      <c r="C74" s="188" t="s">
        <v>279</v>
      </c>
      <c r="D74" s="190">
        <v>0</v>
      </c>
      <c r="E74" s="190">
        <v>0</v>
      </c>
      <c r="F74" s="189">
        <v>0</v>
      </c>
      <c r="G74" s="190">
        <v>0</v>
      </c>
      <c r="H74" s="190">
        <f>300+350+120</f>
        <v>770</v>
      </c>
      <c r="I74" s="190">
        <v>0</v>
      </c>
      <c r="J74" s="194">
        <f t="shared" si="21"/>
        <v>770</v>
      </c>
      <c r="K74" s="190">
        <v>0</v>
      </c>
      <c r="L74" s="190">
        <v>0</v>
      </c>
      <c r="M74" s="190">
        <v>0</v>
      </c>
      <c r="N74" s="334">
        <f t="shared" si="20"/>
        <v>770</v>
      </c>
      <c r="O74" s="191"/>
    </row>
    <row r="75" spans="1:15" ht="12.75" customHeight="1">
      <c r="A75" s="204"/>
      <c r="B75" s="206" t="s">
        <v>25</v>
      </c>
      <c r="C75" s="188" t="s">
        <v>280</v>
      </c>
      <c r="D75" s="190">
        <v>0</v>
      </c>
      <c r="E75" s="190">
        <v>0</v>
      </c>
      <c r="F75" s="189">
        <f>28025-14012-7136</f>
        <v>6877</v>
      </c>
      <c r="G75" s="190">
        <v>0</v>
      </c>
      <c r="H75" s="190">
        <v>0</v>
      </c>
      <c r="I75" s="190">
        <v>0</v>
      </c>
      <c r="J75" s="194">
        <f t="shared" si="21"/>
        <v>6877</v>
      </c>
      <c r="K75" s="190">
        <v>3000</v>
      </c>
      <c r="L75" s="190">
        <v>0</v>
      </c>
      <c r="M75" s="190">
        <v>0</v>
      </c>
      <c r="N75" s="334">
        <f t="shared" si="20"/>
        <v>9877</v>
      </c>
      <c r="O75" s="191"/>
    </row>
    <row r="76" spans="1:15" ht="12.75" customHeight="1">
      <c r="A76" s="204"/>
      <c r="B76" s="206" t="s">
        <v>27</v>
      </c>
      <c r="C76" s="188" t="s">
        <v>281</v>
      </c>
      <c r="D76" s="190">
        <v>0</v>
      </c>
      <c r="E76" s="190">
        <v>0</v>
      </c>
      <c r="F76" s="189">
        <f>11875-5938-2963</f>
        <v>2974</v>
      </c>
      <c r="G76" s="190">
        <v>0</v>
      </c>
      <c r="H76" s="190">
        <v>0</v>
      </c>
      <c r="I76" s="190">
        <v>0</v>
      </c>
      <c r="J76" s="194">
        <f t="shared" si="21"/>
        <v>2974</v>
      </c>
      <c r="K76" s="190">
        <f>1120+300</f>
        <v>1420</v>
      </c>
      <c r="L76" s="190">
        <v>0</v>
      </c>
      <c r="M76" s="190">
        <v>0</v>
      </c>
      <c r="N76" s="334">
        <f t="shared" si="20"/>
        <v>4394</v>
      </c>
      <c r="O76" s="191"/>
    </row>
    <row r="77" spans="1:15" ht="23.25" customHeight="1">
      <c r="A77" s="225"/>
      <c r="B77" s="301" t="s">
        <v>28</v>
      </c>
      <c r="C77" s="309" t="s">
        <v>343</v>
      </c>
      <c r="D77" s="287">
        <v>0</v>
      </c>
      <c r="E77" s="287">
        <v>0</v>
      </c>
      <c r="F77" s="303">
        <v>0</v>
      </c>
      <c r="G77" s="287">
        <v>0</v>
      </c>
      <c r="H77" s="287">
        <v>0</v>
      </c>
      <c r="I77" s="287">
        <f>349572-2178+9194+808+433-17-209-14273+622-79+348-990+79-306-854+275-13476+5000+7068+864+533+254</f>
        <v>342668</v>
      </c>
      <c r="J77" s="226">
        <f t="shared" si="21"/>
        <v>342668</v>
      </c>
      <c r="K77" s="287">
        <v>0</v>
      </c>
      <c r="L77" s="287">
        <f>4500+616+6000+410</f>
        <v>11526</v>
      </c>
      <c r="M77" s="287">
        <v>0</v>
      </c>
      <c r="N77" s="335">
        <f t="shared" si="20"/>
        <v>354194</v>
      </c>
      <c r="O77" s="290"/>
    </row>
    <row r="78" spans="1:15" ht="12.75">
      <c r="A78" s="225"/>
      <c r="B78" s="301">
        <v>9</v>
      </c>
      <c r="C78" s="309" t="s">
        <v>413</v>
      </c>
      <c r="D78" s="287"/>
      <c r="E78" s="287"/>
      <c r="F78" s="303"/>
      <c r="G78" s="287"/>
      <c r="H78" s="287">
        <f>850+484-484</f>
        <v>850</v>
      </c>
      <c r="I78" s="287">
        <v>484</v>
      </c>
      <c r="J78" s="226">
        <f t="shared" si="21"/>
        <v>1334</v>
      </c>
      <c r="K78" s="287"/>
      <c r="L78" s="287"/>
      <c r="M78" s="287"/>
      <c r="N78" s="335">
        <f t="shared" si="20"/>
        <v>1334</v>
      </c>
      <c r="O78" s="290"/>
    </row>
    <row r="79" spans="1:15" ht="12.75">
      <c r="A79" s="204"/>
      <c r="B79" s="206">
        <v>10</v>
      </c>
      <c r="C79" s="207" t="s">
        <v>443</v>
      </c>
      <c r="D79" s="190"/>
      <c r="E79" s="190"/>
      <c r="F79" s="189">
        <f>50+2728-2026+80+12</f>
        <v>844</v>
      </c>
      <c r="G79" s="190"/>
      <c r="H79" s="190"/>
      <c r="I79" s="190"/>
      <c r="J79" s="226">
        <f t="shared" si="21"/>
        <v>844</v>
      </c>
      <c r="K79" s="190">
        <f>1000+163+1996+2026+1910</f>
        <v>7095</v>
      </c>
      <c r="L79" s="190"/>
      <c r="M79" s="190"/>
      <c r="N79" s="335">
        <f t="shared" si="20"/>
        <v>7939</v>
      </c>
      <c r="O79" s="191"/>
    </row>
    <row r="80" spans="1:15" ht="12.75">
      <c r="A80" s="256"/>
      <c r="B80" s="357">
        <v>11</v>
      </c>
      <c r="C80" s="385" t="s">
        <v>444</v>
      </c>
      <c r="D80" s="281"/>
      <c r="E80" s="281"/>
      <c r="F80" s="330"/>
      <c r="G80" s="281"/>
      <c r="H80" s="281"/>
      <c r="I80" s="281"/>
      <c r="J80" s="226">
        <f t="shared" si="21"/>
        <v>0</v>
      </c>
      <c r="K80" s="281">
        <v>126</v>
      </c>
      <c r="L80" s="281"/>
      <c r="M80" s="281"/>
      <c r="N80" s="335">
        <f t="shared" si="20"/>
        <v>126</v>
      </c>
      <c r="O80" s="282"/>
    </row>
    <row r="81" spans="1:15" ht="21">
      <c r="A81" s="225"/>
      <c r="B81" s="301">
        <v>12</v>
      </c>
      <c r="C81" s="309" t="s">
        <v>448</v>
      </c>
      <c r="D81" s="287"/>
      <c r="E81" s="287"/>
      <c r="F81" s="303"/>
      <c r="G81" s="287"/>
      <c r="H81" s="287">
        <f>340+20+40+25-25+200</f>
        <v>600</v>
      </c>
      <c r="I81" s="287">
        <v>25</v>
      </c>
      <c r="J81" s="226">
        <f t="shared" si="21"/>
        <v>625</v>
      </c>
      <c r="K81" s="287"/>
      <c r="L81" s="287"/>
      <c r="M81" s="287"/>
      <c r="N81" s="335">
        <f t="shared" si="20"/>
        <v>625</v>
      </c>
      <c r="O81" s="290"/>
    </row>
    <row r="82" spans="1:15" ht="12.75">
      <c r="A82" s="225"/>
      <c r="B82" s="301">
        <v>13</v>
      </c>
      <c r="C82" s="309" t="s">
        <v>456</v>
      </c>
      <c r="D82" s="287"/>
      <c r="E82" s="287"/>
      <c r="F82" s="303"/>
      <c r="G82" s="287"/>
      <c r="H82" s="287">
        <f>60+25+22+40+50+25+20-97-20</f>
        <v>125</v>
      </c>
      <c r="I82" s="287">
        <f>97+20</f>
        <v>117</v>
      </c>
      <c r="J82" s="226">
        <f t="shared" si="21"/>
        <v>242</v>
      </c>
      <c r="K82" s="287"/>
      <c r="L82" s="287"/>
      <c r="M82" s="287"/>
      <c r="N82" s="335">
        <f t="shared" si="20"/>
        <v>242</v>
      </c>
      <c r="O82" s="290"/>
    </row>
    <row r="83" spans="1:15" ht="12.75">
      <c r="A83" s="225"/>
      <c r="B83" s="301" t="s">
        <v>115</v>
      </c>
      <c r="C83" s="309" t="s">
        <v>477</v>
      </c>
      <c r="D83" s="287"/>
      <c r="E83" s="287"/>
      <c r="F83" s="303">
        <v>17</v>
      </c>
      <c r="G83" s="287"/>
      <c r="H83" s="287">
        <f>1130+40-30+40-267-320</f>
        <v>593</v>
      </c>
      <c r="I83" s="287">
        <f>320+250+20</f>
        <v>590</v>
      </c>
      <c r="J83" s="226">
        <f>SUM(D83:I83)</f>
        <v>1200</v>
      </c>
      <c r="K83" s="287"/>
      <c r="L83" s="287"/>
      <c r="M83" s="287"/>
      <c r="N83" s="335">
        <f t="shared" si="20"/>
        <v>1200</v>
      </c>
      <c r="O83" s="290"/>
    </row>
    <row r="84" spans="1:15" ht="12.75">
      <c r="A84" s="225"/>
      <c r="B84" s="301" t="s">
        <v>116</v>
      </c>
      <c r="C84" s="309" t="s">
        <v>478</v>
      </c>
      <c r="D84" s="287"/>
      <c r="E84" s="287"/>
      <c r="F84" s="303"/>
      <c r="G84" s="287"/>
      <c r="H84" s="287">
        <f>215+25-50</f>
        <v>190</v>
      </c>
      <c r="I84" s="287">
        <v>50</v>
      </c>
      <c r="J84" s="226">
        <f>SUM(D84:I84)</f>
        <v>240</v>
      </c>
      <c r="K84" s="287"/>
      <c r="L84" s="287"/>
      <c r="M84" s="287"/>
      <c r="N84" s="335">
        <f t="shared" si="20"/>
        <v>240</v>
      </c>
      <c r="O84" s="290"/>
    </row>
    <row r="85" spans="1:15" ht="12.75">
      <c r="A85" s="225"/>
      <c r="B85" s="301" t="s">
        <v>117</v>
      </c>
      <c r="C85" s="309" t="s">
        <v>519</v>
      </c>
      <c r="D85" s="287"/>
      <c r="E85" s="287"/>
      <c r="F85" s="303">
        <f>41</f>
        <v>41</v>
      </c>
      <c r="G85" s="287"/>
      <c r="H85" s="287">
        <f>30+30</f>
        <v>60</v>
      </c>
      <c r="I85" s="287">
        <v>53</v>
      </c>
      <c r="J85" s="226">
        <f>SUM(D85:I85)</f>
        <v>154</v>
      </c>
      <c r="K85" s="287"/>
      <c r="L85" s="287"/>
      <c r="M85" s="287"/>
      <c r="N85" s="335">
        <f>J85</f>
        <v>154</v>
      </c>
      <c r="O85" s="290"/>
    </row>
    <row r="86" spans="1:15" ht="12.75">
      <c r="A86" s="225"/>
      <c r="B86" s="301" t="s">
        <v>118</v>
      </c>
      <c r="C86" s="309" t="s">
        <v>564</v>
      </c>
      <c r="D86" s="287"/>
      <c r="E86" s="287"/>
      <c r="F86" s="303">
        <v>500</v>
      </c>
      <c r="G86" s="287"/>
      <c r="H86" s="287"/>
      <c r="I86" s="287"/>
      <c r="J86" s="226">
        <f>SUM(D86:I86)</f>
        <v>500</v>
      </c>
      <c r="K86" s="287"/>
      <c r="L86" s="287"/>
      <c r="M86" s="287"/>
      <c r="N86" s="335">
        <f>J86</f>
        <v>500</v>
      </c>
      <c r="O86" s="290"/>
    </row>
    <row r="87" spans="1:15" ht="13.5" thickBot="1">
      <c r="A87" s="212"/>
      <c r="B87" s="215" t="s">
        <v>119</v>
      </c>
      <c r="C87" s="328" t="s">
        <v>565</v>
      </c>
      <c r="D87" s="192"/>
      <c r="E87" s="192"/>
      <c r="F87" s="331"/>
      <c r="G87" s="192"/>
      <c r="H87" s="192"/>
      <c r="I87" s="192"/>
      <c r="J87" s="198">
        <v>0</v>
      </c>
      <c r="K87" s="192">
        <v>356</v>
      </c>
      <c r="L87" s="192"/>
      <c r="M87" s="192"/>
      <c r="N87" s="332">
        <v>356</v>
      </c>
      <c r="O87" s="224"/>
    </row>
    <row r="88" spans="1:15" ht="12.75" customHeight="1">
      <c r="A88" s="201" t="s">
        <v>125</v>
      </c>
      <c r="B88" s="202"/>
      <c r="C88" s="304" t="s">
        <v>200</v>
      </c>
      <c r="D88" s="285">
        <f>SUM(D89:D100)</f>
        <v>2647</v>
      </c>
      <c r="E88" s="285">
        <f>SUM(E89:E100)</f>
        <v>794</v>
      </c>
      <c r="F88" s="285">
        <f>SUM(F89:F101)</f>
        <v>8583</v>
      </c>
      <c r="G88" s="285">
        <f>SUM(G89:G97)</f>
        <v>0</v>
      </c>
      <c r="H88" s="285">
        <f>SUM(H89:H101)</f>
        <v>2141</v>
      </c>
      <c r="I88" s="285">
        <f>SUM(I89:I97)</f>
        <v>47873</v>
      </c>
      <c r="J88" s="285">
        <f>SUM(J89:J101)</f>
        <v>62038</v>
      </c>
      <c r="K88" s="285">
        <f>SUM(K89:K98)</f>
        <v>45400</v>
      </c>
      <c r="L88" s="285">
        <f>SUM(L89:L97)</f>
        <v>7240</v>
      </c>
      <c r="M88" s="285">
        <f>SUM(M89:M97)</f>
        <v>0</v>
      </c>
      <c r="N88" s="304">
        <f>SUM(N89:N101)</f>
        <v>114678</v>
      </c>
      <c r="O88" s="354">
        <f>SUM(O89:O93)</f>
        <v>0</v>
      </c>
    </row>
    <row r="89" spans="1:15" ht="11.25" customHeight="1">
      <c r="A89" s="204"/>
      <c r="B89" s="206" t="s">
        <v>15</v>
      </c>
      <c r="C89" s="188" t="s">
        <v>135</v>
      </c>
      <c r="D89" s="190">
        <v>0</v>
      </c>
      <c r="E89" s="190">
        <v>0</v>
      </c>
      <c r="F89" s="189">
        <v>0</v>
      </c>
      <c r="G89" s="190">
        <v>0</v>
      </c>
      <c r="H89" s="190">
        <v>0</v>
      </c>
      <c r="I89" s="190">
        <v>0</v>
      </c>
      <c r="J89" s="194">
        <f aca="true" t="shared" si="22" ref="J89:J102">SUM(D89:I89)</f>
        <v>0</v>
      </c>
      <c r="K89" s="190">
        <v>0</v>
      </c>
      <c r="L89" s="190">
        <v>4000</v>
      </c>
      <c r="M89" s="190">
        <v>0</v>
      </c>
      <c r="N89" s="334">
        <f aca="true" t="shared" si="23" ref="N89:N102">SUM(J89:M89)</f>
        <v>4000</v>
      </c>
      <c r="O89" s="197"/>
    </row>
    <row r="90" spans="1:15" ht="11.25" customHeight="1">
      <c r="A90" s="204"/>
      <c r="B90" s="206" t="s">
        <v>17</v>
      </c>
      <c r="C90" s="188" t="s">
        <v>282</v>
      </c>
      <c r="D90" s="190">
        <v>0</v>
      </c>
      <c r="E90" s="190">
        <v>0</v>
      </c>
      <c r="F90" s="189">
        <v>0</v>
      </c>
      <c r="G90" s="190">
        <v>0</v>
      </c>
      <c r="H90" s="190">
        <v>400</v>
      </c>
      <c r="I90" s="190">
        <v>0</v>
      </c>
      <c r="J90" s="194">
        <f t="shared" si="22"/>
        <v>400</v>
      </c>
      <c r="K90" s="190">
        <v>0</v>
      </c>
      <c r="L90" s="190">
        <v>0</v>
      </c>
      <c r="M90" s="190">
        <v>0</v>
      </c>
      <c r="N90" s="334">
        <f t="shared" si="23"/>
        <v>400</v>
      </c>
      <c r="O90" s="197"/>
    </row>
    <row r="91" spans="1:15" ht="11.25" customHeight="1">
      <c r="A91" s="204"/>
      <c r="B91" s="206" t="s">
        <v>19</v>
      </c>
      <c r="C91" s="188" t="s">
        <v>283</v>
      </c>
      <c r="D91" s="190">
        <v>240</v>
      </c>
      <c r="E91" s="190">
        <v>23</v>
      </c>
      <c r="F91" s="189">
        <f>636+48-263+32</f>
        <v>453</v>
      </c>
      <c r="G91" s="190">
        <v>0</v>
      </c>
      <c r="H91" s="190">
        <v>0</v>
      </c>
      <c r="I91" s="190">
        <v>0</v>
      </c>
      <c r="J91" s="194">
        <f t="shared" si="22"/>
        <v>716</v>
      </c>
      <c r="K91" s="190">
        <v>0</v>
      </c>
      <c r="L91" s="190">
        <v>0</v>
      </c>
      <c r="M91" s="190">
        <v>0</v>
      </c>
      <c r="N91" s="334">
        <f t="shared" si="23"/>
        <v>716</v>
      </c>
      <c r="O91" s="197"/>
    </row>
    <row r="92" spans="1:15" ht="11.25" customHeight="1">
      <c r="A92" s="204"/>
      <c r="B92" s="206" t="s">
        <v>21</v>
      </c>
      <c r="C92" s="188" t="s">
        <v>284</v>
      </c>
      <c r="D92" s="189">
        <v>0</v>
      </c>
      <c r="E92" s="190">
        <v>0</v>
      </c>
      <c r="F92" s="189">
        <v>0</v>
      </c>
      <c r="G92" s="190">
        <v>0</v>
      </c>
      <c r="H92" s="190">
        <v>0</v>
      </c>
      <c r="I92" s="190">
        <f>32965+196+184-600+13963-7068</f>
        <v>39640</v>
      </c>
      <c r="J92" s="194">
        <f t="shared" si="22"/>
        <v>39640</v>
      </c>
      <c r="K92" s="190">
        <v>0</v>
      </c>
      <c r="L92" s="190">
        <f>3240</f>
        <v>3240</v>
      </c>
      <c r="M92" s="190">
        <v>0</v>
      </c>
      <c r="N92" s="334">
        <f t="shared" si="23"/>
        <v>42880</v>
      </c>
      <c r="O92" s="197"/>
    </row>
    <row r="93" spans="1:15" ht="21">
      <c r="A93" s="225"/>
      <c r="B93" s="301" t="s">
        <v>23</v>
      </c>
      <c r="C93" s="309" t="s">
        <v>340</v>
      </c>
      <c r="D93" s="287">
        <v>0</v>
      </c>
      <c r="E93" s="287">
        <v>0</v>
      </c>
      <c r="F93" s="303">
        <v>0</v>
      </c>
      <c r="G93" s="287">
        <v>0</v>
      </c>
      <c r="H93" s="287">
        <v>0</v>
      </c>
      <c r="I93" s="287">
        <f>6463+1620+150</f>
        <v>8233</v>
      </c>
      <c r="J93" s="226">
        <f t="shared" si="22"/>
        <v>8233</v>
      </c>
      <c r="K93" s="287">
        <v>0</v>
      </c>
      <c r="L93" s="287">
        <v>0</v>
      </c>
      <c r="M93" s="287">
        <v>0</v>
      </c>
      <c r="N93" s="335">
        <f t="shared" si="23"/>
        <v>8233</v>
      </c>
      <c r="O93" s="227"/>
    </row>
    <row r="94" spans="1:15" ht="12.75">
      <c r="A94" s="225"/>
      <c r="B94" s="301" t="s">
        <v>25</v>
      </c>
      <c r="C94" s="309" t="s">
        <v>371</v>
      </c>
      <c r="D94" s="287"/>
      <c r="E94" s="287"/>
      <c r="F94" s="303"/>
      <c r="G94" s="287"/>
      <c r="H94" s="287">
        <v>600</v>
      </c>
      <c r="I94" s="287"/>
      <c r="J94" s="226">
        <f t="shared" si="22"/>
        <v>600</v>
      </c>
      <c r="K94" s="287"/>
      <c r="L94" s="287"/>
      <c r="M94" s="287"/>
      <c r="N94" s="335">
        <f t="shared" si="23"/>
        <v>600</v>
      </c>
      <c r="O94" s="227"/>
    </row>
    <row r="95" spans="1:15" ht="12.75">
      <c r="A95" s="225"/>
      <c r="B95" s="301" t="s">
        <v>27</v>
      </c>
      <c r="C95" s="309" t="s">
        <v>414</v>
      </c>
      <c r="D95" s="287"/>
      <c r="E95" s="287"/>
      <c r="F95" s="303"/>
      <c r="G95" s="287"/>
      <c r="H95" s="287">
        <v>50</v>
      </c>
      <c r="I95" s="287"/>
      <c r="J95" s="226">
        <f t="shared" si="22"/>
        <v>50</v>
      </c>
      <c r="K95" s="287"/>
      <c r="L95" s="287"/>
      <c r="M95" s="287"/>
      <c r="N95" s="335">
        <f t="shared" si="23"/>
        <v>50</v>
      </c>
      <c r="O95" s="227"/>
    </row>
    <row r="96" spans="1:15" ht="12.75">
      <c r="A96" s="225"/>
      <c r="B96" s="301" t="s">
        <v>28</v>
      </c>
      <c r="C96" s="309" t="s">
        <v>449</v>
      </c>
      <c r="D96" s="287"/>
      <c r="E96" s="287"/>
      <c r="F96" s="303"/>
      <c r="G96" s="287"/>
      <c r="H96" s="287">
        <f>4+31+6+40</f>
        <v>81</v>
      </c>
      <c r="I96" s="287"/>
      <c r="J96" s="226">
        <f>SUM(D96:I96)</f>
        <v>81</v>
      </c>
      <c r="K96" s="287"/>
      <c r="L96" s="287"/>
      <c r="M96" s="287"/>
      <c r="N96" s="335">
        <f t="shared" si="23"/>
        <v>81</v>
      </c>
      <c r="O96" s="227"/>
    </row>
    <row r="97" spans="1:15" ht="12.75">
      <c r="A97" s="225"/>
      <c r="B97" s="301" t="s">
        <v>30</v>
      </c>
      <c r="C97" s="309" t="s">
        <v>454</v>
      </c>
      <c r="D97" s="287"/>
      <c r="E97" s="287"/>
      <c r="F97" s="303">
        <f>1849+4818+1267</f>
        <v>7934</v>
      </c>
      <c r="G97" s="287"/>
      <c r="H97" s="287">
        <v>0</v>
      </c>
      <c r="I97" s="287">
        <v>0</v>
      </c>
      <c r="J97" s="226">
        <f t="shared" si="22"/>
        <v>7934</v>
      </c>
      <c r="K97" s="287"/>
      <c r="L97" s="287"/>
      <c r="M97" s="287"/>
      <c r="N97" s="335">
        <f t="shared" si="23"/>
        <v>7934</v>
      </c>
      <c r="O97" s="227"/>
    </row>
    <row r="98" spans="1:15" ht="21">
      <c r="A98" s="225"/>
      <c r="B98" s="301" t="s">
        <v>32</v>
      </c>
      <c r="C98" s="309" t="s">
        <v>476</v>
      </c>
      <c r="D98" s="287"/>
      <c r="E98" s="287"/>
      <c r="F98" s="303"/>
      <c r="G98" s="287"/>
      <c r="H98" s="287"/>
      <c r="I98" s="287"/>
      <c r="J98" s="226">
        <f>0</f>
        <v>0</v>
      </c>
      <c r="K98" s="287">
        <v>45400</v>
      </c>
      <c r="L98" s="287"/>
      <c r="M98" s="287"/>
      <c r="N98" s="335">
        <f t="shared" si="23"/>
        <v>45400</v>
      </c>
      <c r="O98" s="227"/>
    </row>
    <row r="99" spans="1:15" ht="21">
      <c r="A99" s="225"/>
      <c r="B99" s="301" t="s">
        <v>33</v>
      </c>
      <c r="C99" s="309" t="s">
        <v>479</v>
      </c>
      <c r="D99" s="287"/>
      <c r="E99" s="287"/>
      <c r="F99" s="303"/>
      <c r="G99" s="287"/>
      <c r="H99" s="287">
        <v>30</v>
      </c>
      <c r="I99" s="287"/>
      <c r="J99" s="226">
        <f>H99</f>
        <v>30</v>
      </c>
      <c r="K99" s="287"/>
      <c r="L99" s="287"/>
      <c r="M99" s="287"/>
      <c r="N99" s="335">
        <f>J99+K99+L99+M99</f>
        <v>30</v>
      </c>
      <c r="O99" s="227"/>
    </row>
    <row r="100" spans="1:15" ht="12.75">
      <c r="A100" s="225"/>
      <c r="B100" s="301" t="s">
        <v>101</v>
      </c>
      <c r="C100" s="309" t="s">
        <v>502</v>
      </c>
      <c r="D100" s="287">
        <v>2407</v>
      </c>
      <c r="E100" s="287">
        <v>771</v>
      </c>
      <c r="F100" s="303"/>
      <c r="G100" s="287"/>
      <c r="H100" s="287"/>
      <c r="I100" s="287"/>
      <c r="J100" s="226">
        <f>D100+E100</f>
        <v>3178</v>
      </c>
      <c r="K100" s="287"/>
      <c r="L100" s="287"/>
      <c r="M100" s="287"/>
      <c r="N100" s="335">
        <f>J100</f>
        <v>3178</v>
      </c>
      <c r="O100" s="227"/>
    </row>
    <row r="101" spans="1:15" ht="13.5" thickBot="1">
      <c r="A101" s="212"/>
      <c r="B101" s="215" t="s">
        <v>104</v>
      </c>
      <c r="C101" s="328" t="s">
        <v>505</v>
      </c>
      <c r="D101" s="192"/>
      <c r="E101" s="192"/>
      <c r="F101" s="331">
        <f>1176-980</f>
        <v>196</v>
      </c>
      <c r="G101" s="192"/>
      <c r="H101" s="192">
        <v>980</v>
      </c>
      <c r="I101" s="192"/>
      <c r="J101" s="198">
        <f>F101+H101</f>
        <v>1176</v>
      </c>
      <c r="K101" s="192"/>
      <c r="L101" s="192"/>
      <c r="M101" s="192"/>
      <c r="N101" s="332">
        <f>J101</f>
        <v>1176</v>
      </c>
      <c r="O101" s="213"/>
    </row>
    <row r="102" spans="1:15" ht="12.75" customHeight="1" thickBot="1">
      <c r="A102" s="293" t="s">
        <v>190</v>
      </c>
      <c r="B102" s="294"/>
      <c r="C102" s="291" t="s">
        <v>202</v>
      </c>
      <c r="D102" s="283">
        <f>660-200-200</f>
        <v>260</v>
      </c>
      <c r="E102" s="283">
        <f>144-64-64</f>
        <v>16</v>
      </c>
      <c r="F102" s="291">
        <f>1370+31</f>
        <v>1401</v>
      </c>
      <c r="G102" s="283">
        <v>0</v>
      </c>
      <c r="H102" s="283">
        <v>0</v>
      </c>
      <c r="I102" s="283">
        <v>0</v>
      </c>
      <c r="J102" s="283">
        <f t="shared" si="22"/>
        <v>1677</v>
      </c>
      <c r="K102" s="283">
        <v>0</v>
      </c>
      <c r="L102" s="283">
        <v>0</v>
      </c>
      <c r="M102" s="283"/>
      <c r="N102" s="291">
        <f t="shared" si="23"/>
        <v>1677</v>
      </c>
      <c r="O102" s="284"/>
    </row>
    <row r="103" spans="1:15" ht="12.75" customHeight="1">
      <c r="A103" s="210" t="s">
        <v>192</v>
      </c>
      <c r="B103" s="214"/>
      <c r="C103" s="196" t="s">
        <v>204</v>
      </c>
      <c r="D103" s="195">
        <f aca="true" t="shared" si="24" ref="D103:N103">SUM(D104:D110)</f>
        <v>0</v>
      </c>
      <c r="E103" s="195">
        <f t="shared" si="24"/>
        <v>0</v>
      </c>
      <c r="F103" s="196">
        <f t="shared" si="24"/>
        <v>10</v>
      </c>
      <c r="G103" s="195">
        <f t="shared" si="24"/>
        <v>0</v>
      </c>
      <c r="H103" s="195">
        <f t="shared" si="24"/>
        <v>141433</v>
      </c>
      <c r="I103" s="195">
        <f t="shared" si="24"/>
        <v>0</v>
      </c>
      <c r="J103" s="195">
        <f t="shared" si="24"/>
        <v>141443</v>
      </c>
      <c r="K103" s="195">
        <f t="shared" si="24"/>
        <v>0</v>
      </c>
      <c r="L103" s="195">
        <f t="shared" si="24"/>
        <v>0</v>
      </c>
      <c r="M103" s="195">
        <f t="shared" si="24"/>
        <v>0</v>
      </c>
      <c r="N103" s="196">
        <f t="shared" si="24"/>
        <v>141443</v>
      </c>
      <c r="O103" s="199"/>
    </row>
    <row r="104" spans="1:15" ht="12" customHeight="1">
      <c r="A104" s="204"/>
      <c r="B104" s="206" t="s">
        <v>15</v>
      </c>
      <c r="C104" s="188" t="s">
        <v>285</v>
      </c>
      <c r="D104" s="190">
        <v>0</v>
      </c>
      <c r="E104" s="190">
        <v>0</v>
      </c>
      <c r="F104" s="189">
        <v>0</v>
      </c>
      <c r="G104" s="190">
        <v>0</v>
      </c>
      <c r="H104" s="190">
        <v>12000</v>
      </c>
      <c r="I104" s="190">
        <v>0</v>
      </c>
      <c r="J104" s="194">
        <f>SUM(D104:I104)</f>
        <v>12000</v>
      </c>
      <c r="K104" s="190">
        <v>0</v>
      </c>
      <c r="L104" s="190">
        <v>0</v>
      </c>
      <c r="M104" s="190">
        <v>0</v>
      </c>
      <c r="N104" s="334">
        <f aca="true" t="shared" si="25" ref="N104:N110">SUM(J104:M104)</f>
        <v>12000</v>
      </c>
      <c r="O104" s="197"/>
    </row>
    <row r="105" spans="1:15" ht="12" customHeight="1">
      <c r="A105" s="204"/>
      <c r="B105" s="206" t="s">
        <v>17</v>
      </c>
      <c r="C105" s="188" t="s">
        <v>94</v>
      </c>
      <c r="D105" s="190">
        <v>0</v>
      </c>
      <c r="E105" s="190">
        <v>0</v>
      </c>
      <c r="F105" s="189">
        <v>10</v>
      </c>
      <c r="G105" s="190">
        <v>0</v>
      </c>
      <c r="H105" s="190">
        <f>52500-2000-957-10</f>
        <v>49533</v>
      </c>
      <c r="I105" s="190">
        <v>0</v>
      </c>
      <c r="J105" s="194">
        <f aca="true" t="shared" si="26" ref="J105:J158">SUM(D105:I105)</f>
        <v>49543</v>
      </c>
      <c r="K105" s="190">
        <v>0</v>
      </c>
      <c r="L105" s="190">
        <v>0</v>
      </c>
      <c r="M105" s="190">
        <v>0</v>
      </c>
      <c r="N105" s="334">
        <f t="shared" si="25"/>
        <v>49543</v>
      </c>
      <c r="O105" s="197"/>
    </row>
    <row r="106" spans="1:15" ht="12" customHeight="1">
      <c r="A106" s="204"/>
      <c r="B106" s="206" t="s">
        <v>19</v>
      </c>
      <c r="C106" s="188" t="s">
        <v>286</v>
      </c>
      <c r="D106" s="190">
        <v>0</v>
      </c>
      <c r="E106" s="190">
        <v>0</v>
      </c>
      <c r="F106" s="189">
        <v>0</v>
      </c>
      <c r="G106" s="190">
        <v>0</v>
      </c>
      <c r="H106" s="190">
        <v>57000</v>
      </c>
      <c r="I106" s="190">
        <v>0</v>
      </c>
      <c r="J106" s="194">
        <f t="shared" si="26"/>
        <v>57000</v>
      </c>
      <c r="K106" s="190">
        <v>0</v>
      </c>
      <c r="L106" s="190">
        <v>0</v>
      </c>
      <c r="M106" s="190">
        <v>0</v>
      </c>
      <c r="N106" s="334">
        <f t="shared" si="25"/>
        <v>57000</v>
      </c>
      <c r="O106" s="197"/>
    </row>
    <row r="107" spans="1:15" ht="12" customHeight="1">
      <c r="A107" s="204"/>
      <c r="B107" s="206" t="s">
        <v>21</v>
      </c>
      <c r="C107" s="188" t="s">
        <v>231</v>
      </c>
      <c r="D107" s="190">
        <v>0</v>
      </c>
      <c r="E107" s="190">
        <v>0</v>
      </c>
      <c r="F107" s="189">
        <v>0</v>
      </c>
      <c r="G107" s="190">
        <v>0</v>
      </c>
      <c r="H107" s="190">
        <v>7000</v>
      </c>
      <c r="I107" s="190">
        <v>0</v>
      </c>
      <c r="J107" s="194">
        <f t="shared" si="26"/>
        <v>7000</v>
      </c>
      <c r="K107" s="190">
        <v>0</v>
      </c>
      <c r="L107" s="190">
        <v>0</v>
      </c>
      <c r="M107" s="190">
        <v>0</v>
      </c>
      <c r="N107" s="334">
        <f t="shared" si="25"/>
        <v>7000</v>
      </c>
      <c r="O107" s="197"/>
    </row>
    <row r="108" spans="1:15" ht="12" customHeight="1">
      <c r="A108" s="204"/>
      <c r="B108" s="206" t="s">
        <v>23</v>
      </c>
      <c r="C108" s="188" t="s">
        <v>96</v>
      </c>
      <c r="D108" s="190">
        <v>0</v>
      </c>
      <c r="E108" s="190">
        <v>0</v>
      </c>
      <c r="F108" s="189">
        <v>0</v>
      </c>
      <c r="G108" s="190">
        <v>0</v>
      </c>
      <c r="H108" s="190">
        <v>15000</v>
      </c>
      <c r="I108" s="190">
        <v>0</v>
      </c>
      <c r="J108" s="194">
        <f t="shared" si="26"/>
        <v>15000</v>
      </c>
      <c r="K108" s="190">
        <v>0</v>
      </c>
      <c r="L108" s="190">
        <v>0</v>
      </c>
      <c r="M108" s="190">
        <v>0</v>
      </c>
      <c r="N108" s="334">
        <f t="shared" si="25"/>
        <v>15000</v>
      </c>
      <c r="O108" s="197"/>
    </row>
    <row r="109" spans="1:15" ht="12" customHeight="1">
      <c r="A109" s="204"/>
      <c r="B109" s="206" t="s">
        <v>25</v>
      </c>
      <c r="C109" s="188" t="s">
        <v>287</v>
      </c>
      <c r="D109" s="190">
        <v>0</v>
      </c>
      <c r="E109" s="190">
        <v>0</v>
      </c>
      <c r="F109" s="189">
        <v>0</v>
      </c>
      <c r="G109" s="190">
        <v>0</v>
      </c>
      <c r="H109" s="190">
        <v>200</v>
      </c>
      <c r="I109" s="190">
        <v>0</v>
      </c>
      <c r="J109" s="194">
        <f t="shared" si="26"/>
        <v>200</v>
      </c>
      <c r="K109" s="190">
        <v>0</v>
      </c>
      <c r="L109" s="190">
        <v>0</v>
      </c>
      <c r="M109" s="190">
        <v>0</v>
      </c>
      <c r="N109" s="334">
        <f t="shared" si="25"/>
        <v>200</v>
      </c>
      <c r="O109" s="197"/>
    </row>
    <row r="110" spans="1:15" ht="12" customHeight="1" thickBot="1">
      <c r="A110" s="225"/>
      <c r="B110" s="301" t="s">
        <v>27</v>
      </c>
      <c r="C110" s="308" t="s">
        <v>288</v>
      </c>
      <c r="D110" s="287">
        <v>0</v>
      </c>
      <c r="E110" s="287">
        <v>0</v>
      </c>
      <c r="F110" s="303">
        <v>0</v>
      </c>
      <c r="G110" s="287">
        <v>0</v>
      </c>
      <c r="H110" s="287">
        <f>100+225+375</f>
        <v>700</v>
      </c>
      <c r="I110" s="287">
        <v>0</v>
      </c>
      <c r="J110" s="226">
        <f t="shared" si="26"/>
        <v>700</v>
      </c>
      <c r="K110" s="287">
        <v>0</v>
      </c>
      <c r="L110" s="287">
        <v>0</v>
      </c>
      <c r="M110" s="287">
        <v>0</v>
      </c>
      <c r="N110" s="335">
        <f t="shared" si="25"/>
        <v>700</v>
      </c>
      <c r="O110" s="227"/>
    </row>
    <row r="111" spans="1:15" ht="12.75" customHeight="1">
      <c r="A111" s="201" t="s">
        <v>194</v>
      </c>
      <c r="B111" s="202"/>
      <c r="C111" s="304" t="s">
        <v>206</v>
      </c>
      <c r="D111" s="285">
        <f aca="true" t="shared" si="27" ref="D111:I111">SUM(D112:D120)</f>
        <v>0</v>
      </c>
      <c r="E111" s="285">
        <f t="shared" si="27"/>
        <v>0</v>
      </c>
      <c r="F111" s="304">
        <f t="shared" si="27"/>
        <v>0</v>
      </c>
      <c r="G111" s="285">
        <f t="shared" si="27"/>
        <v>0</v>
      </c>
      <c r="H111" s="285">
        <f t="shared" si="27"/>
        <v>17692</v>
      </c>
      <c r="I111" s="285">
        <f t="shared" si="27"/>
        <v>35</v>
      </c>
      <c r="J111" s="285">
        <f t="shared" si="26"/>
        <v>17727</v>
      </c>
      <c r="K111" s="285">
        <f>SUM(K112:K120)</f>
        <v>0</v>
      </c>
      <c r="L111" s="285">
        <f>SUM(L112:L120)</f>
        <v>0</v>
      </c>
      <c r="M111" s="285">
        <f>SUM(M112:M120)</f>
        <v>0</v>
      </c>
      <c r="N111" s="304">
        <f>SUM(N112:N120)</f>
        <v>17727</v>
      </c>
      <c r="O111" s="305"/>
    </row>
    <row r="112" spans="1:15" ht="12.75" customHeight="1">
      <c r="A112" s="204"/>
      <c r="B112" s="206" t="s">
        <v>15</v>
      </c>
      <c r="C112" s="188" t="s">
        <v>289</v>
      </c>
      <c r="D112" s="190">
        <v>0</v>
      </c>
      <c r="E112" s="190">
        <v>0</v>
      </c>
      <c r="F112" s="189">
        <v>0</v>
      </c>
      <c r="G112" s="190">
        <v>0</v>
      </c>
      <c r="H112" s="190">
        <f>5000+30</f>
        <v>5030</v>
      </c>
      <c r="I112" s="190">
        <v>0</v>
      </c>
      <c r="J112" s="194">
        <f t="shared" si="26"/>
        <v>5030</v>
      </c>
      <c r="K112" s="190">
        <v>0</v>
      </c>
      <c r="L112" s="190">
        <v>0</v>
      </c>
      <c r="M112" s="190">
        <v>0</v>
      </c>
      <c r="N112" s="334">
        <f aca="true" t="shared" si="28" ref="N112:N120">SUM(J112:M112)</f>
        <v>5030</v>
      </c>
      <c r="O112" s="197"/>
    </row>
    <row r="113" spans="1:15" ht="12.75" customHeight="1">
      <c r="A113" s="204"/>
      <c r="B113" s="206" t="s">
        <v>17</v>
      </c>
      <c r="C113" s="188" t="s">
        <v>290</v>
      </c>
      <c r="D113" s="190">
        <v>0</v>
      </c>
      <c r="E113" s="190">
        <v>0</v>
      </c>
      <c r="F113" s="189">
        <v>0</v>
      </c>
      <c r="G113" s="190">
        <v>0</v>
      </c>
      <c r="H113" s="190">
        <f>2000+47</f>
        <v>2047</v>
      </c>
      <c r="I113" s="190">
        <v>0</v>
      </c>
      <c r="J113" s="194">
        <f t="shared" si="26"/>
        <v>2047</v>
      </c>
      <c r="K113" s="190">
        <v>0</v>
      </c>
      <c r="L113" s="190">
        <v>0</v>
      </c>
      <c r="M113" s="190">
        <v>0</v>
      </c>
      <c r="N113" s="334">
        <f t="shared" si="28"/>
        <v>2047</v>
      </c>
      <c r="O113" s="197"/>
    </row>
    <row r="114" spans="1:15" ht="12.75" customHeight="1">
      <c r="A114" s="204"/>
      <c r="B114" s="206" t="s">
        <v>19</v>
      </c>
      <c r="C114" s="188" t="s">
        <v>291</v>
      </c>
      <c r="D114" s="190">
        <v>0</v>
      </c>
      <c r="E114" s="190">
        <v>0</v>
      </c>
      <c r="F114" s="189">
        <v>0</v>
      </c>
      <c r="G114" s="190">
        <v>0</v>
      </c>
      <c r="H114" s="190">
        <v>800</v>
      </c>
      <c r="I114" s="190">
        <v>0</v>
      </c>
      <c r="J114" s="194">
        <f t="shared" si="26"/>
        <v>800</v>
      </c>
      <c r="K114" s="190">
        <v>0</v>
      </c>
      <c r="L114" s="190">
        <v>0</v>
      </c>
      <c r="M114" s="190">
        <v>0</v>
      </c>
      <c r="N114" s="334">
        <f t="shared" si="28"/>
        <v>800</v>
      </c>
      <c r="O114" s="197"/>
    </row>
    <row r="115" spans="1:15" ht="12.75" customHeight="1">
      <c r="A115" s="204"/>
      <c r="B115" s="206" t="s">
        <v>21</v>
      </c>
      <c r="C115" s="188" t="s">
        <v>292</v>
      </c>
      <c r="D115" s="190">
        <v>0</v>
      </c>
      <c r="E115" s="190">
        <v>0</v>
      </c>
      <c r="F115" s="189">
        <v>0</v>
      </c>
      <c r="G115" s="190">
        <v>0</v>
      </c>
      <c r="H115" s="190">
        <f>300+50</f>
        <v>350</v>
      </c>
      <c r="I115" s="190">
        <v>0</v>
      </c>
      <c r="J115" s="194">
        <f t="shared" si="26"/>
        <v>350</v>
      </c>
      <c r="K115" s="190">
        <v>0</v>
      </c>
      <c r="L115" s="190">
        <v>0</v>
      </c>
      <c r="M115" s="190">
        <v>0</v>
      </c>
      <c r="N115" s="334">
        <f t="shared" si="28"/>
        <v>350</v>
      </c>
      <c r="O115" s="197"/>
    </row>
    <row r="116" spans="1:15" ht="12.75" customHeight="1">
      <c r="A116" s="204"/>
      <c r="B116" s="206" t="s">
        <v>23</v>
      </c>
      <c r="C116" s="209" t="s">
        <v>293</v>
      </c>
      <c r="D116" s="190">
        <v>0</v>
      </c>
      <c r="E116" s="190">
        <v>0</v>
      </c>
      <c r="F116" s="189">
        <v>0</v>
      </c>
      <c r="G116" s="190">
        <v>0</v>
      </c>
      <c r="H116" s="190">
        <v>500</v>
      </c>
      <c r="I116" s="190">
        <v>0</v>
      </c>
      <c r="J116" s="194">
        <f t="shared" si="26"/>
        <v>500</v>
      </c>
      <c r="K116" s="190">
        <v>0</v>
      </c>
      <c r="L116" s="190">
        <v>0</v>
      </c>
      <c r="M116" s="190">
        <v>0</v>
      </c>
      <c r="N116" s="334">
        <f t="shared" si="28"/>
        <v>500</v>
      </c>
      <c r="O116" s="197"/>
    </row>
    <row r="117" spans="1:15" ht="12.75" customHeight="1">
      <c r="A117" s="204"/>
      <c r="B117" s="206" t="s">
        <v>25</v>
      </c>
      <c r="C117" s="209" t="s">
        <v>294</v>
      </c>
      <c r="D117" s="190">
        <v>0</v>
      </c>
      <c r="E117" s="190">
        <v>0</v>
      </c>
      <c r="F117" s="189">
        <v>0</v>
      </c>
      <c r="G117" s="190">
        <v>0</v>
      </c>
      <c r="H117" s="190">
        <v>500</v>
      </c>
      <c r="I117" s="190">
        <v>0</v>
      </c>
      <c r="J117" s="194">
        <f t="shared" si="26"/>
        <v>500</v>
      </c>
      <c r="K117" s="190">
        <v>0</v>
      </c>
      <c r="L117" s="190">
        <v>0</v>
      </c>
      <c r="M117" s="190">
        <v>0</v>
      </c>
      <c r="N117" s="334">
        <f t="shared" si="28"/>
        <v>500</v>
      </c>
      <c r="O117" s="197"/>
    </row>
    <row r="118" spans="1:15" ht="12.75" customHeight="1">
      <c r="A118" s="204"/>
      <c r="B118" s="206" t="s">
        <v>27</v>
      </c>
      <c r="C118" s="209" t="s">
        <v>295</v>
      </c>
      <c r="D118" s="190">
        <v>0</v>
      </c>
      <c r="E118" s="190">
        <v>0</v>
      </c>
      <c r="F118" s="189">
        <v>0</v>
      </c>
      <c r="G118" s="190">
        <v>0</v>
      </c>
      <c r="H118" s="190">
        <v>500</v>
      </c>
      <c r="I118" s="190">
        <v>0</v>
      </c>
      <c r="J118" s="194">
        <f t="shared" si="26"/>
        <v>500</v>
      </c>
      <c r="K118" s="190">
        <v>0</v>
      </c>
      <c r="L118" s="190">
        <v>0</v>
      </c>
      <c r="M118" s="190">
        <v>0</v>
      </c>
      <c r="N118" s="334">
        <f t="shared" si="28"/>
        <v>500</v>
      </c>
      <c r="O118" s="197"/>
    </row>
    <row r="119" spans="1:15" ht="12.75" customHeight="1">
      <c r="A119" s="204"/>
      <c r="B119" s="206" t="s">
        <v>28</v>
      </c>
      <c r="C119" s="209" t="s">
        <v>296</v>
      </c>
      <c r="D119" s="190">
        <v>0</v>
      </c>
      <c r="E119" s="190">
        <v>0</v>
      </c>
      <c r="F119" s="189">
        <v>0</v>
      </c>
      <c r="G119" s="190">
        <v>0</v>
      </c>
      <c r="H119" s="190">
        <f>5000-35</f>
        <v>4965</v>
      </c>
      <c r="I119" s="190">
        <v>35</v>
      </c>
      <c r="J119" s="194">
        <f t="shared" si="26"/>
        <v>5000</v>
      </c>
      <c r="K119" s="190">
        <v>0</v>
      </c>
      <c r="L119" s="190">
        <v>0</v>
      </c>
      <c r="M119" s="190">
        <v>0</v>
      </c>
      <c r="N119" s="334">
        <f t="shared" si="28"/>
        <v>5000</v>
      </c>
      <c r="O119" s="197"/>
    </row>
    <row r="120" spans="1:15" ht="12.75" customHeight="1" thickBot="1">
      <c r="A120" s="225"/>
      <c r="B120" s="301" t="s">
        <v>30</v>
      </c>
      <c r="C120" s="308" t="s">
        <v>297</v>
      </c>
      <c r="D120" s="287">
        <v>0</v>
      </c>
      <c r="E120" s="287">
        <v>0</v>
      </c>
      <c r="F120" s="303">
        <v>0</v>
      </c>
      <c r="G120" s="287">
        <v>0</v>
      </c>
      <c r="H120" s="287">
        <v>3000</v>
      </c>
      <c r="I120" s="287">
        <v>0</v>
      </c>
      <c r="J120" s="226">
        <f t="shared" si="26"/>
        <v>3000</v>
      </c>
      <c r="K120" s="287">
        <v>0</v>
      </c>
      <c r="L120" s="287">
        <v>0</v>
      </c>
      <c r="M120" s="287">
        <v>0</v>
      </c>
      <c r="N120" s="335">
        <f t="shared" si="28"/>
        <v>3000</v>
      </c>
      <c r="O120" s="227"/>
    </row>
    <row r="121" spans="1:15" ht="12.75" customHeight="1">
      <c r="A121" s="201" t="s">
        <v>196</v>
      </c>
      <c r="B121" s="202"/>
      <c r="C121" s="304" t="s">
        <v>208</v>
      </c>
      <c r="D121" s="285">
        <f>D122</f>
        <v>0</v>
      </c>
      <c r="E121" s="285">
        <f aca="true" t="shared" si="29" ref="E121:M121">E122</f>
        <v>0</v>
      </c>
      <c r="F121" s="285">
        <f t="shared" si="29"/>
        <v>5</v>
      </c>
      <c r="G121" s="285">
        <f t="shared" si="29"/>
        <v>0</v>
      </c>
      <c r="H121" s="285">
        <f t="shared" si="29"/>
        <v>0</v>
      </c>
      <c r="I121" s="285">
        <f t="shared" si="29"/>
        <v>0</v>
      </c>
      <c r="J121" s="285">
        <f t="shared" si="29"/>
        <v>5</v>
      </c>
      <c r="K121" s="285">
        <f>K122+K123</f>
        <v>14550</v>
      </c>
      <c r="L121" s="285">
        <f t="shared" si="29"/>
        <v>600</v>
      </c>
      <c r="M121" s="285">
        <f t="shared" si="29"/>
        <v>0</v>
      </c>
      <c r="N121" s="285">
        <f>N122+N123</f>
        <v>15155</v>
      </c>
      <c r="O121" s="354"/>
    </row>
    <row r="122" spans="1:15" ht="12.75" customHeight="1">
      <c r="A122" s="204"/>
      <c r="B122" s="206" t="s">
        <v>15</v>
      </c>
      <c r="C122" s="188" t="s">
        <v>298</v>
      </c>
      <c r="D122" s="190">
        <v>0</v>
      </c>
      <c r="E122" s="190">
        <v>0</v>
      </c>
      <c r="F122" s="189">
        <v>5</v>
      </c>
      <c r="G122" s="190">
        <v>0</v>
      </c>
      <c r="H122" s="190">
        <v>0</v>
      </c>
      <c r="I122" s="190">
        <v>0</v>
      </c>
      <c r="J122" s="194">
        <f t="shared" si="26"/>
        <v>5</v>
      </c>
      <c r="K122" s="190">
        <f>6700+1340+2880</f>
        <v>10920</v>
      </c>
      <c r="L122" s="190">
        <v>600</v>
      </c>
      <c r="M122" s="195">
        <v>0</v>
      </c>
      <c r="N122" s="334">
        <f>SUM(J122:M122)</f>
        <v>11525</v>
      </c>
      <c r="O122" s="197"/>
    </row>
    <row r="123" spans="1:15" ht="12.75" customHeight="1" thickBot="1">
      <c r="A123" s="210"/>
      <c r="B123" s="211" t="s">
        <v>17</v>
      </c>
      <c r="C123" s="231" t="s">
        <v>520</v>
      </c>
      <c r="D123" s="229">
        <v>0</v>
      </c>
      <c r="E123" s="229">
        <v>0</v>
      </c>
      <c r="F123" s="254">
        <v>0</v>
      </c>
      <c r="G123" s="229">
        <v>0</v>
      </c>
      <c r="H123" s="229">
        <v>0</v>
      </c>
      <c r="I123" s="229">
        <v>0</v>
      </c>
      <c r="J123" s="195">
        <v>0</v>
      </c>
      <c r="K123" s="229">
        <v>3630</v>
      </c>
      <c r="L123" s="229">
        <v>0</v>
      </c>
      <c r="M123" s="195">
        <v>0</v>
      </c>
      <c r="N123" s="196">
        <f>J123+K123</f>
        <v>3630</v>
      </c>
      <c r="O123" s="199"/>
    </row>
    <row r="124" spans="1:15" ht="12.75" customHeight="1">
      <c r="A124" s="201" t="s">
        <v>199</v>
      </c>
      <c r="B124" s="202"/>
      <c r="C124" s="304" t="s">
        <v>210</v>
      </c>
      <c r="D124" s="285">
        <f aca="true" t="shared" si="30" ref="D124:M124">SUM(D125:D128)</f>
        <v>0</v>
      </c>
      <c r="E124" s="285">
        <f t="shared" si="30"/>
        <v>0</v>
      </c>
      <c r="F124" s="304">
        <f>SUM(F125:F130)</f>
        <v>69586</v>
      </c>
      <c r="G124" s="285">
        <f t="shared" si="30"/>
        <v>0</v>
      </c>
      <c r="H124" s="285">
        <f t="shared" si="30"/>
        <v>0</v>
      </c>
      <c r="I124" s="285">
        <f t="shared" si="30"/>
        <v>0</v>
      </c>
      <c r="J124" s="285">
        <f>SUM(J125:J130)</f>
        <v>69586</v>
      </c>
      <c r="K124" s="285">
        <f>SUM(K125:K129)</f>
        <v>1650</v>
      </c>
      <c r="L124" s="285">
        <f t="shared" si="30"/>
        <v>0</v>
      </c>
      <c r="M124" s="285">
        <f t="shared" si="30"/>
        <v>0</v>
      </c>
      <c r="N124" s="304">
        <f>SUM(N125:N130)</f>
        <v>71236</v>
      </c>
      <c r="O124" s="193"/>
    </row>
    <row r="125" spans="1:15" ht="12" customHeight="1">
      <c r="A125" s="204"/>
      <c r="B125" s="206" t="s">
        <v>15</v>
      </c>
      <c r="C125" s="188" t="s">
        <v>299</v>
      </c>
      <c r="D125" s="190">
        <v>0</v>
      </c>
      <c r="E125" s="190">
        <v>0</v>
      </c>
      <c r="F125" s="189">
        <f>22418+3831</f>
        <v>26249</v>
      </c>
      <c r="G125" s="190">
        <v>0</v>
      </c>
      <c r="H125" s="190">
        <v>0</v>
      </c>
      <c r="I125" s="190">
        <v>0</v>
      </c>
      <c r="J125" s="194">
        <f t="shared" si="26"/>
        <v>26249</v>
      </c>
      <c r="K125" s="190">
        <v>0</v>
      </c>
      <c r="L125" s="190">
        <v>0</v>
      </c>
      <c r="M125" s="190">
        <v>0</v>
      </c>
      <c r="N125" s="334">
        <f>SUM(J125:M125)</f>
        <v>26249</v>
      </c>
      <c r="O125" s="191"/>
    </row>
    <row r="126" spans="1:15" ht="12" customHeight="1">
      <c r="A126" s="204"/>
      <c r="B126" s="206" t="s">
        <v>17</v>
      </c>
      <c r="C126" s="188" t="s">
        <v>300</v>
      </c>
      <c r="D126" s="190">
        <v>0</v>
      </c>
      <c r="E126" s="190">
        <v>0</v>
      </c>
      <c r="F126" s="189">
        <f>31620+120+4754+20+300</f>
        <v>36814</v>
      </c>
      <c r="G126" s="190">
        <v>0</v>
      </c>
      <c r="H126" s="190">
        <v>0</v>
      </c>
      <c r="I126" s="190">
        <v>0</v>
      </c>
      <c r="J126" s="194">
        <f t="shared" si="26"/>
        <v>36814</v>
      </c>
      <c r="K126" s="190">
        <v>0</v>
      </c>
      <c r="L126" s="190">
        <v>0</v>
      </c>
      <c r="M126" s="190">
        <v>0</v>
      </c>
      <c r="N126" s="334">
        <f>SUM(J126:M126)</f>
        <v>36814</v>
      </c>
      <c r="O126" s="191"/>
    </row>
    <row r="127" spans="1:15" ht="12" customHeight="1">
      <c r="A127" s="204"/>
      <c r="B127" s="206" t="s">
        <v>19</v>
      </c>
      <c r="C127" s="188" t="s">
        <v>301</v>
      </c>
      <c r="D127" s="190">
        <v>0</v>
      </c>
      <c r="E127" s="190">
        <v>0</v>
      </c>
      <c r="F127" s="189">
        <v>1854</v>
      </c>
      <c r="G127" s="190">
        <v>0</v>
      </c>
      <c r="H127" s="190">
        <v>0</v>
      </c>
      <c r="I127" s="190">
        <v>0</v>
      </c>
      <c r="J127" s="194">
        <f t="shared" si="26"/>
        <v>1854</v>
      </c>
      <c r="K127" s="190">
        <v>0</v>
      </c>
      <c r="L127" s="190">
        <v>0</v>
      </c>
      <c r="M127" s="190">
        <v>0</v>
      </c>
      <c r="N127" s="334">
        <f>SUM(J127:M127)</f>
        <v>1854</v>
      </c>
      <c r="O127" s="191"/>
    </row>
    <row r="128" spans="1:15" ht="12" customHeight="1">
      <c r="A128" s="225"/>
      <c r="B128" s="301" t="s">
        <v>21</v>
      </c>
      <c r="C128" s="302" t="s">
        <v>302</v>
      </c>
      <c r="D128" s="287">
        <v>0</v>
      </c>
      <c r="E128" s="287">
        <v>0</v>
      </c>
      <c r="F128" s="303">
        <v>3000</v>
      </c>
      <c r="G128" s="287">
        <v>0</v>
      </c>
      <c r="H128" s="287">
        <v>0</v>
      </c>
      <c r="I128" s="287">
        <v>0</v>
      </c>
      <c r="J128" s="226">
        <f t="shared" si="26"/>
        <v>3000</v>
      </c>
      <c r="K128" s="287">
        <v>0</v>
      </c>
      <c r="L128" s="287">
        <v>0</v>
      </c>
      <c r="M128" s="287">
        <v>0</v>
      </c>
      <c r="N128" s="335">
        <f>SUM(J128:M128)</f>
        <v>3000</v>
      </c>
      <c r="O128" s="290"/>
    </row>
    <row r="129" spans="1:15" ht="12" customHeight="1">
      <c r="A129" s="225"/>
      <c r="B129" s="301" t="s">
        <v>23</v>
      </c>
      <c r="C129" s="302" t="s">
        <v>508</v>
      </c>
      <c r="D129" s="287"/>
      <c r="E129" s="287"/>
      <c r="F129" s="303"/>
      <c r="G129" s="287"/>
      <c r="H129" s="287"/>
      <c r="I129" s="287"/>
      <c r="J129" s="226">
        <v>0</v>
      </c>
      <c r="K129" s="287">
        <v>1650</v>
      </c>
      <c r="L129" s="287"/>
      <c r="M129" s="287"/>
      <c r="N129" s="335">
        <f>K129</f>
        <v>1650</v>
      </c>
      <c r="O129" s="290"/>
    </row>
    <row r="130" spans="1:15" ht="12" customHeight="1" thickBot="1">
      <c r="A130" s="212"/>
      <c r="B130" s="215" t="s">
        <v>25</v>
      </c>
      <c r="C130" s="230" t="s">
        <v>530</v>
      </c>
      <c r="D130" s="192"/>
      <c r="E130" s="192"/>
      <c r="F130" s="331">
        <v>1669</v>
      </c>
      <c r="G130" s="192"/>
      <c r="H130" s="192"/>
      <c r="I130" s="192"/>
      <c r="J130" s="198">
        <f>F130</f>
        <v>1669</v>
      </c>
      <c r="K130" s="192"/>
      <c r="L130" s="192"/>
      <c r="M130" s="192"/>
      <c r="N130" s="332">
        <f>J130</f>
        <v>1669</v>
      </c>
      <c r="O130" s="224"/>
    </row>
    <row r="131" spans="1:15" ht="12.75" customHeight="1">
      <c r="A131" s="201" t="s">
        <v>201</v>
      </c>
      <c r="B131" s="202"/>
      <c r="C131" s="304" t="s">
        <v>212</v>
      </c>
      <c r="D131" s="285">
        <f aca="true" t="shared" si="31" ref="D131:N131">SUM(D132:D151)</f>
        <v>0</v>
      </c>
      <c r="E131" s="285">
        <f t="shared" si="31"/>
        <v>0</v>
      </c>
      <c r="F131" s="285">
        <f t="shared" si="31"/>
        <v>55807</v>
      </c>
      <c r="G131" s="285">
        <f t="shared" si="31"/>
        <v>0</v>
      </c>
      <c r="H131" s="285">
        <f t="shared" si="31"/>
        <v>7233</v>
      </c>
      <c r="I131" s="285">
        <f t="shared" si="31"/>
        <v>0</v>
      </c>
      <c r="J131" s="285">
        <f t="shared" si="31"/>
        <v>63040</v>
      </c>
      <c r="K131" s="285">
        <f t="shared" si="31"/>
        <v>170</v>
      </c>
      <c r="L131" s="285">
        <f t="shared" si="31"/>
        <v>489</v>
      </c>
      <c r="M131" s="285">
        <f t="shared" si="31"/>
        <v>0</v>
      </c>
      <c r="N131" s="304">
        <f t="shared" si="31"/>
        <v>63699</v>
      </c>
      <c r="O131" s="193"/>
    </row>
    <row r="132" spans="1:15" ht="12" customHeight="1">
      <c r="A132" s="204"/>
      <c r="B132" s="206" t="s">
        <v>15</v>
      </c>
      <c r="C132" s="188" t="s">
        <v>303</v>
      </c>
      <c r="D132" s="190">
        <v>0</v>
      </c>
      <c r="E132" s="190">
        <v>0</v>
      </c>
      <c r="F132" s="189">
        <v>0</v>
      </c>
      <c r="G132" s="190">
        <v>0</v>
      </c>
      <c r="H132" s="190">
        <v>450</v>
      </c>
      <c r="I132" s="190">
        <v>0</v>
      </c>
      <c r="J132" s="194">
        <f t="shared" si="26"/>
        <v>450</v>
      </c>
      <c r="K132" s="190">
        <v>0</v>
      </c>
      <c r="L132" s="190">
        <v>0</v>
      </c>
      <c r="M132" s="190">
        <v>0</v>
      </c>
      <c r="N132" s="334">
        <f>SUM(J132:M132)</f>
        <v>450</v>
      </c>
      <c r="O132" s="191"/>
    </row>
    <row r="133" spans="1:15" ht="12" customHeight="1">
      <c r="A133" s="204"/>
      <c r="B133" s="206" t="s">
        <v>17</v>
      </c>
      <c r="C133" s="188" t="s">
        <v>304</v>
      </c>
      <c r="D133" s="190">
        <v>0</v>
      </c>
      <c r="E133" s="190">
        <v>0</v>
      </c>
      <c r="F133" s="189">
        <f>1200+1500</f>
        <v>2700</v>
      </c>
      <c r="G133" s="190">
        <v>0</v>
      </c>
      <c r="H133" s="190">
        <v>0</v>
      </c>
      <c r="I133" s="190">
        <v>0</v>
      </c>
      <c r="J133" s="194">
        <f t="shared" si="26"/>
        <v>2700</v>
      </c>
      <c r="K133" s="190">
        <v>0</v>
      </c>
      <c r="L133" s="190">
        <v>0</v>
      </c>
      <c r="M133" s="190">
        <v>0</v>
      </c>
      <c r="N133" s="334">
        <f aca="true" t="shared" si="32" ref="N133:N152">SUM(J133:M133)</f>
        <v>2700</v>
      </c>
      <c r="O133" s="191"/>
    </row>
    <row r="134" spans="1:15" ht="12" customHeight="1">
      <c r="A134" s="204"/>
      <c r="B134" s="206" t="s">
        <v>19</v>
      </c>
      <c r="C134" s="188" t="s">
        <v>305</v>
      </c>
      <c r="D134" s="190">
        <v>0</v>
      </c>
      <c r="E134" s="190">
        <v>0</v>
      </c>
      <c r="F134" s="189">
        <f>3500+1825+2000</f>
        <v>7325</v>
      </c>
      <c r="G134" s="190">
        <v>0</v>
      </c>
      <c r="H134" s="190">
        <v>0</v>
      </c>
      <c r="I134" s="190">
        <v>0</v>
      </c>
      <c r="J134" s="194">
        <f t="shared" si="26"/>
        <v>7325</v>
      </c>
      <c r="K134" s="190">
        <v>0</v>
      </c>
      <c r="L134" s="190">
        <v>0</v>
      </c>
      <c r="M134" s="190">
        <v>0</v>
      </c>
      <c r="N134" s="334">
        <f t="shared" si="32"/>
        <v>7325</v>
      </c>
      <c r="O134" s="191"/>
    </row>
    <row r="135" spans="1:15" ht="12" customHeight="1">
      <c r="A135" s="204"/>
      <c r="B135" s="206" t="s">
        <v>21</v>
      </c>
      <c r="C135" s="188" t="s">
        <v>306</v>
      </c>
      <c r="D135" s="190">
        <v>0</v>
      </c>
      <c r="E135" s="190">
        <v>0</v>
      </c>
      <c r="F135" s="189">
        <v>0</v>
      </c>
      <c r="G135" s="190">
        <v>0</v>
      </c>
      <c r="H135" s="190">
        <v>2650</v>
      </c>
      <c r="I135" s="190">
        <v>0</v>
      </c>
      <c r="J135" s="194">
        <f t="shared" si="26"/>
        <v>2650</v>
      </c>
      <c r="K135" s="190">
        <v>0</v>
      </c>
      <c r="L135" s="190">
        <v>0</v>
      </c>
      <c r="M135" s="190">
        <v>0</v>
      </c>
      <c r="N135" s="334">
        <f t="shared" si="32"/>
        <v>2650</v>
      </c>
      <c r="O135" s="191"/>
    </row>
    <row r="136" spans="1:15" ht="12" customHeight="1">
      <c r="A136" s="204"/>
      <c r="B136" s="206" t="s">
        <v>23</v>
      </c>
      <c r="C136" s="188" t="s">
        <v>307</v>
      </c>
      <c r="D136" s="190">
        <v>0</v>
      </c>
      <c r="E136" s="190">
        <v>0</v>
      </c>
      <c r="F136" s="189">
        <v>0</v>
      </c>
      <c r="G136" s="190">
        <v>0</v>
      </c>
      <c r="H136" s="190">
        <f>1700+40+60+43</f>
        <v>1843</v>
      </c>
      <c r="I136" s="190">
        <v>0</v>
      </c>
      <c r="J136" s="194">
        <f t="shared" si="26"/>
        <v>1843</v>
      </c>
      <c r="K136" s="190">
        <v>0</v>
      </c>
      <c r="L136" s="190">
        <v>0</v>
      </c>
      <c r="M136" s="190">
        <v>0</v>
      </c>
      <c r="N136" s="334">
        <f t="shared" si="32"/>
        <v>1843</v>
      </c>
      <c r="O136" s="191"/>
    </row>
    <row r="137" spans="1:15" ht="12" customHeight="1">
      <c r="A137" s="204"/>
      <c r="B137" s="206" t="s">
        <v>25</v>
      </c>
      <c r="C137" s="188" t="s">
        <v>308</v>
      </c>
      <c r="D137" s="190">
        <v>0</v>
      </c>
      <c r="E137" s="190">
        <v>0</v>
      </c>
      <c r="F137" s="189">
        <v>0</v>
      </c>
      <c r="G137" s="190">
        <v>0</v>
      </c>
      <c r="H137" s="190">
        <v>250</v>
      </c>
      <c r="I137" s="190">
        <v>0</v>
      </c>
      <c r="J137" s="194">
        <f t="shared" si="26"/>
        <v>250</v>
      </c>
      <c r="K137" s="190">
        <v>0</v>
      </c>
      <c r="L137" s="190">
        <v>0</v>
      </c>
      <c r="M137" s="190">
        <v>0</v>
      </c>
      <c r="N137" s="334">
        <f t="shared" si="32"/>
        <v>250</v>
      </c>
      <c r="O137" s="191"/>
    </row>
    <row r="138" spans="1:15" ht="12" customHeight="1">
      <c r="A138" s="204"/>
      <c r="B138" s="206" t="s">
        <v>27</v>
      </c>
      <c r="C138" s="188" t="s">
        <v>309</v>
      </c>
      <c r="D138" s="190">
        <v>0</v>
      </c>
      <c r="E138" s="190">
        <v>0</v>
      </c>
      <c r="F138" s="189">
        <v>0</v>
      </c>
      <c r="G138" s="190">
        <v>0</v>
      </c>
      <c r="H138" s="190">
        <v>400</v>
      </c>
      <c r="I138" s="190">
        <v>0</v>
      </c>
      <c r="J138" s="194">
        <f t="shared" si="26"/>
        <v>400</v>
      </c>
      <c r="K138" s="190">
        <v>0</v>
      </c>
      <c r="L138" s="190">
        <v>0</v>
      </c>
      <c r="M138" s="190">
        <v>0</v>
      </c>
      <c r="N138" s="334">
        <f t="shared" si="32"/>
        <v>400</v>
      </c>
      <c r="O138" s="191"/>
    </row>
    <row r="139" spans="1:15" ht="12" customHeight="1">
      <c r="A139" s="204"/>
      <c r="B139" s="206" t="s">
        <v>28</v>
      </c>
      <c r="C139" s="188" t="s">
        <v>310</v>
      </c>
      <c r="D139" s="190">
        <v>0</v>
      </c>
      <c r="E139" s="190">
        <v>0</v>
      </c>
      <c r="F139" s="189">
        <v>0</v>
      </c>
      <c r="G139" s="190">
        <v>0</v>
      </c>
      <c r="H139" s="190">
        <v>400</v>
      </c>
      <c r="I139" s="190">
        <v>0</v>
      </c>
      <c r="J139" s="194">
        <f t="shared" si="26"/>
        <v>400</v>
      </c>
      <c r="K139" s="190">
        <v>0</v>
      </c>
      <c r="L139" s="190">
        <v>0</v>
      </c>
      <c r="M139" s="190">
        <v>0</v>
      </c>
      <c r="N139" s="334">
        <f t="shared" si="32"/>
        <v>400</v>
      </c>
      <c r="O139" s="191"/>
    </row>
    <row r="140" spans="1:15" ht="12" customHeight="1">
      <c r="A140" s="204"/>
      <c r="B140" s="206" t="s">
        <v>30</v>
      </c>
      <c r="C140" s="188" t="s">
        <v>311</v>
      </c>
      <c r="D140" s="190">
        <v>0</v>
      </c>
      <c r="E140" s="190">
        <v>0</v>
      </c>
      <c r="F140" s="189">
        <f>6000+36+2850-1500+150+43</f>
        <v>7579</v>
      </c>
      <c r="G140" s="190">
        <v>0</v>
      </c>
      <c r="H140" s="190">
        <v>0</v>
      </c>
      <c r="I140" s="190">
        <v>0</v>
      </c>
      <c r="J140" s="194">
        <f t="shared" si="26"/>
        <v>7579</v>
      </c>
      <c r="K140" s="190">
        <v>0</v>
      </c>
      <c r="L140" s="190">
        <v>0</v>
      </c>
      <c r="M140" s="190">
        <v>0</v>
      </c>
      <c r="N140" s="334">
        <f t="shared" si="32"/>
        <v>7579</v>
      </c>
      <c r="O140" s="191"/>
    </row>
    <row r="141" spans="1:15" ht="12" customHeight="1">
      <c r="A141" s="204"/>
      <c r="B141" s="206" t="s">
        <v>32</v>
      </c>
      <c r="C141" s="188" t="s">
        <v>312</v>
      </c>
      <c r="D141" s="190">
        <v>0</v>
      </c>
      <c r="E141" s="190">
        <v>0</v>
      </c>
      <c r="F141" s="189">
        <f>2634-159+101+1000+45+50-250+209+15</f>
        <v>3645</v>
      </c>
      <c r="G141" s="190">
        <v>0</v>
      </c>
      <c r="H141" s="190">
        <v>0</v>
      </c>
      <c r="I141" s="190">
        <v>0</v>
      </c>
      <c r="J141" s="194">
        <f t="shared" si="26"/>
        <v>3645</v>
      </c>
      <c r="K141" s="190">
        <v>0</v>
      </c>
      <c r="L141" s="190">
        <v>0</v>
      </c>
      <c r="M141" s="190">
        <v>0</v>
      </c>
      <c r="N141" s="334">
        <f>SUM(J141:M141)</f>
        <v>3645</v>
      </c>
      <c r="O141" s="191"/>
    </row>
    <row r="142" spans="1:15" ht="12" customHeight="1">
      <c r="A142" s="204"/>
      <c r="B142" s="206" t="s">
        <v>33</v>
      </c>
      <c r="C142" s="188" t="s">
        <v>313</v>
      </c>
      <c r="D142" s="190">
        <v>0</v>
      </c>
      <c r="E142" s="190">
        <v>0</v>
      </c>
      <c r="F142" s="189">
        <f>175+1200</f>
        <v>1375</v>
      </c>
      <c r="G142" s="190">
        <v>0</v>
      </c>
      <c r="H142" s="190">
        <v>0</v>
      </c>
      <c r="I142" s="190">
        <v>0</v>
      </c>
      <c r="J142" s="194">
        <f t="shared" si="26"/>
        <v>1375</v>
      </c>
      <c r="K142" s="190">
        <v>0</v>
      </c>
      <c r="L142" s="190">
        <v>0</v>
      </c>
      <c r="M142" s="190">
        <v>0</v>
      </c>
      <c r="N142" s="334">
        <f t="shared" si="32"/>
        <v>1375</v>
      </c>
      <c r="O142" s="191"/>
    </row>
    <row r="143" spans="1:15" ht="23.25" customHeight="1">
      <c r="A143" s="204"/>
      <c r="B143" s="206" t="s">
        <v>101</v>
      </c>
      <c r="C143" s="207" t="s">
        <v>417</v>
      </c>
      <c r="D143" s="190">
        <v>0</v>
      </c>
      <c r="E143" s="190">
        <v>0</v>
      </c>
      <c r="F143" s="189">
        <v>0</v>
      </c>
      <c r="G143" s="190">
        <v>0</v>
      </c>
      <c r="H143" s="190">
        <f>450+150+40</f>
        <v>640</v>
      </c>
      <c r="I143" s="190">
        <v>0</v>
      </c>
      <c r="J143" s="194">
        <f t="shared" si="26"/>
        <v>640</v>
      </c>
      <c r="K143" s="190">
        <v>0</v>
      </c>
      <c r="L143" s="190">
        <v>0</v>
      </c>
      <c r="M143" s="190">
        <v>0</v>
      </c>
      <c r="N143" s="334">
        <f t="shared" si="32"/>
        <v>640</v>
      </c>
      <c r="O143" s="191"/>
    </row>
    <row r="144" spans="1:15" ht="12" customHeight="1">
      <c r="A144" s="204"/>
      <c r="B144" s="206" t="s">
        <v>104</v>
      </c>
      <c r="C144" s="188" t="s">
        <v>418</v>
      </c>
      <c r="D144" s="190">
        <v>0</v>
      </c>
      <c r="E144" s="190">
        <v>0</v>
      </c>
      <c r="F144" s="189">
        <v>0</v>
      </c>
      <c r="G144" s="190">
        <v>0</v>
      </c>
      <c r="H144" s="190">
        <f>450-150</f>
        <v>300</v>
      </c>
      <c r="I144" s="190">
        <v>0</v>
      </c>
      <c r="J144" s="194">
        <f t="shared" si="26"/>
        <v>300</v>
      </c>
      <c r="K144" s="190">
        <v>0</v>
      </c>
      <c r="L144" s="190">
        <v>0</v>
      </c>
      <c r="M144" s="190">
        <v>0</v>
      </c>
      <c r="N144" s="334">
        <f t="shared" si="32"/>
        <v>300</v>
      </c>
      <c r="O144" s="191"/>
    </row>
    <row r="145" spans="1:15" ht="12" customHeight="1">
      <c r="A145" s="204"/>
      <c r="B145" s="206" t="s">
        <v>115</v>
      </c>
      <c r="C145" s="188" t="s">
        <v>314</v>
      </c>
      <c r="D145" s="190">
        <v>0</v>
      </c>
      <c r="E145" s="190">
        <v>0</v>
      </c>
      <c r="F145" s="189">
        <f>17485+1457+4108+1080+4108+135</f>
        <v>28373</v>
      </c>
      <c r="G145" s="190">
        <v>0</v>
      </c>
      <c r="H145" s="190">
        <v>0</v>
      </c>
      <c r="I145" s="190">
        <v>0</v>
      </c>
      <c r="J145" s="194">
        <f t="shared" si="26"/>
        <v>28373</v>
      </c>
      <c r="K145" s="190">
        <v>170</v>
      </c>
      <c r="L145" s="190">
        <v>0</v>
      </c>
      <c r="M145" s="190">
        <v>0</v>
      </c>
      <c r="N145" s="334">
        <f t="shared" si="32"/>
        <v>28543</v>
      </c>
      <c r="O145" s="191"/>
    </row>
    <row r="146" spans="1:15" ht="12" customHeight="1">
      <c r="A146" s="204"/>
      <c r="B146" s="206" t="s">
        <v>116</v>
      </c>
      <c r="C146" s="188" t="s">
        <v>315</v>
      </c>
      <c r="D146" s="190">
        <v>0</v>
      </c>
      <c r="E146" s="190">
        <v>0</v>
      </c>
      <c r="F146" s="189">
        <v>0</v>
      </c>
      <c r="G146" s="190">
        <v>0</v>
      </c>
      <c r="H146" s="190">
        <v>100</v>
      </c>
      <c r="I146" s="190">
        <v>0</v>
      </c>
      <c r="J146" s="194">
        <f t="shared" si="26"/>
        <v>100</v>
      </c>
      <c r="K146" s="190">
        <v>0</v>
      </c>
      <c r="L146" s="190">
        <v>0</v>
      </c>
      <c r="M146" s="190">
        <v>0</v>
      </c>
      <c r="N146" s="334">
        <f t="shared" si="32"/>
        <v>100</v>
      </c>
      <c r="O146" s="191"/>
    </row>
    <row r="147" spans="1:15" ht="12" customHeight="1">
      <c r="A147" s="204"/>
      <c r="B147" s="206" t="s">
        <v>117</v>
      </c>
      <c r="C147" s="188" t="s">
        <v>391</v>
      </c>
      <c r="D147" s="190"/>
      <c r="E147" s="190"/>
      <c r="F147" s="189">
        <v>2100</v>
      </c>
      <c r="G147" s="190"/>
      <c r="H147" s="190"/>
      <c r="I147" s="190"/>
      <c r="J147" s="194">
        <f t="shared" si="26"/>
        <v>2100</v>
      </c>
      <c r="K147" s="190"/>
      <c r="L147" s="190"/>
      <c r="M147" s="190"/>
      <c r="N147" s="334">
        <f t="shared" si="32"/>
        <v>2100</v>
      </c>
      <c r="O147" s="191"/>
    </row>
    <row r="148" spans="1:15" ht="12" customHeight="1">
      <c r="A148" s="204"/>
      <c r="B148" s="206" t="s">
        <v>118</v>
      </c>
      <c r="C148" s="188" t="s">
        <v>341</v>
      </c>
      <c r="D148" s="190">
        <v>0</v>
      </c>
      <c r="E148" s="190">
        <v>0</v>
      </c>
      <c r="F148" s="189">
        <f>139+1140+48</f>
        <v>1327</v>
      </c>
      <c r="G148" s="190">
        <v>0</v>
      </c>
      <c r="H148" s="190">
        <v>0</v>
      </c>
      <c r="I148" s="190">
        <v>0</v>
      </c>
      <c r="J148" s="194">
        <f t="shared" si="26"/>
        <v>1327</v>
      </c>
      <c r="K148" s="190">
        <v>0</v>
      </c>
      <c r="L148" s="190">
        <v>489</v>
      </c>
      <c r="M148" s="190">
        <v>0</v>
      </c>
      <c r="N148" s="334">
        <f t="shared" si="32"/>
        <v>1816</v>
      </c>
      <c r="O148" s="191"/>
    </row>
    <row r="149" spans="1:15" ht="12" customHeight="1">
      <c r="A149" s="204"/>
      <c r="B149" s="206" t="s">
        <v>119</v>
      </c>
      <c r="C149" s="188" t="s">
        <v>338</v>
      </c>
      <c r="D149" s="190">
        <v>0</v>
      </c>
      <c r="E149" s="190">
        <v>0</v>
      </c>
      <c r="F149" s="189">
        <f>150+1000</f>
        <v>1150</v>
      </c>
      <c r="G149" s="190">
        <v>0</v>
      </c>
      <c r="H149" s="190">
        <v>0</v>
      </c>
      <c r="I149" s="190">
        <v>0</v>
      </c>
      <c r="J149" s="194">
        <f t="shared" si="26"/>
        <v>1150</v>
      </c>
      <c r="K149" s="190">
        <v>0</v>
      </c>
      <c r="L149" s="190">
        <v>0</v>
      </c>
      <c r="M149" s="190">
        <v>0</v>
      </c>
      <c r="N149" s="334">
        <f t="shared" si="32"/>
        <v>1150</v>
      </c>
      <c r="O149" s="191"/>
    </row>
    <row r="150" spans="1:15" ht="12" customHeight="1">
      <c r="A150" s="204"/>
      <c r="B150" s="206" t="s">
        <v>120</v>
      </c>
      <c r="C150" s="188" t="s">
        <v>419</v>
      </c>
      <c r="D150" s="190">
        <v>0</v>
      </c>
      <c r="E150" s="190">
        <v>0</v>
      </c>
      <c r="F150" s="189">
        <f>24+200</f>
        <v>224</v>
      </c>
      <c r="G150" s="190">
        <v>0</v>
      </c>
      <c r="H150" s="190">
        <f>200-200</f>
        <v>0</v>
      </c>
      <c r="I150" s="190">
        <v>0</v>
      </c>
      <c r="J150" s="194">
        <f t="shared" si="26"/>
        <v>224</v>
      </c>
      <c r="K150" s="190">
        <v>0</v>
      </c>
      <c r="L150" s="190">
        <v>0</v>
      </c>
      <c r="M150" s="190">
        <v>0</v>
      </c>
      <c r="N150" s="334">
        <f t="shared" si="32"/>
        <v>224</v>
      </c>
      <c r="O150" s="191"/>
    </row>
    <row r="151" spans="1:15" ht="12" customHeight="1" thickBot="1">
      <c r="A151" s="256"/>
      <c r="B151" s="357" t="s">
        <v>121</v>
      </c>
      <c r="C151" s="280" t="s">
        <v>420</v>
      </c>
      <c r="D151" s="281">
        <v>0</v>
      </c>
      <c r="E151" s="281">
        <v>0</v>
      </c>
      <c r="F151" s="330">
        <v>9</v>
      </c>
      <c r="G151" s="281">
        <v>0</v>
      </c>
      <c r="H151" s="281">
        <v>200</v>
      </c>
      <c r="I151" s="281">
        <v>0</v>
      </c>
      <c r="J151" s="194">
        <f t="shared" si="26"/>
        <v>209</v>
      </c>
      <c r="K151" s="281">
        <v>0</v>
      </c>
      <c r="L151" s="281"/>
      <c r="M151" s="281">
        <v>0</v>
      </c>
      <c r="N151" s="334">
        <f t="shared" si="32"/>
        <v>209</v>
      </c>
      <c r="O151" s="282"/>
    </row>
    <row r="152" spans="1:15" ht="12.75" customHeight="1" thickBot="1">
      <c r="A152" s="293" t="s">
        <v>203</v>
      </c>
      <c r="B152" s="294"/>
      <c r="C152" s="291" t="s">
        <v>213</v>
      </c>
      <c r="D152" s="283"/>
      <c r="E152" s="283"/>
      <c r="F152" s="291">
        <v>1877</v>
      </c>
      <c r="G152" s="283"/>
      <c r="H152" s="283"/>
      <c r="I152" s="283"/>
      <c r="J152" s="283">
        <f t="shared" si="26"/>
        <v>1877</v>
      </c>
      <c r="K152" s="283">
        <f>1476</f>
        <v>1476</v>
      </c>
      <c r="L152" s="283">
        <v>0</v>
      </c>
      <c r="M152" s="283">
        <v>0</v>
      </c>
      <c r="N152" s="291">
        <f t="shared" si="32"/>
        <v>3353</v>
      </c>
      <c r="O152" s="292"/>
    </row>
    <row r="153" spans="1:15" ht="12.75" customHeight="1">
      <c r="A153" s="210" t="s">
        <v>205</v>
      </c>
      <c r="B153" s="214"/>
      <c r="C153" s="196" t="s">
        <v>214</v>
      </c>
      <c r="D153" s="195">
        <f aca="true" t="shared" si="33" ref="D153:N153">SUM(D154:D155)</f>
        <v>0</v>
      </c>
      <c r="E153" s="195">
        <f t="shared" si="33"/>
        <v>0</v>
      </c>
      <c r="F153" s="196">
        <f t="shared" si="33"/>
        <v>777</v>
      </c>
      <c r="G153" s="195">
        <f t="shared" si="33"/>
        <v>0</v>
      </c>
      <c r="H153" s="195">
        <f t="shared" si="33"/>
        <v>2000</v>
      </c>
      <c r="I153" s="195">
        <f t="shared" si="33"/>
        <v>0</v>
      </c>
      <c r="J153" s="195">
        <f t="shared" si="33"/>
        <v>2777</v>
      </c>
      <c r="K153" s="195">
        <f t="shared" si="33"/>
        <v>3600</v>
      </c>
      <c r="L153" s="195">
        <f t="shared" si="33"/>
        <v>0</v>
      </c>
      <c r="M153" s="195">
        <f t="shared" si="33"/>
        <v>0</v>
      </c>
      <c r="N153" s="196">
        <f t="shared" si="33"/>
        <v>6377</v>
      </c>
      <c r="O153" s="355"/>
    </row>
    <row r="154" spans="1:15" ht="12.75" customHeight="1">
      <c r="A154" s="204"/>
      <c r="B154" s="206" t="s">
        <v>15</v>
      </c>
      <c r="C154" s="188" t="s">
        <v>316</v>
      </c>
      <c r="D154" s="190">
        <v>0</v>
      </c>
      <c r="E154" s="190">
        <v>0</v>
      </c>
      <c r="F154" s="189">
        <v>674</v>
      </c>
      <c r="G154" s="190">
        <v>0</v>
      </c>
      <c r="H154" s="190">
        <v>2000</v>
      </c>
      <c r="I154" s="190">
        <v>0</v>
      </c>
      <c r="J154" s="194">
        <f t="shared" si="26"/>
        <v>2674</v>
      </c>
      <c r="K154" s="190">
        <f>0+3000+600</f>
        <v>3600</v>
      </c>
      <c r="L154" s="190">
        <f>3000+674-3000-674</f>
        <v>0</v>
      </c>
      <c r="M154" s="190">
        <v>0</v>
      </c>
      <c r="N154" s="334">
        <f>SUM(J154:M154)</f>
        <v>6274</v>
      </c>
      <c r="O154" s="191"/>
    </row>
    <row r="155" spans="1:15" ht="12.75" customHeight="1" thickBot="1">
      <c r="A155" s="204"/>
      <c r="B155" s="206" t="s">
        <v>17</v>
      </c>
      <c r="C155" s="188" t="s">
        <v>367</v>
      </c>
      <c r="D155" s="190">
        <v>0</v>
      </c>
      <c r="E155" s="190">
        <v>0</v>
      </c>
      <c r="F155" s="189">
        <f>48+55</f>
        <v>103</v>
      </c>
      <c r="G155" s="190">
        <v>0</v>
      </c>
      <c r="H155" s="190">
        <v>0</v>
      </c>
      <c r="I155" s="190">
        <v>0</v>
      </c>
      <c r="J155" s="194">
        <f t="shared" si="26"/>
        <v>103</v>
      </c>
      <c r="K155" s="190">
        <v>0</v>
      </c>
      <c r="L155" s="190">
        <v>0</v>
      </c>
      <c r="M155" s="190">
        <v>0</v>
      </c>
      <c r="N155" s="334">
        <f>SUM(J155:M155)</f>
        <v>103</v>
      </c>
      <c r="O155" s="191"/>
    </row>
    <row r="156" spans="1:15" ht="12.75" customHeight="1" thickBot="1">
      <c r="A156" s="293" t="s">
        <v>207</v>
      </c>
      <c r="B156" s="295"/>
      <c r="C156" s="291" t="s">
        <v>215</v>
      </c>
      <c r="D156" s="283">
        <f>75+15-60</f>
        <v>30</v>
      </c>
      <c r="E156" s="283">
        <f>20+10+10</f>
        <v>40</v>
      </c>
      <c r="F156" s="291">
        <f>300+200+316+3+238+11+59</f>
        <v>1127</v>
      </c>
      <c r="G156" s="283">
        <v>0</v>
      </c>
      <c r="H156" s="283">
        <f>80-80</f>
        <v>0</v>
      </c>
      <c r="I156" s="283">
        <f>80+106-10-176</f>
        <v>0</v>
      </c>
      <c r="J156" s="283">
        <f t="shared" si="26"/>
        <v>1197</v>
      </c>
      <c r="K156" s="283">
        <v>0</v>
      </c>
      <c r="L156" s="283">
        <v>0</v>
      </c>
      <c r="M156" s="283">
        <v>0</v>
      </c>
      <c r="N156" s="291">
        <f>SUM(J156:M156)</f>
        <v>1197</v>
      </c>
      <c r="O156" s="292"/>
    </row>
    <row r="157" spans="1:15" ht="12.75" customHeight="1" thickBot="1">
      <c r="A157" s="293" t="s">
        <v>209</v>
      </c>
      <c r="B157" s="295"/>
      <c r="C157" s="291" t="s">
        <v>216</v>
      </c>
      <c r="D157" s="283">
        <f>30+8-38</f>
        <v>0</v>
      </c>
      <c r="E157" s="283">
        <v>34</v>
      </c>
      <c r="F157" s="291">
        <f>37+748</f>
        <v>785</v>
      </c>
      <c r="G157" s="283">
        <v>0</v>
      </c>
      <c r="H157" s="283">
        <v>230</v>
      </c>
      <c r="I157" s="283">
        <v>30</v>
      </c>
      <c r="J157" s="283">
        <f t="shared" si="26"/>
        <v>1079</v>
      </c>
      <c r="K157" s="283">
        <v>0</v>
      </c>
      <c r="L157" s="283">
        <v>0</v>
      </c>
      <c r="M157" s="283">
        <v>0</v>
      </c>
      <c r="N157" s="291">
        <f>SUM(J157:M157)</f>
        <v>1079</v>
      </c>
      <c r="O157" s="292"/>
    </row>
    <row r="158" spans="1:15" ht="12.75" customHeight="1" thickBot="1">
      <c r="A158" s="293" t="s">
        <v>211</v>
      </c>
      <c r="B158" s="295"/>
      <c r="C158" s="291" t="s">
        <v>217</v>
      </c>
      <c r="D158" s="283">
        <f>120+50-50</f>
        <v>120</v>
      </c>
      <c r="E158" s="283">
        <f>40+34-10</f>
        <v>64</v>
      </c>
      <c r="F158" s="291">
        <f>200+142+205+7+222+7+60</f>
        <v>843</v>
      </c>
      <c r="G158" s="283">
        <v>0</v>
      </c>
      <c r="H158" s="283">
        <f>100+100-34-166</f>
        <v>0</v>
      </c>
      <c r="I158" s="283">
        <f>95-95</f>
        <v>0</v>
      </c>
      <c r="J158" s="283">
        <f t="shared" si="26"/>
        <v>1027</v>
      </c>
      <c r="K158" s="283">
        <v>0</v>
      </c>
      <c r="L158" s="283">
        <v>0</v>
      </c>
      <c r="M158" s="283">
        <v>0</v>
      </c>
      <c r="N158" s="291">
        <f>SUM(J158:M158)</f>
        <v>1027</v>
      </c>
      <c r="O158" s="292"/>
    </row>
    <row r="159" spans="1:15" ht="12.75" customHeight="1">
      <c r="A159" s="709" t="s">
        <v>354</v>
      </c>
      <c r="B159" s="710"/>
      <c r="C159" s="710"/>
      <c r="D159" s="195">
        <f aca="true" t="shared" si="34" ref="D159:M159">D17+D20+D22+D25+D34+D47+D48+D49+D50+D51+D52+D53+D54+D62+D66+D69+D88+D102+D103+D111+D121+D124+D131+D152+D153+D156+D157+D158</f>
        <v>322594</v>
      </c>
      <c r="E159" s="195">
        <f t="shared" si="34"/>
        <v>97803</v>
      </c>
      <c r="F159" s="196">
        <f t="shared" si="34"/>
        <v>501120.2</v>
      </c>
      <c r="G159" s="195">
        <f t="shared" si="34"/>
        <v>0</v>
      </c>
      <c r="H159" s="285">
        <f t="shared" si="34"/>
        <v>181114</v>
      </c>
      <c r="I159" s="285">
        <f t="shared" si="34"/>
        <v>411873</v>
      </c>
      <c r="J159" s="285">
        <f t="shared" si="34"/>
        <v>1514504.2</v>
      </c>
      <c r="K159" s="285">
        <f t="shared" si="34"/>
        <v>707847</v>
      </c>
      <c r="L159" s="285">
        <f t="shared" si="34"/>
        <v>24387</v>
      </c>
      <c r="M159" s="285">
        <f t="shared" si="34"/>
        <v>322772</v>
      </c>
      <c r="N159" s="304">
        <f>J159+L159+K159+M159</f>
        <v>2569510.2</v>
      </c>
      <c r="O159" s="193">
        <f>O17+O20+O22+O25+O34+O47+O48+O49+O50+O51+O52+O53+O54+O62+O66+O69+O88+O102+O103+O111+O121+O124+O131+O152+O153+O156+O157+O158</f>
        <v>92</v>
      </c>
    </row>
    <row r="160" spans="1:15" ht="12.75" customHeight="1" thickBot="1">
      <c r="A160" s="711" t="s">
        <v>355</v>
      </c>
      <c r="B160" s="712"/>
      <c r="C160" s="712"/>
      <c r="D160" s="198">
        <f aca="true" t="shared" si="35" ref="D160:O160">SUM(D16,D159)</f>
        <v>681518</v>
      </c>
      <c r="E160" s="198">
        <f t="shared" si="35"/>
        <v>208661</v>
      </c>
      <c r="F160" s="332">
        <f t="shared" si="35"/>
        <v>601851.2</v>
      </c>
      <c r="G160" s="198">
        <f t="shared" si="35"/>
        <v>0</v>
      </c>
      <c r="H160" s="198">
        <f t="shared" si="35"/>
        <v>181114</v>
      </c>
      <c r="I160" s="198">
        <f t="shared" si="35"/>
        <v>411873</v>
      </c>
      <c r="J160" s="198">
        <f t="shared" si="35"/>
        <v>2085017.2</v>
      </c>
      <c r="K160" s="198">
        <f t="shared" si="35"/>
        <v>710835</v>
      </c>
      <c r="L160" s="198">
        <f t="shared" si="35"/>
        <v>25162</v>
      </c>
      <c r="M160" s="198">
        <f t="shared" si="35"/>
        <v>322772</v>
      </c>
      <c r="N160" s="332">
        <f>SUM(N16,N159)</f>
        <v>3143786.2</v>
      </c>
      <c r="O160" s="388">
        <f t="shared" si="35"/>
        <v>233.9</v>
      </c>
    </row>
    <row r="161" ht="1.5" customHeight="1">
      <c r="L161" s="178" t="s">
        <v>227</v>
      </c>
    </row>
    <row r="162" spans="9:12" ht="12.75" customHeight="1" hidden="1">
      <c r="I162" s="178" t="s">
        <v>227</v>
      </c>
      <c r="K162" s="178" t="s">
        <v>227</v>
      </c>
      <c r="L162" s="178" t="s">
        <v>227</v>
      </c>
    </row>
    <row r="163" spans="4:11" ht="12.75" customHeight="1" hidden="1">
      <c r="D163" s="178" t="s">
        <v>227</v>
      </c>
      <c r="K163" s="178" t="s">
        <v>227</v>
      </c>
    </row>
    <row r="164" spans="4:11" ht="12.75" customHeight="1">
      <c r="D164" s="178" t="s">
        <v>227</v>
      </c>
      <c r="E164" s="178" t="s">
        <v>227</v>
      </c>
      <c r="J164" s="179" t="s">
        <v>227</v>
      </c>
      <c r="K164" s="178" t="s">
        <v>227</v>
      </c>
    </row>
  </sheetData>
  <sheetProtection/>
  <mergeCells count="8">
    <mergeCell ref="A159:C159"/>
    <mergeCell ref="A160:C160"/>
    <mergeCell ref="I6:I8"/>
    <mergeCell ref="H6:H8"/>
    <mergeCell ref="A16:C16"/>
    <mergeCell ref="A6:B6"/>
    <mergeCell ref="A7:B7"/>
    <mergeCell ref="A8:B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4" r:id="rId2"/>
  <rowBreaks count="3" manualBreakCount="3">
    <brk id="46" max="255" man="1"/>
    <brk id="86" max="255" man="1"/>
    <brk id="13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D125"/>
  <sheetViews>
    <sheetView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3.25390625" style="118" customWidth="1"/>
    <col min="2" max="2" width="3.125" style="118" customWidth="1"/>
    <col min="3" max="3" width="68.375" style="119" customWidth="1"/>
    <col min="4" max="4" width="9.375" style="120" customWidth="1"/>
    <col min="5" max="16384" width="9.125" style="118" customWidth="1"/>
  </cols>
  <sheetData>
    <row r="4" ht="7.5" customHeight="1">
      <c r="D4" s="120" t="s">
        <v>0</v>
      </c>
    </row>
    <row r="5" ht="1.5" customHeight="1" thickBot="1">
      <c r="D5" s="120" t="s">
        <v>218</v>
      </c>
    </row>
    <row r="6" spans="1:4" s="122" customFormat="1" ht="13.5" customHeight="1" thickBot="1">
      <c r="A6" s="729" t="s">
        <v>40</v>
      </c>
      <c r="B6" s="730"/>
      <c r="C6" s="731"/>
      <c r="D6" s="121" t="s">
        <v>14</v>
      </c>
    </row>
    <row r="7" spans="1:4" s="127" customFormat="1" ht="9" customHeight="1">
      <c r="A7" s="123" t="s">
        <v>46</v>
      </c>
      <c r="B7" s="124"/>
      <c r="C7" s="125" t="s">
        <v>62</v>
      </c>
      <c r="D7" s="126"/>
    </row>
    <row r="8" spans="1:4" s="127" customFormat="1" ht="9.75" customHeight="1">
      <c r="A8" s="123"/>
      <c r="B8" s="124" t="s">
        <v>219</v>
      </c>
      <c r="C8" s="125" t="s">
        <v>220</v>
      </c>
      <c r="D8" s="126">
        <f>SUM(D9:D54)</f>
        <v>680207</v>
      </c>
    </row>
    <row r="9" spans="1:4" s="122" customFormat="1" ht="4.5" customHeight="1">
      <c r="A9" s="128"/>
      <c r="B9" s="161"/>
      <c r="C9" s="339"/>
      <c r="D9" s="162"/>
    </row>
    <row r="10" spans="1:4" s="122" customFormat="1" ht="10.5" customHeight="1">
      <c r="A10" s="128"/>
      <c r="B10" s="161">
        <v>1</v>
      </c>
      <c r="C10" s="341" t="s">
        <v>362</v>
      </c>
      <c r="D10" s="162">
        <f>5720+5720-5720+17</f>
        <v>5737</v>
      </c>
    </row>
    <row r="11" spans="1:4" s="122" customFormat="1" ht="10.5" customHeight="1">
      <c r="A11" s="128"/>
      <c r="B11" s="161" t="s">
        <v>17</v>
      </c>
      <c r="C11" s="341" t="s">
        <v>363</v>
      </c>
      <c r="D11" s="162">
        <f>4954+4954-4954+15</f>
        <v>4969</v>
      </c>
    </row>
    <row r="12" spans="1:4" s="122" customFormat="1" ht="10.5" customHeight="1">
      <c r="A12" s="128"/>
      <c r="B12" s="161" t="s">
        <v>19</v>
      </c>
      <c r="C12" s="342" t="s">
        <v>364</v>
      </c>
      <c r="D12" s="162">
        <v>2701</v>
      </c>
    </row>
    <row r="13" spans="1:4" s="127" customFormat="1" ht="10.5" customHeight="1">
      <c r="A13" s="128"/>
      <c r="B13" s="161" t="s">
        <v>21</v>
      </c>
      <c r="C13" s="158" t="s">
        <v>388</v>
      </c>
      <c r="D13" s="162">
        <v>3900</v>
      </c>
    </row>
    <row r="14" spans="1:4" s="129" customFormat="1" ht="10.5" customHeight="1">
      <c r="A14" s="128"/>
      <c r="B14" s="161" t="s">
        <v>23</v>
      </c>
      <c r="C14" s="158" t="s">
        <v>393</v>
      </c>
      <c r="D14" s="164">
        <f>3000-180</f>
        <v>2820</v>
      </c>
    </row>
    <row r="15" spans="1:4" s="129" customFormat="1" ht="10.5" customHeight="1">
      <c r="A15" s="128"/>
      <c r="B15" s="161" t="s">
        <v>25</v>
      </c>
      <c r="C15" s="346" t="s">
        <v>402</v>
      </c>
      <c r="D15" s="163">
        <v>19475</v>
      </c>
    </row>
    <row r="16" spans="1:4" s="129" customFormat="1" ht="10.5" customHeight="1">
      <c r="A16" s="128"/>
      <c r="B16" s="161" t="s">
        <v>27</v>
      </c>
      <c r="C16" s="158" t="s">
        <v>496</v>
      </c>
      <c r="D16" s="164">
        <v>2500</v>
      </c>
    </row>
    <row r="17" spans="1:4" s="129" customFormat="1" ht="10.5" customHeight="1">
      <c r="A17" s="128"/>
      <c r="B17" s="161" t="s">
        <v>28</v>
      </c>
      <c r="C17" s="381" t="s">
        <v>416</v>
      </c>
      <c r="D17" s="382">
        <v>800</v>
      </c>
    </row>
    <row r="18" spans="1:4" s="129" customFormat="1" ht="10.5" customHeight="1">
      <c r="A18" s="128"/>
      <c r="B18" s="161" t="s">
        <v>30</v>
      </c>
      <c r="C18" s="158" t="s">
        <v>433</v>
      </c>
      <c r="D18" s="164">
        <v>600</v>
      </c>
    </row>
    <row r="19" spans="1:4" s="129" customFormat="1" ht="10.5" customHeight="1">
      <c r="A19" s="128"/>
      <c r="B19" s="161" t="s">
        <v>32</v>
      </c>
      <c r="C19" s="159" t="s">
        <v>434</v>
      </c>
      <c r="D19" s="164">
        <v>1246</v>
      </c>
    </row>
    <row r="20" spans="1:4" s="129" customFormat="1" ht="10.5" customHeight="1">
      <c r="A20" s="128"/>
      <c r="B20" s="161" t="s">
        <v>33</v>
      </c>
      <c r="C20" s="158" t="s">
        <v>561</v>
      </c>
      <c r="D20" s="164">
        <f>1749+1368</f>
        <v>3117</v>
      </c>
    </row>
    <row r="21" spans="1:4" s="129" customFormat="1" ht="10.5" customHeight="1">
      <c r="A21" s="128"/>
      <c r="B21" s="161" t="s">
        <v>101</v>
      </c>
      <c r="C21" s="159" t="s">
        <v>435</v>
      </c>
      <c r="D21" s="164">
        <v>1200</v>
      </c>
    </row>
    <row r="22" spans="1:4" s="129" customFormat="1" ht="10.5" customHeight="1">
      <c r="A22" s="128"/>
      <c r="B22" s="161" t="s">
        <v>104</v>
      </c>
      <c r="C22" s="158" t="s">
        <v>436</v>
      </c>
      <c r="D22" s="164">
        <v>1046</v>
      </c>
    </row>
    <row r="23" spans="1:4" s="129" customFormat="1" ht="10.5" customHeight="1">
      <c r="A23" s="128"/>
      <c r="B23" s="161" t="s">
        <v>115</v>
      </c>
      <c r="C23" s="159" t="s">
        <v>437</v>
      </c>
      <c r="D23" s="164">
        <v>1000</v>
      </c>
    </row>
    <row r="24" spans="1:4" s="129" customFormat="1" ht="10.5" customHeight="1">
      <c r="A24" s="128"/>
      <c r="B24" s="161" t="s">
        <v>116</v>
      </c>
      <c r="C24" s="159" t="s">
        <v>438</v>
      </c>
      <c r="D24" s="164">
        <v>790</v>
      </c>
    </row>
    <row r="25" spans="1:4" s="129" customFormat="1" ht="10.5" customHeight="1">
      <c r="A25" s="128"/>
      <c r="B25" s="161" t="s">
        <v>117</v>
      </c>
      <c r="C25" s="159" t="s">
        <v>439</v>
      </c>
      <c r="D25" s="164">
        <v>74</v>
      </c>
    </row>
    <row r="26" spans="1:4" s="129" customFormat="1" ht="10.5" customHeight="1">
      <c r="A26" s="128"/>
      <c r="B26" s="161" t="s">
        <v>118</v>
      </c>
      <c r="C26" s="383" t="s">
        <v>440</v>
      </c>
      <c r="D26" s="164">
        <v>126</v>
      </c>
    </row>
    <row r="27" spans="1:4" s="129" customFormat="1" ht="10.5" customHeight="1">
      <c r="A27" s="128"/>
      <c r="B27" s="161" t="s">
        <v>119</v>
      </c>
      <c r="C27" s="383" t="s">
        <v>441</v>
      </c>
      <c r="D27" s="164">
        <v>4550</v>
      </c>
    </row>
    <row r="28" spans="1:4" s="129" customFormat="1" ht="10.5" customHeight="1">
      <c r="A28" s="128"/>
      <c r="B28" s="161" t="s">
        <v>120</v>
      </c>
      <c r="C28" s="387" t="s">
        <v>457</v>
      </c>
      <c r="D28" s="163">
        <v>65016</v>
      </c>
    </row>
    <row r="29" spans="1:4" s="129" customFormat="1" ht="10.5" customHeight="1">
      <c r="A29" s="128"/>
      <c r="B29" s="161" t="s">
        <v>121</v>
      </c>
      <c r="C29" s="383" t="s">
        <v>468</v>
      </c>
      <c r="D29" s="164">
        <f>4200+10000+550+110+1440+450</f>
        <v>16750</v>
      </c>
    </row>
    <row r="30" spans="1:4" s="129" customFormat="1" ht="10.5" customHeight="1">
      <c r="A30" s="128"/>
      <c r="B30" s="161" t="s">
        <v>122</v>
      </c>
      <c r="C30" s="383" t="s">
        <v>535</v>
      </c>
      <c r="D30" s="164">
        <v>20000</v>
      </c>
    </row>
    <row r="31" spans="1:4" s="129" customFormat="1" ht="10.5" customHeight="1">
      <c r="A31" s="128"/>
      <c r="B31" s="161" t="s">
        <v>123</v>
      </c>
      <c r="C31" s="383" t="s">
        <v>458</v>
      </c>
      <c r="D31" s="164">
        <f>71000-550-110-45000-5333-1038-897-6000-1660-169-1440-1476-15-1650-450-470-150-3630-800+2893-156+4-170-1749-300-154</f>
        <v>530</v>
      </c>
    </row>
    <row r="32" spans="1:4" s="129" customFormat="1" ht="10.5" customHeight="1">
      <c r="A32" s="128"/>
      <c r="B32" s="161" t="s">
        <v>124</v>
      </c>
      <c r="C32" s="383" t="s">
        <v>552</v>
      </c>
      <c r="D32" s="164">
        <f>320+470+800+3000-470-3000+300</f>
        <v>1420</v>
      </c>
    </row>
    <row r="33" spans="1:4" s="129" customFormat="1" ht="10.5" customHeight="1">
      <c r="A33" s="128"/>
      <c r="B33" s="161" t="s">
        <v>125</v>
      </c>
      <c r="C33" s="346" t="s">
        <v>461</v>
      </c>
      <c r="D33" s="163">
        <f>400+45000</f>
        <v>45400</v>
      </c>
    </row>
    <row r="34" spans="1:4" s="129" customFormat="1" ht="10.5" customHeight="1">
      <c r="A34" s="128"/>
      <c r="B34" s="161" t="s">
        <v>190</v>
      </c>
      <c r="C34" s="386" t="s">
        <v>462</v>
      </c>
      <c r="D34" s="382">
        <f>5333+396</f>
        <v>5729</v>
      </c>
    </row>
    <row r="35" spans="1:4" s="129" customFormat="1" ht="10.5" customHeight="1">
      <c r="A35" s="128"/>
      <c r="B35" s="161" t="s">
        <v>192</v>
      </c>
      <c r="C35" s="386" t="s">
        <v>463</v>
      </c>
      <c r="D35" s="382">
        <f>897+1660</f>
        <v>2557</v>
      </c>
    </row>
    <row r="36" spans="1:4" s="129" customFormat="1" ht="10.5" customHeight="1">
      <c r="A36" s="128"/>
      <c r="B36" s="161" t="s">
        <v>194</v>
      </c>
      <c r="C36" s="386" t="s">
        <v>475</v>
      </c>
      <c r="D36" s="382">
        <v>100</v>
      </c>
    </row>
    <row r="37" spans="1:4" s="129" customFormat="1" ht="10.5" customHeight="1">
      <c r="A37" s="128"/>
      <c r="B37" s="161" t="s">
        <v>196</v>
      </c>
      <c r="C37" s="159" t="s">
        <v>495</v>
      </c>
      <c r="D37" s="164">
        <v>280</v>
      </c>
    </row>
    <row r="38" spans="1:4" s="129" customFormat="1" ht="10.5" customHeight="1">
      <c r="A38" s="128"/>
      <c r="B38" s="161" t="s">
        <v>199</v>
      </c>
      <c r="C38" s="231" t="s">
        <v>506</v>
      </c>
      <c r="D38" s="163">
        <v>1476</v>
      </c>
    </row>
    <row r="39" spans="1:4" s="129" customFormat="1" ht="10.5" customHeight="1">
      <c r="A39" s="128"/>
      <c r="B39" s="161" t="s">
        <v>201</v>
      </c>
      <c r="C39" s="159" t="s">
        <v>508</v>
      </c>
      <c r="D39" s="164">
        <v>1650</v>
      </c>
    </row>
    <row r="40" spans="1:4" s="129" customFormat="1" ht="10.5" customHeight="1">
      <c r="A40" s="128"/>
      <c r="B40" s="161" t="s">
        <v>203</v>
      </c>
      <c r="C40" s="159" t="s">
        <v>517</v>
      </c>
      <c r="D40" s="164">
        <f>180+1960+5000+10000</f>
        <v>17140</v>
      </c>
    </row>
    <row r="41" spans="1:4" s="129" customFormat="1" ht="10.5" customHeight="1">
      <c r="A41" s="128"/>
      <c r="B41" s="161" t="s">
        <v>205</v>
      </c>
      <c r="C41" s="231" t="s">
        <v>520</v>
      </c>
      <c r="D41" s="163">
        <v>3630</v>
      </c>
    </row>
    <row r="42" spans="1:4" s="129" customFormat="1" ht="10.5" customHeight="1">
      <c r="A42" s="128"/>
      <c r="B42" s="161" t="s">
        <v>207</v>
      </c>
      <c r="C42" s="159" t="s">
        <v>533</v>
      </c>
      <c r="D42" s="164">
        <f>376+365</f>
        <v>741</v>
      </c>
    </row>
    <row r="43" spans="1:4" s="129" customFormat="1" ht="10.5" customHeight="1">
      <c r="A43" s="128"/>
      <c r="B43" s="161" t="s">
        <v>209</v>
      </c>
      <c r="C43" s="231" t="s">
        <v>534</v>
      </c>
      <c r="D43" s="163">
        <v>16</v>
      </c>
    </row>
    <row r="44" spans="1:4" s="129" customFormat="1" ht="10.5" customHeight="1">
      <c r="A44" s="128"/>
      <c r="B44" s="161" t="s">
        <v>211</v>
      </c>
      <c r="C44" s="159" t="s">
        <v>541</v>
      </c>
      <c r="D44" s="164">
        <v>163</v>
      </c>
    </row>
    <row r="45" spans="1:4" s="129" customFormat="1" ht="10.5" customHeight="1">
      <c r="A45" s="128"/>
      <c r="B45" s="161" t="s">
        <v>542</v>
      </c>
      <c r="C45" s="159" t="s">
        <v>543</v>
      </c>
      <c r="D45" s="164">
        <f>-1967+1967</f>
        <v>0</v>
      </c>
    </row>
    <row r="46" spans="1:4" s="129" customFormat="1" ht="10.5" customHeight="1">
      <c r="A46" s="128"/>
      <c r="B46" s="161" t="s">
        <v>544</v>
      </c>
      <c r="C46" s="231" t="s">
        <v>545</v>
      </c>
      <c r="D46" s="163">
        <v>4500</v>
      </c>
    </row>
    <row r="47" spans="1:4" s="129" customFormat="1" ht="10.5" customHeight="1">
      <c r="A47" s="128"/>
      <c r="B47" s="161" t="s">
        <v>550</v>
      </c>
      <c r="C47" s="159" t="s">
        <v>551</v>
      </c>
      <c r="D47" s="164">
        <v>470</v>
      </c>
    </row>
    <row r="48" spans="1:4" s="129" customFormat="1" ht="10.5" customHeight="1">
      <c r="A48" s="128"/>
      <c r="B48" s="161" t="s">
        <v>553</v>
      </c>
      <c r="C48" s="159" t="s">
        <v>554</v>
      </c>
      <c r="D48" s="164">
        <v>3000</v>
      </c>
    </row>
    <row r="49" spans="1:4" s="129" customFormat="1" ht="10.5" customHeight="1">
      <c r="A49" s="128"/>
      <c r="B49" s="161" t="s">
        <v>555</v>
      </c>
      <c r="C49" s="159" t="s">
        <v>556</v>
      </c>
      <c r="D49" s="164">
        <v>156</v>
      </c>
    </row>
    <row r="50" spans="1:4" s="129" customFormat="1" ht="10.5" customHeight="1">
      <c r="A50" s="128"/>
      <c r="B50" s="161" t="s">
        <v>558</v>
      </c>
      <c r="C50" s="159" t="s">
        <v>406</v>
      </c>
      <c r="D50" s="164">
        <v>1996</v>
      </c>
    </row>
    <row r="51" spans="1:4" s="129" customFormat="1" ht="10.5" customHeight="1">
      <c r="A51" s="128"/>
      <c r="B51" s="161" t="s">
        <v>559</v>
      </c>
      <c r="C51" s="159" t="s">
        <v>560</v>
      </c>
      <c r="D51" s="164">
        <v>170</v>
      </c>
    </row>
    <row r="52" spans="1:4" s="129" customFormat="1" ht="10.5" customHeight="1">
      <c r="A52" s="128"/>
      <c r="B52" s="161" t="s">
        <v>566</v>
      </c>
      <c r="C52" s="159" t="s">
        <v>567</v>
      </c>
      <c r="D52" s="164">
        <v>356</v>
      </c>
    </row>
    <row r="53" spans="1:4" s="129" customFormat="1" ht="10.5" customHeight="1">
      <c r="A53" s="128"/>
      <c r="B53" s="161" t="s">
        <v>573</v>
      </c>
      <c r="C53" s="159" t="s">
        <v>529</v>
      </c>
      <c r="D53" s="164">
        <f>2026+1910</f>
        <v>3936</v>
      </c>
    </row>
    <row r="54" spans="1:4" s="129" customFormat="1" ht="10.5" customHeight="1">
      <c r="A54" s="128"/>
      <c r="B54" s="161" t="s">
        <v>581</v>
      </c>
      <c r="C54" s="231" t="s">
        <v>582</v>
      </c>
      <c r="D54" s="163">
        <f>508824-D125</f>
        <v>426374</v>
      </c>
    </row>
    <row r="55" spans="1:4" s="129" customFormat="1" ht="3" customHeight="1">
      <c r="A55" s="128"/>
      <c r="B55" s="161"/>
      <c r="C55" s="231"/>
      <c r="D55" s="163"/>
    </row>
    <row r="56" spans="1:4" s="129" customFormat="1" ht="10.5" customHeight="1">
      <c r="A56" s="130"/>
      <c r="B56" s="131" t="s">
        <v>221</v>
      </c>
      <c r="C56" s="343" t="s">
        <v>222</v>
      </c>
      <c r="D56" s="132">
        <f>SUM(D57:D68)</f>
        <v>2819</v>
      </c>
    </row>
    <row r="57" spans="1:4" s="129" customFormat="1" ht="10.5" customHeight="1">
      <c r="A57" s="130"/>
      <c r="B57" s="161" t="s">
        <v>15</v>
      </c>
      <c r="C57" s="159" t="s">
        <v>406</v>
      </c>
      <c r="D57" s="164">
        <v>0</v>
      </c>
    </row>
    <row r="58" spans="1:4" s="129" customFormat="1" ht="10.5" customHeight="1">
      <c r="A58" s="130"/>
      <c r="B58" s="161" t="s">
        <v>17</v>
      </c>
      <c r="C58" s="159" t="s">
        <v>423</v>
      </c>
      <c r="D58" s="164">
        <v>160</v>
      </c>
    </row>
    <row r="59" spans="1:4" s="129" customFormat="1" ht="10.5" customHeight="1">
      <c r="A59" s="130"/>
      <c r="B59" s="161" t="s">
        <v>19</v>
      </c>
      <c r="C59" s="231" t="s">
        <v>450</v>
      </c>
      <c r="D59" s="163">
        <v>66</v>
      </c>
    </row>
    <row r="60" spans="1:4" s="129" customFormat="1" ht="10.5" customHeight="1">
      <c r="A60" s="130"/>
      <c r="B60" s="161" t="s">
        <v>21</v>
      </c>
      <c r="C60" s="159" t="s">
        <v>503</v>
      </c>
      <c r="D60" s="164">
        <f>900+250</f>
        <v>1150</v>
      </c>
    </row>
    <row r="61" spans="1:4" s="129" customFormat="1" ht="10.5" customHeight="1">
      <c r="A61" s="130"/>
      <c r="B61" s="161" t="s">
        <v>23</v>
      </c>
      <c r="C61" s="231" t="s">
        <v>504</v>
      </c>
      <c r="D61" s="163">
        <f>239+110</f>
        <v>349</v>
      </c>
    </row>
    <row r="62" spans="1:4" s="129" customFormat="1" ht="10.5" customHeight="1">
      <c r="A62" s="130"/>
      <c r="B62" s="161">
        <v>6</v>
      </c>
      <c r="C62" s="159" t="s">
        <v>482</v>
      </c>
      <c r="D62" s="164">
        <v>432</v>
      </c>
    </row>
    <row r="63" spans="1:4" s="129" customFormat="1" ht="10.5" customHeight="1">
      <c r="A63" s="130"/>
      <c r="B63" s="161" t="s">
        <v>27</v>
      </c>
      <c r="C63" s="231" t="s">
        <v>483</v>
      </c>
      <c r="D63" s="163">
        <v>60</v>
      </c>
    </row>
    <row r="64" spans="1:4" s="129" customFormat="1" ht="10.5" customHeight="1">
      <c r="A64" s="130"/>
      <c r="B64" s="161" t="s">
        <v>28</v>
      </c>
      <c r="C64" s="159" t="s">
        <v>487</v>
      </c>
      <c r="D64" s="164">
        <v>100</v>
      </c>
    </row>
    <row r="65" spans="1:4" s="129" customFormat="1" ht="10.5" customHeight="1">
      <c r="A65" s="130"/>
      <c r="B65" s="161" t="s">
        <v>30</v>
      </c>
      <c r="C65" s="159" t="s">
        <v>518</v>
      </c>
      <c r="D65" s="164">
        <v>150</v>
      </c>
    </row>
    <row r="66" spans="1:4" s="129" customFormat="1" ht="10.5" customHeight="1">
      <c r="A66" s="130"/>
      <c r="B66" s="161" t="s">
        <v>32</v>
      </c>
      <c r="C66" s="159" t="s">
        <v>529</v>
      </c>
      <c r="D66" s="164">
        <f>2188-2188</f>
        <v>0</v>
      </c>
    </row>
    <row r="67" spans="1:4" s="129" customFormat="1" ht="10.5" customHeight="1">
      <c r="A67" s="130"/>
      <c r="B67" s="161" t="s">
        <v>33</v>
      </c>
      <c r="C67" s="231" t="s">
        <v>540</v>
      </c>
      <c r="D67" s="163">
        <v>150</v>
      </c>
    </row>
    <row r="68" spans="1:4" s="129" customFormat="1" ht="10.5" customHeight="1">
      <c r="A68" s="130"/>
      <c r="B68" s="161" t="s">
        <v>101</v>
      </c>
      <c r="C68" s="159" t="s">
        <v>568</v>
      </c>
      <c r="D68" s="164">
        <f>48+154</f>
        <v>202</v>
      </c>
    </row>
    <row r="69" spans="1:4" s="129" customFormat="1" ht="3" customHeight="1">
      <c r="A69" s="130"/>
      <c r="B69" s="161"/>
      <c r="C69" s="231"/>
      <c r="D69" s="163"/>
    </row>
    <row r="70" spans="1:4" s="129" customFormat="1" ht="10.5" customHeight="1">
      <c r="A70" s="130" t="s">
        <v>48</v>
      </c>
      <c r="B70" s="161"/>
      <c r="C70" s="340" t="s">
        <v>397</v>
      </c>
      <c r="D70" s="347">
        <f>D71+D81</f>
        <v>27809</v>
      </c>
    </row>
    <row r="71" spans="1:4" s="129" customFormat="1" ht="10.5" customHeight="1">
      <c r="A71" s="130"/>
      <c r="B71" s="338" t="s">
        <v>219</v>
      </c>
      <c r="C71" s="340" t="s">
        <v>220</v>
      </c>
      <c r="D71" s="347">
        <f>D74+D73+D72+D75+D76+D77+D78+D79</f>
        <v>27640</v>
      </c>
    </row>
    <row r="72" spans="1:4" s="129" customFormat="1" ht="10.5" customHeight="1">
      <c r="A72" s="130"/>
      <c r="B72" s="161" t="s">
        <v>15</v>
      </c>
      <c r="C72" s="386" t="s">
        <v>396</v>
      </c>
      <c r="D72" s="164">
        <f>21637-2500-66+5720+4954-616-360-320-674-400-4471-2635-396-100-432-3000-376-16-365-2164-410-163-1967-5000-4500-600+674</f>
        <v>1454</v>
      </c>
    </row>
    <row r="73" spans="1:4" s="129" customFormat="1" ht="10.5" customHeight="1">
      <c r="A73" s="130"/>
      <c r="B73" s="161" t="s">
        <v>17</v>
      </c>
      <c r="C73" s="159" t="s">
        <v>446</v>
      </c>
      <c r="D73" s="163">
        <v>2700</v>
      </c>
    </row>
    <row r="74" spans="1:4" s="129" customFormat="1" ht="10.5" customHeight="1">
      <c r="A74" s="130"/>
      <c r="B74" s="161" t="s">
        <v>19</v>
      </c>
      <c r="C74" s="386" t="s">
        <v>447</v>
      </c>
      <c r="D74" s="164">
        <v>822</v>
      </c>
    </row>
    <row r="75" spans="1:4" s="129" customFormat="1" ht="10.5" customHeight="1">
      <c r="A75" s="130"/>
      <c r="B75" s="161" t="s">
        <v>21</v>
      </c>
      <c r="C75" s="386" t="s">
        <v>464</v>
      </c>
      <c r="D75" s="164">
        <f>4471</f>
        <v>4471</v>
      </c>
    </row>
    <row r="76" spans="1:4" s="129" customFormat="1" ht="10.5" customHeight="1">
      <c r="A76" s="130"/>
      <c r="B76" s="161" t="s">
        <v>23</v>
      </c>
      <c r="C76" s="386" t="s">
        <v>465</v>
      </c>
      <c r="D76" s="164">
        <f>2635-750</f>
        <v>1885</v>
      </c>
    </row>
    <row r="77" spans="1:4" s="129" customFormat="1" ht="10.5" customHeight="1">
      <c r="A77" s="130"/>
      <c r="B77" s="161" t="s">
        <v>25</v>
      </c>
      <c r="C77" s="159" t="s">
        <v>466</v>
      </c>
      <c r="D77" s="164">
        <f>1038+750</f>
        <v>1788</v>
      </c>
    </row>
    <row r="78" spans="1:4" s="129" customFormat="1" ht="10.5" customHeight="1">
      <c r="A78" s="130"/>
      <c r="B78" s="161" t="s">
        <v>27</v>
      </c>
      <c r="C78" s="159" t="s">
        <v>403</v>
      </c>
      <c r="D78" s="164">
        <f>600+3000</f>
        <v>3600</v>
      </c>
    </row>
    <row r="79" spans="1:4" s="129" customFormat="1" ht="10.5" customHeight="1">
      <c r="A79" s="130"/>
      <c r="B79" s="161" t="s">
        <v>28</v>
      </c>
      <c r="C79" s="386" t="s">
        <v>576</v>
      </c>
      <c r="D79" s="163">
        <f>6700+1340+2880</f>
        <v>10920</v>
      </c>
    </row>
    <row r="80" spans="1:4" s="129" customFormat="1" ht="3" customHeight="1">
      <c r="A80" s="130"/>
      <c r="B80" s="161"/>
      <c r="C80" s="231"/>
      <c r="D80" s="163"/>
    </row>
    <row r="81" spans="1:4" s="129" customFormat="1" ht="10.5" customHeight="1">
      <c r="A81" s="130"/>
      <c r="B81" s="338" t="s">
        <v>221</v>
      </c>
      <c r="C81" s="340" t="s">
        <v>222</v>
      </c>
      <c r="D81" s="347">
        <f>D82</f>
        <v>169</v>
      </c>
    </row>
    <row r="82" spans="1:4" s="129" customFormat="1" ht="10.5" customHeight="1" thickBot="1">
      <c r="A82" s="130"/>
      <c r="B82" s="161" t="s">
        <v>15</v>
      </c>
      <c r="C82" s="159" t="s">
        <v>472</v>
      </c>
      <c r="D82" s="164">
        <v>169</v>
      </c>
    </row>
    <row r="83" spans="1:4" s="129" customFormat="1" ht="10.5" customHeight="1" thickBot="1" thickTop="1">
      <c r="A83" s="732" t="s">
        <v>223</v>
      </c>
      <c r="B83" s="733"/>
      <c r="C83" s="734"/>
      <c r="D83" s="165">
        <f>D56+D8+D70</f>
        <v>710835</v>
      </c>
    </row>
    <row r="84" spans="1:4" s="129" customFormat="1" ht="8.25" customHeight="1">
      <c r="A84" s="128"/>
      <c r="B84" s="337"/>
      <c r="C84" s="236"/>
      <c r="D84" s="163"/>
    </row>
    <row r="85" spans="1:4" s="129" customFormat="1" ht="12" customHeight="1">
      <c r="A85" s="123" t="s">
        <v>65</v>
      </c>
      <c r="B85" s="124"/>
      <c r="C85" s="125" t="s">
        <v>224</v>
      </c>
      <c r="D85" s="135"/>
    </row>
    <row r="86" spans="1:4" s="129" customFormat="1" ht="6.75" customHeight="1">
      <c r="A86" s="123"/>
      <c r="B86" s="124"/>
      <c r="C86" s="125"/>
      <c r="D86" s="135"/>
    </row>
    <row r="87" spans="1:4" s="129" customFormat="1" ht="12" customHeight="1">
      <c r="A87" s="123"/>
      <c r="B87" s="136" t="s">
        <v>219</v>
      </c>
      <c r="C87" s="344" t="s">
        <v>220</v>
      </c>
      <c r="D87" s="137">
        <f>SUM(D88:D102)</f>
        <v>24387</v>
      </c>
    </row>
    <row r="88" spans="1:4" s="129" customFormat="1" ht="12" customHeight="1">
      <c r="A88" s="133"/>
      <c r="B88" s="161" t="s">
        <v>15</v>
      </c>
      <c r="C88" s="158" t="s">
        <v>369</v>
      </c>
      <c r="D88" s="164">
        <v>400</v>
      </c>
    </row>
    <row r="89" spans="1:4" s="129" customFormat="1" ht="12" customHeight="1">
      <c r="A89" s="128"/>
      <c r="B89" s="161" t="s">
        <v>17</v>
      </c>
      <c r="C89" s="158" t="s">
        <v>368</v>
      </c>
      <c r="D89" s="164">
        <f>2925-2925</f>
        <v>0</v>
      </c>
    </row>
    <row r="90" spans="1:4" s="129" customFormat="1" ht="12" customHeight="1">
      <c r="A90" s="128"/>
      <c r="B90" s="161" t="s">
        <v>19</v>
      </c>
      <c r="C90" s="158" t="s">
        <v>135</v>
      </c>
      <c r="D90" s="164">
        <v>4000</v>
      </c>
    </row>
    <row r="91" spans="1:4" s="129" customFormat="1" ht="12" customHeight="1">
      <c r="A91" s="128"/>
      <c r="B91" s="161" t="s">
        <v>21</v>
      </c>
      <c r="C91" s="167" t="s">
        <v>387</v>
      </c>
      <c r="D91" s="164">
        <v>600</v>
      </c>
    </row>
    <row r="92" spans="1:4" s="129" customFormat="1" ht="12" customHeight="1">
      <c r="A92" s="128"/>
      <c r="B92" s="161" t="s">
        <v>23</v>
      </c>
      <c r="C92" s="158" t="s">
        <v>389</v>
      </c>
      <c r="D92" s="164">
        <v>2000</v>
      </c>
    </row>
    <row r="93" spans="1:4" s="129" customFormat="1" ht="12" customHeight="1">
      <c r="A93" s="128"/>
      <c r="B93" s="161" t="s">
        <v>25</v>
      </c>
      <c r="C93" s="159" t="s">
        <v>403</v>
      </c>
      <c r="D93" s="163">
        <f>3000-3000</f>
        <v>0</v>
      </c>
    </row>
    <row r="94" spans="1:4" s="129" customFormat="1" ht="12" customHeight="1">
      <c r="A94" s="128"/>
      <c r="B94" s="161" t="s">
        <v>27</v>
      </c>
      <c r="C94" s="158" t="s">
        <v>407</v>
      </c>
      <c r="D94" s="164">
        <v>4000</v>
      </c>
    </row>
    <row r="95" spans="1:4" s="129" customFormat="1" ht="12" customHeight="1">
      <c r="A95" s="128"/>
      <c r="B95" s="161" t="s">
        <v>28</v>
      </c>
      <c r="C95" s="158" t="s">
        <v>405</v>
      </c>
      <c r="D95" s="162">
        <v>489</v>
      </c>
    </row>
    <row r="96" spans="1:4" s="129" customFormat="1" ht="12" customHeight="1">
      <c r="A96" s="128"/>
      <c r="B96" s="161" t="s">
        <v>30</v>
      </c>
      <c r="C96" s="160" t="s">
        <v>467</v>
      </c>
      <c r="D96" s="164">
        <f>500+616+6000</f>
        <v>7116</v>
      </c>
    </row>
    <row r="97" spans="1:4" s="129" customFormat="1" ht="12" customHeight="1">
      <c r="A97" s="128"/>
      <c r="B97" s="161" t="s">
        <v>32</v>
      </c>
      <c r="C97" s="359" t="s">
        <v>445</v>
      </c>
      <c r="D97" s="163">
        <v>150</v>
      </c>
    </row>
    <row r="98" spans="1:4" s="129" customFormat="1" ht="12" customHeight="1">
      <c r="A98" s="128"/>
      <c r="B98" s="161" t="s">
        <v>33</v>
      </c>
      <c r="C98" s="160" t="s">
        <v>459</v>
      </c>
      <c r="D98" s="164">
        <f>674-674</f>
        <v>0</v>
      </c>
    </row>
    <row r="99" spans="1:4" s="129" customFormat="1" ht="12" customHeight="1">
      <c r="A99" s="128"/>
      <c r="B99" s="161" t="s">
        <v>101</v>
      </c>
      <c r="C99" s="359" t="s">
        <v>507</v>
      </c>
      <c r="D99" s="163">
        <v>15</v>
      </c>
    </row>
    <row r="100" spans="1:4" s="129" customFormat="1" ht="12" customHeight="1">
      <c r="A100" s="128"/>
      <c r="B100" s="161" t="s">
        <v>104</v>
      </c>
      <c r="C100" s="160" t="s">
        <v>538</v>
      </c>
      <c r="D100" s="164">
        <v>3240</v>
      </c>
    </row>
    <row r="101" spans="1:4" s="129" customFormat="1" ht="12" customHeight="1">
      <c r="A101" s="128"/>
      <c r="B101" s="161" t="s">
        <v>115</v>
      </c>
      <c r="C101" s="359" t="s">
        <v>539</v>
      </c>
      <c r="D101" s="163">
        <v>410</v>
      </c>
    </row>
    <row r="102" spans="1:4" s="129" customFormat="1" ht="12" customHeight="1">
      <c r="A102" s="128"/>
      <c r="B102" s="161" t="s">
        <v>116</v>
      </c>
      <c r="C102" s="159" t="s">
        <v>543</v>
      </c>
      <c r="D102" s="164">
        <v>1967</v>
      </c>
    </row>
    <row r="103" spans="1:4" s="129" customFormat="1" ht="9" customHeight="1">
      <c r="A103" s="128"/>
      <c r="B103" s="161"/>
      <c r="C103" s="231"/>
      <c r="D103" s="163"/>
    </row>
    <row r="104" spans="1:4" s="362" customFormat="1" ht="12" customHeight="1">
      <c r="A104" s="130"/>
      <c r="B104" s="338" t="s">
        <v>221</v>
      </c>
      <c r="C104" s="361" t="s">
        <v>222</v>
      </c>
      <c r="D104" s="347">
        <f>SUM(D105:D110)</f>
        <v>775</v>
      </c>
    </row>
    <row r="105" spans="1:4" s="129" customFormat="1" ht="12" customHeight="1">
      <c r="A105" s="128"/>
      <c r="B105" s="161" t="s">
        <v>15</v>
      </c>
      <c r="C105" s="158" t="s">
        <v>428</v>
      </c>
      <c r="D105" s="164">
        <v>69</v>
      </c>
    </row>
    <row r="106" spans="1:4" s="129" customFormat="1" ht="12" customHeight="1">
      <c r="A106" s="128"/>
      <c r="B106" s="161" t="s">
        <v>17</v>
      </c>
      <c r="C106" s="158" t="s">
        <v>429</v>
      </c>
      <c r="D106" s="164">
        <v>487</v>
      </c>
    </row>
    <row r="107" spans="1:4" s="129" customFormat="1" ht="12" customHeight="1">
      <c r="A107" s="128"/>
      <c r="B107" s="161" t="s">
        <v>19</v>
      </c>
      <c r="C107" s="158" t="s">
        <v>424</v>
      </c>
      <c r="D107" s="164">
        <v>127</v>
      </c>
    </row>
    <row r="108" spans="1:4" s="129" customFormat="1" ht="12" customHeight="1">
      <c r="A108" s="128"/>
      <c r="B108" s="161" t="s">
        <v>21</v>
      </c>
      <c r="C108" s="158" t="s">
        <v>425</v>
      </c>
      <c r="D108" s="164">
        <v>25</v>
      </c>
    </row>
    <row r="109" spans="1:4" s="129" customFormat="1" ht="12" customHeight="1">
      <c r="A109" s="128"/>
      <c r="B109" s="161" t="s">
        <v>23</v>
      </c>
      <c r="C109" s="158" t="s">
        <v>426</v>
      </c>
      <c r="D109" s="164">
        <v>24</v>
      </c>
    </row>
    <row r="110" spans="1:4" s="129" customFormat="1" ht="12" customHeight="1" thickBot="1">
      <c r="A110" s="128"/>
      <c r="B110" s="161" t="s">
        <v>25</v>
      </c>
      <c r="C110" s="360" t="s">
        <v>427</v>
      </c>
      <c r="D110" s="163">
        <v>43</v>
      </c>
    </row>
    <row r="111" spans="1:4" ht="12" customHeight="1" thickBot="1" thickTop="1">
      <c r="A111" s="735" t="s">
        <v>223</v>
      </c>
      <c r="B111" s="736"/>
      <c r="C111" s="737"/>
      <c r="D111" s="134">
        <f>D87+D104</f>
        <v>25162</v>
      </c>
    </row>
    <row r="112" spans="1:4" ht="12" customHeight="1" thickTop="1">
      <c r="A112" s="138"/>
      <c r="B112" s="139"/>
      <c r="C112" s="140" t="s">
        <v>225</v>
      </c>
      <c r="D112" s="727">
        <f>D83+D111</f>
        <v>735997</v>
      </c>
    </row>
    <row r="113" spans="1:4" ht="12" customHeight="1" thickBot="1">
      <c r="A113" s="141"/>
      <c r="B113" s="142"/>
      <c r="C113" s="143" t="s">
        <v>226</v>
      </c>
      <c r="D113" s="728"/>
    </row>
    <row r="117" ht="12" customHeight="1" thickBot="1"/>
    <row r="118" spans="1:4" ht="18.75" customHeight="1">
      <c r="A118" s="415"/>
      <c r="B118" s="416"/>
      <c r="C118" s="423" t="s">
        <v>596</v>
      </c>
      <c r="D118" s="417"/>
    </row>
    <row r="119" spans="1:4" ht="12.75" customHeight="1">
      <c r="A119" s="418"/>
      <c r="B119" s="129"/>
      <c r="C119" s="424"/>
      <c r="D119" s="419"/>
    </row>
    <row r="120" spans="1:4" ht="12" customHeight="1">
      <c r="A120" s="418"/>
      <c r="B120" s="129" t="s">
        <v>15</v>
      </c>
      <c r="C120" s="414" t="s">
        <v>468</v>
      </c>
      <c r="D120" s="420">
        <v>13274</v>
      </c>
    </row>
    <row r="121" spans="1:4" ht="12" customHeight="1">
      <c r="A121" s="418"/>
      <c r="B121" s="129" t="s">
        <v>17</v>
      </c>
      <c r="C121" s="383" t="s">
        <v>535</v>
      </c>
      <c r="D121" s="421">
        <v>20000</v>
      </c>
    </row>
    <row r="122" spans="1:4" ht="12" customHeight="1">
      <c r="A122" s="418"/>
      <c r="B122" s="129" t="s">
        <v>19</v>
      </c>
      <c r="C122" s="158" t="s">
        <v>461</v>
      </c>
      <c r="D122" s="421">
        <v>41030</v>
      </c>
    </row>
    <row r="123" spans="1:4" ht="12" customHeight="1">
      <c r="A123" s="418"/>
      <c r="B123" s="129" t="s">
        <v>21</v>
      </c>
      <c r="C123" s="159" t="s">
        <v>462</v>
      </c>
      <c r="D123" s="421">
        <v>4516</v>
      </c>
    </row>
    <row r="124" spans="1:4" ht="12" customHeight="1" thickBot="1">
      <c r="A124" s="418"/>
      <c r="B124" s="129" t="s">
        <v>23</v>
      </c>
      <c r="C124" s="386" t="s">
        <v>520</v>
      </c>
      <c r="D124" s="422">
        <v>3630</v>
      </c>
    </row>
    <row r="125" spans="1:4" ht="15" customHeight="1" thickBot="1" thickTop="1">
      <c r="A125" s="425"/>
      <c r="B125" s="426"/>
      <c r="C125" s="427" t="s">
        <v>228</v>
      </c>
      <c r="D125" s="428">
        <f>SUM(D120:D124)</f>
        <v>82450</v>
      </c>
    </row>
  </sheetData>
  <sheetProtection/>
  <mergeCells count="4">
    <mergeCell ref="D112:D113"/>
    <mergeCell ref="A6:C6"/>
    <mergeCell ref="A83:C83"/>
    <mergeCell ref="A111:C111"/>
  </mergeCells>
  <printOptions horizontalCentered="1"/>
  <pageMargins left="0.7874015748031497" right="0.7874015748031497" top="0.5905511811023623" bottom="0.3937007874015748" header="0.5118110236220472" footer="0"/>
  <pageSetup horizontalDpi="600" verticalDpi="600" orientation="portrait" paperSize="9" scale="87" r:id="rId2"/>
  <rowBreaks count="1" manualBreakCount="1">
    <brk id="8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463" bestFit="1" customWidth="1"/>
    <col min="2" max="2" width="51.75390625" style="463" customWidth="1"/>
    <col min="3" max="3" width="16.00390625" style="463" bestFit="1" customWidth="1"/>
    <col min="4" max="4" width="38.25390625" style="484" bestFit="1" customWidth="1"/>
    <col min="5" max="16384" width="9.125" style="463" customWidth="1"/>
  </cols>
  <sheetData>
    <row r="1" spans="1:4" ht="11.25">
      <c r="A1" s="459"/>
      <c r="B1" s="460"/>
      <c r="C1" s="461"/>
      <c r="D1" s="462"/>
    </row>
    <row r="2" spans="1:4" ht="11.25">
      <c r="A2" s="459"/>
      <c r="B2" s="460"/>
      <c r="C2" s="461"/>
      <c r="D2" s="464"/>
    </row>
    <row r="3" spans="1:4" ht="11.25">
      <c r="A3" s="459"/>
      <c r="B3" s="459" t="s">
        <v>227</v>
      </c>
      <c r="C3" s="459"/>
      <c r="D3" s="459"/>
    </row>
    <row r="4" spans="1:4" ht="11.25">
      <c r="A4" s="459"/>
      <c r="B4" s="459"/>
      <c r="C4" s="459"/>
      <c r="D4" s="459"/>
    </row>
    <row r="5" spans="1:4" ht="11.25">
      <c r="A5" s="459"/>
      <c r="B5" s="460"/>
      <c r="C5" s="461"/>
      <c r="D5" s="464"/>
    </row>
    <row r="6" spans="1:4" ht="11.25">
      <c r="A6" s="459"/>
      <c r="B6" s="460"/>
      <c r="C6" s="461"/>
      <c r="D6" s="464"/>
    </row>
    <row r="7" spans="1:4" ht="11.25">
      <c r="A7" s="459"/>
      <c r="B7" s="460"/>
      <c r="C7" s="461"/>
      <c r="D7" s="464"/>
    </row>
    <row r="8" spans="1:4" ht="11.25">
      <c r="A8" s="459"/>
      <c r="B8" s="460"/>
      <c r="C8" s="461"/>
      <c r="D8" s="464"/>
    </row>
    <row r="9" spans="1:4" ht="11.25">
      <c r="A9" s="459"/>
      <c r="B9" s="460"/>
      <c r="C9" s="461"/>
      <c r="D9" s="465"/>
    </row>
    <row r="10" spans="1:4" ht="12" thickBot="1">
      <c r="A10" s="459"/>
      <c r="B10" s="460"/>
      <c r="C10" s="461"/>
      <c r="D10" s="465" t="s">
        <v>597</v>
      </c>
    </row>
    <row r="11" spans="1:4" ht="23.25" thickBot="1">
      <c r="A11" s="466" t="s">
        <v>598</v>
      </c>
      <c r="B11" s="467" t="s">
        <v>599</v>
      </c>
      <c r="C11" s="468" t="s">
        <v>600</v>
      </c>
      <c r="D11" s="469" t="s">
        <v>601</v>
      </c>
    </row>
    <row r="12" spans="1:4" ht="22.5">
      <c r="A12" s="470" t="s">
        <v>15</v>
      </c>
      <c r="B12" s="471" t="s">
        <v>602</v>
      </c>
      <c r="C12" s="472">
        <f>1000-100</f>
        <v>900</v>
      </c>
      <c r="D12" s="473" t="s">
        <v>603</v>
      </c>
    </row>
    <row r="13" spans="1:4" ht="33.75">
      <c r="A13" s="474" t="s">
        <v>17</v>
      </c>
      <c r="B13" s="475" t="s">
        <v>604</v>
      </c>
      <c r="C13" s="472">
        <f>2000-468-396-536-600</f>
        <v>0</v>
      </c>
      <c r="D13" s="476" t="s">
        <v>603</v>
      </c>
    </row>
    <row r="14" spans="1:4" ht="28.5" customHeight="1">
      <c r="A14" s="474" t="s">
        <v>19</v>
      </c>
      <c r="B14" s="475" t="s">
        <v>605</v>
      </c>
      <c r="C14" s="472">
        <f>1000-100-264-30-99-36-175-30-60-41-9-24-27-10-53-30</f>
        <v>12</v>
      </c>
      <c r="D14" s="476" t="s">
        <v>603</v>
      </c>
    </row>
    <row r="15" spans="1:4" ht="28.5" customHeight="1">
      <c r="A15" s="474" t="s">
        <v>21</v>
      </c>
      <c r="B15" s="475" t="s">
        <v>606</v>
      </c>
      <c r="C15" s="472">
        <f>500-60-25-22-40-60-50-43-25-20-40-50</f>
        <v>65</v>
      </c>
      <c r="D15" s="476" t="s">
        <v>607</v>
      </c>
    </row>
    <row r="16" spans="1:4" ht="36" customHeight="1">
      <c r="A16" s="474" t="s">
        <v>23</v>
      </c>
      <c r="B16" s="475" t="s">
        <v>608</v>
      </c>
      <c r="C16" s="472">
        <f>2000-45-1350-50-130-40-40-40-209-15-20</f>
        <v>61</v>
      </c>
      <c r="D16" s="476" t="s">
        <v>609</v>
      </c>
    </row>
    <row r="17" spans="1:4" ht="28.5" customHeight="1">
      <c r="A17" s="474" t="s">
        <v>25</v>
      </c>
      <c r="B17" s="475" t="s">
        <v>610</v>
      </c>
      <c r="C17" s="472">
        <f>600-12-320-25-30-10-108</f>
        <v>95</v>
      </c>
      <c r="D17" s="476" t="s">
        <v>611</v>
      </c>
    </row>
    <row r="18" spans="1:4" ht="28.5" customHeight="1" thickBot="1">
      <c r="A18" s="477" t="s">
        <v>27</v>
      </c>
      <c r="B18" s="478" t="s">
        <v>612</v>
      </c>
      <c r="C18" s="472">
        <f>500-20-50-40-25-50-200</f>
        <v>115</v>
      </c>
      <c r="D18" s="479" t="s">
        <v>613</v>
      </c>
    </row>
    <row r="19" spans="1:4" ht="12" thickBot="1">
      <c r="A19" s="480"/>
      <c r="B19" s="481" t="s">
        <v>228</v>
      </c>
      <c r="C19" s="482">
        <f>SUM(C12:C18)</f>
        <v>1248</v>
      </c>
      <c r="D19" s="48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6:K35"/>
  <sheetViews>
    <sheetView view="pageBreakPreview" zoomScaleNormal="40" zoomScaleSheetLayoutView="100" zoomScalePageLayoutView="0" workbookViewId="0" topLeftCell="A1">
      <selection activeCell="D9" sqref="D9"/>
    </sheetView>
  </sheetViews>
  <sheetFormatPr defaultColWidth="9.00390625" defaultRowHeight="12" customHeight="1"/>
  <cols>
    <col min="1" max="1" width="5.00390625" style="485" customWidth="1"/>
    <col min="2" max="2" width="3.875" style="485" customWidth="1"/>
    <col min="3" max="3" width="58.25390625" style="485" customWidth="1"/>
    <col min="4" max="10" width="10.75390625" style="485" customWidth="1"/>
    <col min="11" max="16384" width="9.125" style="485" customWidth="1"/>
  </cols>
  <sheetData>
    <row r="5" ht="12" customHeight="1" thickBot="1"/>
    <row r="6" spans="2:9" ht="12">
      <c r="B6" s="739"/>
      <c r="C6" s="741" t="s">
        <v>614</v>
      </c>
      <c r="D6" s="486"/>
      <c r="E6" s="487"/>
      <c r="F6" s="488"/>
      <c r="G6" s="488"/>
      <c r="H6" s="488"/>
      <c r="I6" s="743" t="s">
        <v>14</v>
      </c>
    </row>
    <row r="7" spans="2:9" ht="12" customHeight="1">
      <c r="B7" s="740"/>
      <c r="C7" s="742"/>
      <c r="D7" s="489" t="s">
        <v>615</v>
      </c>
      <c r="E7" s="490" t="s">
        <v>616</v>
      </c>
      <c r="F7" s="491" t="s">
        <v>617</v>
      </c>
      <c r="G7" s="490" t="s">
        <v>618</v>
      </c>
      <c r="H7" s="492" t="s">
        <v>619</v>
      </c>
      <c r="I7" s="744"/>
    </row>
    <row r="8" spans="2:9" ht="15" customHeight="1">
      <c r="B8" s="493" t="s">
        <v>15</v>
      </c>
      <c r="C8" s="494" t="s">
        <v>620</v>
      </c>
      <c r="D8" s="495"/>
      <c r="E8" s="495">
        <v>53691</v>
      </c>
      <c r="F8" s="495"/>
      <c r="G8" s="495"/>
      <c r="H8" s="495"/>
      <c r="I8" s="496">
        <f aca="true" t="shared" si="0" ref="I8:I13">SUM(D8:H8)</f>
        <v>53691</v>
      </c>
    </row>
    <row r="9" spans="2:9" ht="15" customHeight="1">
      <c r="B9" s="493" t="s">
        <v>17</v>
      </c>
      <c r="C9" s="497" t="s">
        <v>621</v>
      </c>
      <c r="D9" s="495">
        <v>320435</v>
      </c>
      <c r="E9" s="495"/>
      <c r="F9" s="495"/>
      <c r="G9" s="495"/>
      <c r="H9" s="495"/>
      <c r="I9" s="496">
        <f t="shared" si="0"/>
        <v>320435</v>
      </c>
    </row>
    <row r="10" spans="2:9" ht="15" customHeight="1">
      <c r="B10" s="493" t="s">
        <v>19</v>
      </c>
      <c r="C10" s="497" t="s">
        <v>482</v>
      </c>
      <c r="D10" s="498">
        <f>85+471</f>
        <v>556</v>
      </c>
      <c r="E10" s="498">
        <f>33+522</f>
        <v>555</v>
      </c>
      <c r="F10" s="498">
        <f>174.47*0.26537</f>
        <v>46.2991039</v>
      </c>
      <c r="G10" s="498"/>
      <c r="H10" s="495"/>
      <c r="I10" s="499">
        <f t="shared" si="0"/>
        <v>1157.2991039</v>
      </c>
    </row>
    <row r="11" spans="2:9" ht="15" customHeight="1">
      <c r="B11" s="493" t="s">
        <v>21</v>
      </c>
      <c r="C11" s="500" t="s">
        <v>622</v>
      </c>
      <c r="D11" s="498">
        <v>489</v>
      </c>
      <c r="E11" s="498">
        <v>978</v>
      </c>
      <c r="F11" s="498">
        <v>978</v>
      </c>
      <c r="G11" s="498">
        <v>978</v>
      </c>
      <c r="H11" s="495">
        <v>978</v>
      </c>
      <c r="I11" s="499">
        <f t="shared" si="0"/>
        <v>4401</v>
      </c>
    </row>
    <row r="12" spans="2:9" ht="15" customHeight="1">
      <c r="B12" s="493" t="s">
        <v>23</v>
      </c>
      <c r="C12" s="497" t="s">
        <v>623</v>
      </c>
      <c r="D12" s="495"/>
      <c r="E12" s="498"/>
      <c r="F12" s="498"/>
      <c r="G12" s="498"/>
      <c r="H12" s="498"/>
      <c r="I12" s="499">
        <f t="shared" si="0"/>
        <v>0</v>
      </c>
    </row>
    <row r="13" spans="2:9" ht="15" customHeight="1">
      <c r="B13" s="493" t="s">
        <v>25</v>
      </c>
      <c r="C13" s="497" t="s">
        <v>624</v>
      </c>
      <c r="D13" s="495">
        <f>(93417*1.2*0.5)/2</f>
        <v>28025.1</v>
      </c>
      <c r="E13" s="498">
        <f>93417*1.045*1.2</f>
        <v>117144.91799999999</v>
      </c>
      <c r="F13" s="498">
        <f>+E13*1.03</f>
        <v>120659.26554</v>
      </c>
      <c r="G13" s="498">
        <f>+F13*1.028</f>
        <v>124037.72497512</v>
      </c>
      <c r="H13" s="498">
        <f>+G13*1.028</f>
        <v>127510.78127442337</v>
      </c>
      <c r="I13" s="499">
        <f t="shared" si="0"/>
        <v>517377.7897895433</v>
      </c>
    </row>
    <row r="14" spans="2:9" ht="15" customHeight="1">
      <c r="B14" s="493" t="s">
        <v>27</v>
      </c>
      <c r="C14" s="497" t="s">
        <v>625</v>
      </c>
      <c r="D14" s="495">
        <f>(39581*1.2*0.5)/2+1</f>
        <v>11875.3</v>
      </c>
      <c r="E14" s="498">
        <f>39581*1.045*1.2</f>
        <v>49634.57399999999</v>
      </c>
      <c r="F14" s="498">
        <f>+E14*1.03</f>
        <v>51123.61121999999</v>
      </c>
      <c r="G14" s="498">
        <f>+F14*1.028</f>
        <v>52555.072334159995</v>
      </c>
      <c r="H14" s="498">
        <f>+G14*1.028</f>
        <v>54026.614359516476</v>
      </c>
      <c r="I14" s="499">
        <f>SUM(D14:H14)+1</f>
        <v>219216.17191367646</v>
      </c>
    </row>
    <row r="15" spans="2:9" s="506" customFormat="1" ht="30" customHeight="1" thickBot="1">
      <c r="B15" s="501"/>
      <c r="C15" s="502" t="s">
        <v>626</v>
      </c>
      <c r="D15" s="503">
        <f aca="true" t="shared" si="1" ref="D15:I15">SUM(D8:D14)</f>
        <v>361380.39999999997</v>
      </c>
      <c r="E15" s="504">
        <f>SUM(E8:E14)+1</f>
        <v>222004.492</v>
      </c>
      <c r="F15" s="504">
        <f t="shared" si="1"/>
        <v>172807.1758639</v>
      </c>
      <c r="G15" s="504">
        <f t="shared" si="1"/>
        <v>177570.79730928</v>
      </c>
      <c r="H15" s="504">
        <f t="shared" si="1"/>
        <v>182515.39563393983</v>
      </c>
      <c r="I15" s="505">
        <f t="shared" si="1"/>
        <v>1116278.2608071198</v>
      </c>
    </row>
    <row r="16" spans="3:9" s="506" customFormat="1" ht="30" customHeight="1" thickBot="1">
      <c r="C16" s="507"/>
      <c r="D16" s="508"/>
      <c r="E16" s="508"/>
      <c r="F16" s="508"/>
      <c r="G16" s="508"/>
      <c r="H16" s="508"/>
      <c r="I16" s="508"/>
    </row>
    <row r="17" spans="2:9" ht="12">
      <c r="B17" s="745"/>
      <c r="C17" s="741" t="s">
        <v>627</v>
      </c>
      <c r="D17" s="486"/>
      <c r="E17" s="487"/>
      <c r="F17" s="488"/>
      <c r="G17" s="488"/>
      <c r="H17" s="488"/>
      <c r="I17" s="747" t="s">
        <v>14</v>
      </c>
    </row>
    <row r="18" spans="2:9" ht="12" customHeight="1">
      <c r="B18" s="746"/>
      <c r="C18" s="742"/>
      <c r="D18" s="489" t="s">
        <v>615</v>
      </c>
      <c r="E18" s="490" t="s">
        <v>616</v>
      </c>
      <c r="F18" s="491" t="s">
        <v>617</v>
      </c>
      <c r="G18" s="490" t="s">
        <v>618</v>
      </c>
      <c r="H18" s="492" t="s">
        <v>619</v>
      </c>
      <c r="I18" s="748"/>
    </row>
    <row r="19" spans="2:9" ht="15" customHeight="1">
      <c r="B19" s="493" t="s">
        <v>15</v>
      </c>
      <c r="C19" s="509" t="s">
        <v>628</v>
      </c>
      <c r="D19" s="495">
        <v>452</v>
      </c>
      <c r="E19" s="495">
        <v>452</v>
      </c>
      <c r="F19" s="495">
        <v>452</v>
      </c>
      <c r="G19" s="495">
        <v>452</v>
      </c>
      <c r="H19" s="495">
        <v>452</v>
      </c>
      <c r="I19" s="496">
        <f>SUM(D19:H19)</f>
        <v>2260</v>
      </c>
    </row>
    <row r="20" spans="2:9" ht="15" customHeight="1">
      <c r="B20" s="493" t="s">
        <v>17</v>
      </c>
      <c r="C20" s="510" t="s">
        <v>629</v>
      </c>
      <c r="D20" s="495">
        <v>2045</v>
      </c>
      <c r="E20" s="495"/>
      <c r="F20" s="495"/>
      <c r="G20" s="495"/>
      <c r="H20" s="495"/>
      <c r="I20" s="496">
        <f>SUM(D20:G20)</f>
        <v>2045</v>
      </c>
    </row>
    <row r="21" spans="2:9" ht="15" customHeight="1">
      <c r="B21" s="493" t="s">
        <v>19</v>
      </c>
      <c r="C21" s="509" t="s">
        <v>630</v>
      </c>
      <c r="D21" s="511">
        <v>200</v>
      </c>
      <c r="E21" s="511">
        <v>150</v>
      </c>
      <c r="F21" s="511">
        <v>150</v>
      </c>
      <c r="G21" s="511">
        <v>0</v>
      </c>
      <c r="H21" s="511">
        <v>0</v>
      </c>
      <c r="I21" s="496">
        <f>SUM(D21:H21)</f>
        <v>500</v>
      </c>
    </row>
    <row r="22" spans="2:9" ht="15" customHeight="1">
      <c r="B22" s="512" t="s">
        <v>21</v>
      </c>
      <c r="C22" s="510" t="s">
        <v>631</v>
      </c>
      <c r="D22" s="513">
        <v>4665</v>
      </c>
      <c r="E22" s="513">
        <v>4500</v>
      </c>
      <c r="F22" s="513">
        <v>4500</v>
      </c>
      <c r="G22" s="513">
        <v>0</v>
      </c>
      <c r="H22" s="511">
        <v>0</v>
      </c>
      <c r="I22" s="499">
        <f>SUM(D22:H22)</f>
        <v>13665</v>
      </c>
    </row>
    <row r="23" spans="2:9" ht="15" customHeight="1">
      <c r="B23" s="512" t="s">
        <v>23</v>
      </c>
      <c r="C23" s="494" t="s">
        <v>632</v>
      </c>
      <c r="D23" s="513">
        <f>(0.5*57083)/2</f>
        <v>14270.75</v>
      </c>
      <c r="E23" s="513">
        <f>57083*1.045</f>
        <v>59651.73499999999</v>
      </c>
      <c r="F23" s="513">
        <f>+E23*1.03</f>
        <v>61441.28704999999</v>
      </c>
      <c r="G23" s="513">
        <f>+F23*1.028</f>
        <v>63161.64308739999</v>
      </c>
      <c r="H23" s="513">
        <f>+G23*1.028</f>
        <v>64930.169093847195</v>
      </c>
      <c r="I23" s="499">
        <f>SUM(D23:H23)</f>
        <v>263455.5842312472</v>
      </c>
    </row>
    <row r="24" spans="2:9" ht="15" customHeight="1">
      <c r="B24" s="512" t="s">
        <v>25</v>
      </c>
      <c r="C24" s="494" t="s">
        <v>633</v>
      </c>
      <c r="D24" s="513">
        <f>(0.5*23705)/2</f>
        <v>5926.25</v>
      </c>
      <c r="E24" s="513">
        <f>23706*1.045</f>
        <v>24772.769999999997</v>
      </c>
      <c r="F24" s="513">
        <f>+E24*1.03</f>
        <v>25515.9531</v>
      </c>
      <c r="G24" s="513">
        <f>+F24*1.028</f>
        <v>26230.3997868</v>
      </c>
      <c r="H24" s="513">
        <f>+G24*1.028</f>
        <v>26964.8509808304</v>
      </c>
      <c r="I24" s="499">
        <f>SUM(D24:H24)</f>
        <v>109410.22386763041</v>
      </c>
    </row>
    <row r="25" spans="2:9" s="506" customFormat="1" ht="30" customHeight="1" thickBot="1">
      <c r="B25" s="514"/>
      <c r="C25" s="515" t="s">
        <v>626</v>
      </c>
      <c r="D25" s="504">
        <f aca="true" t="shared" si="2" ref="D25:I25">SUM(D19:D24)</f>
        <v>27559</v>
      </c>
      <c r="E25" s="504">
        <f t="shared" si="2"/>
        <v>89526.50499999999</v>
      </c>
      <c r="F25" s="504">
        <f t="shared" si="2"/>
        <v>92059.24014999998</v>
      </c>
      <c r="G25" s="504">
        <f t="shared" si="2"/>
        <v>89844.0428742</v>
      </c>
      <c r="H25" s="504">
        <f t="shared" si="2"/>
        <v>92347.0200746776</v>
      </c>
      <c r="I25" s="504">
        <f t="shared" si="2"/>
        <v>391335.8080988776</v>
      </c>
    </row>
    <row r="26" ht="12" customHeight="1">
      <c r="I26" s="516"/>
    </row>
    <row r="28" ht="12" customHeight="1">
      <c r="B28" s="517" t="s">
        <v>634</v>
      </c>
    </row>
    <row r="29" spans="2:11" s="520" customFormat="1" ht="24.75" customHeight="1">
      <c r="B29" s="518">
        <v>1</v>
      </c>
      <c r="C29" s="738" t="s">
        <v>635</v>
      </c>
      <c r="D29" s="738"/>
      <c r="E29" s="738"/>
      <c r="F29" s="738"/>
      <c r="G29" s="738"/>
      <c r="H29" s="738"/>
      <c r="I29" s="738"/>
      <c r="J29" s="519"/>
      <c r="K29" s="519"/>
    </row>
    <row r="30" spans="2:11" s="520" customFormat="1" ht="11.25">
      <c r="B30" s="518">
        <v>2</v>
      </c>
      <c r="C30" s="738" t="s">
        <v>636</v>
      </c>
      <c r="D30" s="738"/>
      <c r="E30" s="738"/>
      <c r="F30" s="738"/>
      <c r="G30" s="738"/>
      <c r="H30" s="738"/>
      <c r="I30" s="738"/>
      <c r="J30" s="519"/>
      <c r="K30" s="519"/>
    </row>
    <row r="31" spans="2:11" s="520" customFormat="1" ht="11.25">
      <c r="B31" s="518">
        <v>3</v>
      </c>
      <c r="C31" s="738" t="s">
        <v>637</v>
      </c>
      <c r="D31" s="738"/>
      <c r="E31" s="738"/>
      <c r="F31" s="738"/>
      <c r="G31" s="738"/>
      <c r="H31" s="738"/>
      <c r="I31" s="738"/>
      <c r="J31" s="519"/>
      <c r="K31" s="519"/>
    </row>
    <row r="32" spans="2:3" s="520" customFormat="1" ht="12" customHeight="1">
      <c r="B32" s="521">
        <v>4</v>
      </c>
      <c r="C32" s="520" t="s">
        <v>638</v>
      </c>
    </row>
    <row r="33" spans="2:3" s="520" customFormat="1" ht="12" customHeight="1">
      <c r="B33" s="518">
        <v>5</v>
      </c>
      <c r="C33" s="520" t="s">
        <v>639</v>
      </c>
    </row>
    <row r="34" spans="2:3" ht="12" customHeight="1">
      <c r="B34" s="522">
        <v>6</v>
      </c>
      <c r="C34" s="485" t="s">
        <v>640</v>
      </c>
    </row>
    <row r="35" spans="2:3" ht="12" customHeight="1">
      <c r="B35" s="522">
        <v>7</v>
      </c>
      <c r="C35" s="485" t="s">
        <v>641</v>
      </c>
    </row>
  </sheetData>
  <sheetProtection/>
  <mergeCells count="9">
    <mergeCell ref="C29:I29"/>
    <mergeCell ref="C30:I30"/>
    <mergeCell ref="C31:I31"/>
    <mergeCell ref="B6:B7"/>
    <mergeCell ref="C6:C7"/>
    <mergeCell ref="I6:I7"/>
    <mergeCell ref="B17:B18"/>
    <mergeCell ref="C17:C18"/>
    <mergeCell ref="I17:I1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Molnár Éva</cp:lastModifiedBy>
  <cp:lastPrinted>2015-06-25T12:18:02Z</cp:lastPrinted>
  <dcterms:created xsi:type="dcterms:W3CDTF">2006-02-08T00:02:41Z</dcterms:created>
  <dcterms:modified xsi:type="dcterms:W3CDTF">2015-06-25T12:18:11Z</dcterms:modified>
  <cp:category/>
  <cp:version/>
  <cp:contentType/>
  <cp:contentStatus/>
</cp:coreProperties>
</file>