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907" firstSheet="2" activeTab="21"/>
  </bookViews>
  <sheets>
    <sheet name="1.ei felh" sheetId="1" r:id="rId1"/>
    <sheet name="2. " sheetId="2" r:id="rId2"/>
    <sheet name="3.bev " sheetId="3" r:id="rId3"/>
    <sheet name="4.int.bev " sheetId="4" r:id="rId4"/>
    <sheet name="5.kiad" sheetId="5" r:id="rId5"/>
    <sheet name="6.mell" sheetId="6" r:id="rId6"/>
    <sheet name="7.céltart" sheetId="7" r:id="rId7"/>
    <sheet name="8.mell" sheetId="8" r:id="rId8"/>
    <sheet name="9 több év" sheetId="9" r:id="rId9"/>
    <sheet name="10.mell " sheetId="10" r:id="rId10"/>
    <sheet name="11.mar.kim" sheetId="11" r:id="rId11"/>
    <sheet name="12.PM" sheetId="12" r:id="rId12"/>
    <sheet name="13 B.vagyon'16" sheetId="13" r:id="rId13"/>
    <sheet name="13 A.vagyon'17" sheetId="14" r:id="rId14"/>
    <sheet name="13 C." sheetId="15" r:id="rId15"/>
    <sheet name="13 D." sheetId="16" r:id="rId16"/>
    <sheet name="14 A.er.kim" sheetId="17" r:id="rId17"/>
    <sheet name="14 B.er.kim" sheetId="18" r:id="rId18"/>
    <sheet name="15 értékv" sheetId="19" r:id="rId19"/>
    <sheet name="1.kim" sheetId="20" r:id="rId20"/>
    <sheet name="2.kim" sheetId="21" r:id="rId21"/>
    <sheet name="3.kim áll tám" sheetId="22" r:id="rId22"/>
    <sheet name="4.kim 3év" sheetId="23" r:id="rId23"/>
  </sheets>
  <externalReferences>
    <externalReference r:id="rId26"/>
  </externalReferences>
  <definedNames>
    <definedName name="_xlnm.Print_Titles" localSheetId="11">'12.PM'!$2:$3</definedName>
    <definedName name="_xlnm.Print_Titles" localSheetId="13">'13 A.vagyon''17'!$3:$6</definedName>
    <definedName name="_xlnm.Print_Titles" localSheetId="12">'13 B.vagyon''16'!$3:$6</definedName>
    <definedName name="_xlnm.Print_Titles" localSheetId="15">'13 D.'!$2:$3</definedName>
    <definedName name="_xlnm.Print_Titles" localSheetId="16">'14 A.er.kim'!$3:$4</definedName>
    <definedName name="_xlnm.Print_Titles" localSheetId="17">'14 B.er.kim'!$3:$4</definedName>
    <definedName name="_xlnm.Print_Titles" localSheetId="18">'15 értékv'!$3:$5</definedName>
    <definedName name="_xlnm.Print_Titles" localSheetId="2">'3.bev '!$4:$5</definedName>
    <definedName name="_xlnm.Print_Titles" localSheetId="3">'4.int.bev '!$4:$7</definedName>
    <definedName name="_xlnm.Print_Titles" localSheetId="4">'5.kiad'!$5:$7</definedName>
    <definedName name="_xlnm.Print_Titles" localSheetId="5">'6.mell'!$5:$5</definedName>
    <definedName name="_xlnm.Print_Titles" localSheetId="7">'8.mell'!$3:$5</definedName>
    <definedName name="_xlnm.Print_Area" localSheetId="0">'1.ei felh'!$A$1:$O$31</definedName>
    <definedName name="_xlnm.Print_Area" localSheetId="19">'1.kim'!$A$1:$D$56</definedName>
    <definedName name="_xlnm.Print_Area" localSheetId="10">'11.mar.kim'!$A$1:$I$25</definedName>
    <definedName name="_xlnm.Print_Area" localSheetId="11">'12.PM'!$A$1:$K$33</definedName>
    <definedName name="_xlnm.Print_Area" localSheetId="15">'13 D.'!$A$1:$BI$30</definedName>
    <definedName name="_xlnm.Print_Area" localSheetId="16">'14 A.er.kim'!$A$1:$AH$42</definedName>
    <definedName name="_xlnm.Print_Area" localSheetId="17">'14 B.er.kim'!$A$1:$AH$42</definedName>
    <definedName name="_xlnm.Print_Area" localSheetId="18">'15 értékv'!$A$1:$BI$16</definedName>
    <definedName name="_xlnm.Print_Area" localSheetId="1">'2. '!$A$1:$E$132</definedName>
    <definedName name="_xlnm.Print_Area" localSheetId="2">'3.bev '!$A$1:$H$532</definedName>
    <definedName name="_xlnm.Print_Area" localSheetId="3">'4.int.bev '!$A$1:$L$45</definedName>
    <definedName name="_xlnm.Print_Area" localSheetId="22">'4.kim 3év'!$A$1:$F$48</definedName>
    <definedName name="_xlnm.Print_Area" localSheetId="4">'5.kiad'!$A$1:$R$602</definedName>
    <definedName name="_xlnm.Print_Area" localSheetId="5">'6.mell'!$A$1:$F$87</definedName>
    <definedName name="_xlnm.Print_Area" localSheetId="6">'7.céltart'!$A$1:$E$19</definedName>
    <definedName name="_xlnm.Print_Area" localSheetId="7">'8.mell'!$A$1:$M$50</definedName>
    <definedName name="_xlnm.Print_Area" localSheetId="8">'9 több év'!$A$1:$H$45</definedName>
  </definedNames>
  <calcPr fullCalcOnLoad="1"/>
</workbook>
</file>

<file path=xl/comments5.xml><?xml version="1.0" encoding="utf-8"?>
<comments xmlns="http://schemas.openxmlformats.org/spreadsheetml/2006/main">
  <authors>
    <author>Win</author>
  </authors>
  <commentList>
    <comment ref="D268" authorId="0">
      <text>
        <r>
          <rPr>
            <b/>
            <sz val="8"/>
            <rFont val="Tahoma"/>
            <family val="2"/>
          </rPr>
          <t>Win: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<sst xmlns="http://schemas.openxmlformats.org/spreadsheetml/2006/main" count="3068" uniqueCount="1112">
  <si>
    <t xml:space="preserve">Közfoglalkoztatás </t>
  </si>
  <si>
    <t>Útépítés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</si>
  <si>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</si>
  <si>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</si>
  <si>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</si>
  <si>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</si>
  <si>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</si>
  <si>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</si>
  <si>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</si>
  <si>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</si>
  <si>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</si>
  <si>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</si>
  <si>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</si>
  <si>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</si>
  <si>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</si>
  <si>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</si>
  <si>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</si>
  <si>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</si>
  <si>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</si>
  <si>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</si>
  <si>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</si>
  <si>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</si>
  <si>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</si>
  <si>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</si>
  <si>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</si>
  <si>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</si>
  <si>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</si>
  <si>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</si>
  <si>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Talajterhelési díj</t>
  </si>
  <si>
    <t>Mezőőri feladatok ellátására támogatás</t>
  </si>
  <si>
    <t>Egyéb felhalmozási célú kiadások</t>
  </si>
  <si>
    <t>Cím,</t>
  </si>
  <si>
    <t>Cím</t>
  </si>
  <si>
    <t>szám</t>
  </si>
  <si>
    <t>megnevezése</t>
  </si>
  <si>
    <t>Cím ,</t>
  </si>
  <si>
    <t>Személyi</t>
  </si>
  <si>
    <t>Dologi</t>
  </si>
  <si>
    <t>Ellátottak</t>
  </si>
  <si>
    <t>Beruházá-</t>
  </si>
  <si>
    <t>Létszám-</t>
  </si>
  <si>
    <t>Alcím</t>
  </si>
  <si>
    <t xml:space="preserve">             alcím megnevezése</t>
  </si>
  <si>
    <t>kiadások</t>
  </si>
  <si>
    <t>pénzbeli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</si>
  <si>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</si>
  <si>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</si>
  <si>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</si>
  <si>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</si>
  <si>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</si>
  <si>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</si>
  <si>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</si>
  <si>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BERUHÁZÁSOK, FELÚJÍTÁSOK ÉS EGYÉB FELHALMOZÁSI</t>
  </si>
  <si>
    <t xml:space="preserve"> </t>
  </si>
  <si>
    <t>Sor-szám</t>
  </si>
  <si>
    <t>Sikeres Magyarországért Panel Plusz Hitelprogram</t>
  </si>
  <si>
    <t>Lakbértámogatás</t>
  </si>
  <si>
    <t>Köztemetés</t>
  </si>
  <si>
    <t>Petőfi Sándor Városi Könyvtár</t>
  </si>
  <si>
    <t xml:space="preserve">Petőfi Szülőház és Emlékmúzeum </t>
  </si>
  <si>
    <t>Dolgozóknak nyújtott lakásvásárlási-, lakásépítési kölcsön</t>
  </si>
  <si>
    <t>Finanszírozási kiadások</t>
  </si>
  <si>
    <t>Általános forgalmi adó bevételek</t>
  </si>
  <si>
    <t>JELLEGŰ KIADÁSOK, TÁMOGATÁSOK ÖSSZESEN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</si>
  <si>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</si>
  <si>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</si>
  <si>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</si>
  <si>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</si>
  <si>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</si>
  <si>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</si>
  <si>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</si>
  <si>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</si>
  <si>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</si>
  <si>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</si>
  <si>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</si>
  <si>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</si>
  <si>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</si>
  <si>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</si>
  <si>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</si>
  <si>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Egyéb szociális ellátások bentlakás nélkül</t>
  </si>
  <si>
    <t>Kulturális műsorok, rendezvények, kiállítások szervezése</t>
  </si>
  <si>
    <t xml:space="preserve">      Szüreti Napok</t>
  </si>
  <si>
    <t>Közművelődési tevékenységek és támogatásuk</t>
  </si>
  <si>
    <t>Szabadidős park, fürdő- és strandszolgáltatás</t>
  </si>
  <si>
    <t>Köztemető fenntartása és működtetése</t>
  </si>
  <si>
    <t>Közfoglalkoztatás</t>
  </si>
  <si>
    <t>Egyéb működési célú kiadások</t>
  </si>
  <si>
    <t>juttatások</t>
  </si>
  <si>
    <t>juttatásai</t>
  </si>
  <si>
    <t>Ellátottak pénzbeli juttatásai</t>
  </si>
  <si>
    <t>Egyéb veszélyes hulladékok kezelése</t>
  </si>
  <si>
    <t>Szennyvíz-kezelés</t>
  </si>
  <si>
    <t>Képviselő-testületi ülések, városi rendezvények közvetítése</t>
  </si>
  <si>
    <t>Mezőgazdaság igazgatási és szabályozási feladatai</t>
  </si>
  <si>
    <t>Köz- és díszvilágítás</t>
  </si>
  <si>
    <t>Oktatási feladatok</t>
  </si>
  <si>
    <t>BURSA - támogatás önerő</t>
  </si>
  <si>
    <t>Állami lakástámogatások jogszabály alapján - Sikeres Magyarországért Panel Plusz</t>
  </si>
  <si>
    <t>-ebből OEP</t>
  </si>
  <si>
    <t>Egyéb köztisztasági tevékenységek</t>
  </si>
  <si>
    <t>Díszvilágítás</t>
  </si>
  <si>
    <t>Környezetvédelmi Alap felhasználása</t>
  </si>
  <si>
    <t>Közhatalmi bevételek</t>
  </si>
  <si>
    <t>Egyéb felhalmozás célú kiadások</t>
  </si>
  <si>
    <t>Anyakönyvi eljárás díja</t>
  </si>
  <si>
    <t>ebből: OEP támogatás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</si>
  <si>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</si>
  <si>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</si>
  <si>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</si>
  <si>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</si>
  <si>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</si>
  <si>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</si>
  <si>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</si>
  <si>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</si>
  <si>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járulékok és szociális</t>
  </si>
  <si>
    <t>Felhalmozási költségvetés összesen:</t>
  </si>
  <si>
    <t>Ebből: kötelező feladatellátás</t>
  </si>
  <si>
    <t>Kiemelt önkormányzati, városi rendezvények, fizetendő jogdíjak</t>
  </si>
  <si>
    <t>Társulási hozzájárulás</t>
  </si>
  <si>
    <t>Összesen ( II./1-7.)</t>
  </si>
  <si>
    <t>Önkormányzat bevételei</t>
  </si>
  <si>
    <t>AZ ÖNKORMÁNYZAT ÉS A POLGÁRMESTERI HIVATAL BEVÉTELEI</t>
  </si>
  <si>
    <t>Az Önkormányzat és a Polgármesteri Hivatal bevételei</t>
  </si>
  <si>
    <t>Az Önkormányzat által irányított költségvetési szervek bevételei</t>
  </si>
  <si>
    <t>AZ ÖNKORMÁNYZAT ÁLTAL IRÁNYÍTOTT KÖLTSÉGVETÉSI SZERVEK  BEVÉTELEI</t>
  </si>
  <si>
    <t xml:space="preserve">Intézményi alaptevékenység </t>
  </si>
  <si>
    <t>Utak fenntartása, építése</t>
  </si>
  <si>
    <t>Polgármesteri Hivatal</t>
  </si>
  <si>
    <t>Polgármesteri Hivatal tevékenysége</t>
  </si>
  <si>
    <t>Petőfi Sándor Társaság támogatása</t>
  </si>
  <si>
    <t>Kiskőrös Városért Alapítvány támogatása</t>
  </si>
  <si>
    <t>Kiskőrösi Labdarúgó Klub támogatása</t>
  </si>
  <si>
    <t>Települési marketing és média</t>
  </si>
  <si>
    <t>Küzdősportok támogatása</t>
  </si>
  <si>
    <t>Kiskőrösi Advent</t>
  </si>
  <si>
    <t>Összesen:</t>
  </si>
  <si>
    <t xml:space="preserve">     Térfigyelő kamera, sebességmérő üzemeltetése, bűnmegelőzés</t>
  </si>
  <si>
    <t>Feladat</t>
  </si>
  <si>
    <t>Az átcsoportosítás jogát gyakorolja</t>
  </si>
  <si>
    <t>Rendkívüli javítások, karbantartások elvégzése, halaszthatatlan kisértékű tárgyi eszközök pótlása</t>
  </si>
  <si>
    <t>Polgármester</t>
  </si>
  <si>
    <t>Indokolt létszámcsökkentés végrehajtása érdekében felmerülő végkielégítés, egyéb nem tervezett rendkívüli személyi juttatás fedezete</t>
  </si>
  <si>
    <t>Az Önkormányzat és az általa irányított költségvetési szervek dologi kiadásai indokolt kiegészítéséhez szükséges tartalék</t>
  </si>
  <si>
    <t>Képviselő-testület</t>
  </si>
  <si>
    <t>-eredeti előirányzat</t>
  </si>
  <si>
    <t>-módosított előirányzat</t>
  </si>
  <si>
    <t>-teljesítés</t>
  </si>
  <si>
    <t xml:space="preserve">            önként vállalt feladatok</t>
  </si>
  <si>
    <t>hozzájáru-lási adó</t>
  </si>
  <si>
    <t>Tarta-lékok</t>
  </si>
  <si>
    <t>Munka-adókat terhelő</t>
  </si>
  <si>
    <t xml:space="preserve">             önként vállalt feladatok</t>
  </si>
  <si>
    <t xml:space="preserve">              önként vállalt feladatok</t>
  </si>
  <si>
    <r>
      <t>Ebből</t>
    </r>
    <r>
      <rPr>
        <b/>
        <sz val="10"/>
        <rFont val="Times New Roman"/>
        <family val="1"/>
      </rPr>
      <t>: kötelező feladatellátás</t>
    </r>
  </si>
  <si>
    <t>Egészségügyi, Gyermekjóléti és Szociális Intézmény</t>
  </si>
  <si>
    <t>Kiskőrösi Óvodák</t>
  </si>
  <si>
    <t>Jogalkotás</t>
  </si>
  <si>
    <t>1,1</t>
  </si>
  <si>
    <t>1,2</t>
  </si>
  <si>
    <t>1,3</t>
  </si>
  <si>
    <t>Polgármesteri Hivatal pénzbeli és természetbeni ellátásai</t>
  </si>
  <si>
    <t>2,1</t>
  </si>
  <si>
    <t>2,2</t>
  </si>
  <si>
    <t>3,1</t>
  </si>
  <si>
    <t>3,2</t>
  </si>
  <si>
    <t>állami (államigazgatási) feladat</t>
  </si>
  <si>
    <t>Vagyonhasznosításával kapcsolatos kiadások</t>
  </si>
  <si>
    <t>Áruértékesítéshez, szolgáltatásnyújtáshoz kapcsolódó ÁFA befizetések</t>
  </si>
  <si>
    <t>á</t>
  </si>
  <si>
    <r>
      <t>Ebből</t>
    </r>
    <r>
      <rPr>
        <i/>
        <sz val="10"/>
        <rFont val="Times New Roman"/>
        <family val="1"/>
      </rPr>
      <t>: kötelező feladatellátás</t>
    </r>
  </si>
  <si>
    <t>Önkormányzati vagyon hasznosításával kapcsolatos kiadások</t>
  </si>
  <si>
    <t xml:space="preserve"> Értékbecslések, tulajdoni lapok, térképkivonatok, vázrajzok, ingatlan-nyilvántartási eljárás díjai, közbeszerzési eljárások lebonyolítása, közzétételi díjak</t>
  </si>
  <si>
    <t>Lakó és nem lakó épület építése</t>
  </si>
  <si>
    <t>Kisoroszi tábor fenntartása, működtetése</t>
  </si>
  <si>
    <t>Jégelhárító rendszer működtetése</t>
  </si>
  <si>
    <t>Kiskőrös Város Hegyközsége támogatása</t>
  </si>
  <si>
    <t>Polgári védelmi védőeszközök tárolása, kezelése</t>
  </si>
  <si>
    <t>Társulás  - Háziorvosi ügyelet támogatása</t>
  </si>
  <si>
    <t>Borversenyek, Agrárexpo támogatása</t>
  </si>
  <si>
    <t>Sportcélok támogatása</t>
  </si>
  <si>
    <t>Férfi kézilabda támogatása</t>
  </si>
  <si>
    <t>Kiskőrösi Női KSZSE támogatása</t>
  </si>
  <si>
    <t>állami (államigazgatási) feladatok</t>
  </si>
  <si>
    <t>ebből: kötelező feladatellátáshoz</t>
  </si>
  <si>
    <t>önként vállalt feladatokhoz</t>
  </si>
  <si>
    <t>k: kötelező, ö: önként vállalt, á: állami feladat</t>
  </si>
  <si>
    <t>k: köte-lező, ö: önként vállalt, á: állami feladat</t>
  </si>
  <si>
    <t>- általános működési támogatás</t>
  </si>
  <si>
    <t>Költségvetési egyenleg - hiány (Bevételek összesen -kiadások összesen)</t>
  </si>
  <si>
    <t>Finanszírozási bevételek</t>
  </si>
  <si>
    <t>Ebből: kötelező feladatellátáshoz</t>
  </si>
  <si>
    <t xml:space="preserve">Felújítások </t>
  </si>
  <si>
    <t>Közutak üzemeltetése, fenntartása</t>
  </si>
  <si>
    <t>Más forrásból nem finanszírozható, városi feladatok ellátása</t>
  </si>
  <si>
    <t>Pénzeszköz-átadások ÁHK</t>
  </si>
  <si>
    <t>Támogatás-értékű kiadások ÁHB</t>
  </si>
  <si>
    <t>Rendszeres gyermekvédelmi  támogatás</t>
  </si>
  <si>
    <t>Épületek építése, fenntartása</t>
  </si>
  <si>
    <t>Tranzakciós illeték, kamatkiadások, bankköltségek</t>
  </si>
  <si>
    <t>Településrendezési terv</t>
  </si>
  <si>
    <t>Rendőrség támogatása</t>
  </si>
  <si>
    <t>Mellrákszűrés</t>
  </si>
  <si>
    <t>Felhalmozási célú támogatások államháztar-táson belülről B2.</t>
  </si>
  <si>
    <t>Működési célú támogatások államháztar-táson belülről B1.</t>
  </si>
  <si>
    <t>Működési célú átvett pénzeszközök           B6.</t>
  </si>
  <si>
    <t>Felhalmozási célú átvett pénzeszközök</t>
  </si>
  <si>
    <t>Felhalmozási célú átvett pénzeszközök               B7.</t>
  </si>
  <si>
    <t>rovat</t>
  </si>
  <si>
    <t>Működési célú</t>
  </si>
  <si>
    <t>KÖLTSÉGVETÉSI BEVÉTELEK               (B1-7.)</t>
  </si>
  <si>
    <t>A</t>
  </si>
  <si>
    <t xml:space="preserve">B16 </t>
  </si>
  <si>
    <t>Az Önkormányzat által irányított költségvetési szervek bevételei összesen A</t>
  </si>
  <si>
    <t>B</t>
  </si>
  <si>
    <t>B1. Működési célú támogatások államháztartáson belülről (B11.+…+B16.):</t>
  </si>
  <si>
    <t>B11. Önkormányzat működési támogatásai:</t>
  </si>
  <si>
    <t>B111</t>
  </si>
  <si>
    <t>B112</t>
  </si>
  <si>
    <t>- egyes köznevelési feladatok támogatása</t>
  </si>
  <si>
    <t>B113</t>
  </si>
  <si>
    <t>- szociális, gyermekjóléti és gyermekétkeztetési feladatok támogatása</t>
  </si>
  <si>
    <t>B114</t>
  </si>
  <si>
    <t>- kulturális feladatok támogatása</t>
  </si>
  <si>
    <t>B115</t>
  </si>
  <si>
    <t>- működési célú központosított előirányzatok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</si>
  <si>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</si>
  <si>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</si>
  <si>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</si>
  <si>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</si>
  <si>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Polgármesteri Hivatal:</t>
  </si>
  <si>
    <t>Társulási feladatokhoz támogatás</t>
  </si>
  <si>
    <t>Önkormányzat:</t>
  </si>
  <si>
    <t>B2. Felhalmozási célú támogatások államháztartáson belülről (B21.+…+B25) - Önkormányzat:</t>
  </si>
  <si>
    <t xml:space="preserve">B25 </t>
  </si>
  <si>
    <t>B3. Közhatalmi bevételek (B31.+…+B36.)</t>
  </si>
  <si>
    <t>B31. Jövedelemadók</t>
  </si>
  <si>
    <t>B32. Szociális hozzájárulási adó és járulákok</t>
  </si>
  <si>
    <t>B33. Bérhez és foglalkoztatáshoz kapcsolódó adók</t>
  </si>
  <si>
    <t>B34. Vagyoni típusú adók - Önkormányzat:</t>
  </si>
  <si>
    <t>B34114</t>
  </si>
  <si>
    <t>Magánszemélyek kommunális adója</t>
  </si>
  <si>
    <t>B35. Termékek és szolgáltatások adói - Önkormányzat:</t>
  </si>
  <si>
    <t>B351121</t>
  </si>
  <si>
    <t>Iparűzési adó</t>
  </si>
  <si>
    <t>B354121</t>
  </si>
  <si>
    <t>B355121</t>
  </si>
  <si>
    <t>Idegenforgalmi adó bevételek</t>
  </si>
  <si>
    <t>B355129</t>
  </si>
  <si>
    <t>B36. Egyéb közhatalmi bevételek:</t>
  </si>
  <si>
    <t>B36</t>
  </si>
  <si>
    <t>B4. Működési bevételek</t>
  </si>
  <si>
    <t>B401</t>
  </si>
  <si>
    <t>Készletértékesítés ellenértéke</t>
  </si>
  <si>
    <t>B402</t>
  </si>
  <si>
    <t>B403</t>
  </si>
  <si>
    <t>B404</t>
  </si>
  <si>
    <t>B405</t>
  </si>
  <si>
    <t>B408</t>
  </si>
  <si>
    <t>B409</t>
  </si>
  <si>
    <t>Egyéb pénzügyi műveletek bevételei</t>
  </si>
  <si>
    <t>Egyéb működési bevételek</t>
  </si>
  <si>
    <t>B5. Felhalmozási bevételek</t>
  </si>
  <si>
    <t>B6. Működési célú átvett pénzeszközök</t>
  </si>
  <si>
    <t>B7. Felhalmozási célú átvett pénzeszközök</t>
  </si>
  <si>
    <t xml:space="preserve"> Szociális lakásvásárlás, munkáltatói kölcsönök, belvízkárosult lakások visszatérítendő kölcsönei</t>
  </si>
  <si>
    <t>B8. Finanszírozási bevételek</t>
  </si>
  <si>
    <t>B8131</t>
  </si>
  <si>
    <t>B. Az Önkormányzat és a Polgármesteri Hivatal bevételei összesen B1.+…+B8.</t>
  </si>
  <si>
    <t>Ebből:kötelező feladatellátáshoz</t>
  </si>
  <si>
    <t>Önként vállalt feladatellátáshoz</t>
  </si>
  <si>
    <t xml:space="preserve">Polgármesteri Hivatal bevételei 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</si>
  <si>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</si>
  <si>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</si>
  <si>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</si>
  <si>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</si>
  <si>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</si>
  <si>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</si>
  <si>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</si>
  <si>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</si>
  <si>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</si>
  <si>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</si>
  <si>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</si>
  <si>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K9.Finanszírozási kiadások:</t>
  </si>
  <si>
    <t xml:space="preserve">KIADÁSOK ÖSSZESEN </t>
  </si>
  <si>
    <t>- ebből: kötelező feladatellátás</t>
  </si>
  <si>
    <t>önként vállalt feladatok</t>
  </si>
  <si>
    <t>államigazgatási (állami) feladatok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</si>
  <si>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</si>
  <si>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</si>
  <si>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</si>
  <si>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</si>
  <si>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pénzeszközök</t>
  </si>
  <si>
    <t>BEVÉTELEK ÖSSZESEN (I.+II.)</t>
  </si>
  <si>
    <t xml:space="preserve">Finanszírozási bevételek </t>
  </si>
  <si>
    <t>BEVÉTELEK MINDÖSSZESEN (I.+II.+III.)</t>
  </si>
  <si>
    <t>KIADÁSOK MINDÖSSZESEN (I+II+III)</t>
  </si>
  <si>
    <t>Petőfi Szülőház és Emlékmúzeum</t>
  </si>
  <si>
    <t>B16</t>
  </si>
  <si>
    <t>B21</t>
  </si>
  <si>
    <t>Szolgáltatások ellenértéke</t>
  </si>
  <si>
    <t>Kamatbevételek</t>
  </si>
  <si>
    <t>Betétek megszűntetése</t>
  </si>
  <si>
    <t>Működési bevételek B3. - B4.</t>
  </si>
  <si>
    <t>B408-410</t>
  </si>
  <si>
    <t>Intézményi beruházások, kisértékű tárgyi eszköz beszerzések</t>
  </si>
  <si>
    <t>Áru- és készletértékesítés ellenértéke</t>
  </si>
  <si>
    <t>Tulajdonosi bevétel</t>
  </si>
  <si>
    <t>Szolgáltatás ellenértéke</t>
  </si>
  <si>
    <t>teljesítés</t>
  </si>
  <si>
    <t>Kiskőrös Város Önkor-mányzata</t>
  </si>
  <si>
    <t>Petőfi Szülőház és Emlék-múzeum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</si>
  <si>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</si>
  <si>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</si>
  <si>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</si>
  <si>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</si>
  <si>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</si>
  <si>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01-02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</si>
  <si>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</si>
  <si>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</si>
  <si>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</si>
  <si>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</si>
  <si>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</si>
  <si>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03-04</t>
  </si>
  <si>
    <t xml:space="preserve">Alaptevékenység maradványa + -I + -II 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</si>
  <si>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</si>
  <si>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</si>
  <si>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</si>
  <si>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</si>
  <si>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</si>
  <si>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05-06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</si>
  <si>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</si>
  <si>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</si>
  <si>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</si>
  <si>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</si>
  <si>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</si>
  <si>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07-08</t>
  </si>
  <si>
    <t>Vállalkozási tevékenység maradványa + -III + -IV</t>
  </si>
  <si>
    <t>C</t>
  </si>
  <si>
    <t>Összes maradvány A+B</t>
  </si>
  <si>
    <t>D</t>
  </si>
  <si>
    <t>Alaptevékenység kötelezettségvállalással terhelt maradványa</t>
  </si>
  <si>
    <t>E</t>
  </si>
  <si>
    <t>Alaptevékenység szabad maradványa A-D</t>
  </si>
  <si>
    <t xml:space="preserve">F </t>
  </si>
  <si>
    <t>Vállalkozási tevékenységet terhelő befizetési kötelezettség B*0,1</t>
  </si>
  <si>
    <t>G</t>
  </si>
  <si>
    <t>Vállalkozási tevékenység felhasználható maradványa B-F</t>
  </si>
  <si>
    <t>A) NEMZETI VAGYONBA TARTOZÓ BEFEKTETETT ESZKÖZÖK</t>
  </si>
  <si>
    <t xml:space="preserve">   I.   IMMATERIÁLIS JAVAK</t>
  </si>
  <si>
    <t xml:space="preserve">         1. Vagyoni értékű jogok</t>
  </si>
  <si>
    <t xml:space="preserve">         2. Szellemi termékek</t>
  </si>
  <si>
    <t xml:space="preserve">         3. Immateriális javak értékhelyesbítése</t>
  </si>
  <si>
    <t xml:space="preserve">   II.  TÁRGYI ESZKÖZÖK</t>
  </si>
  <si>
    <t xml:space="preserve">         1. Ingatlanok és a kapcsolódó vagyoni értékű jogok</t>
  </si>
  <si>
    <t xml:space="preserve">         2. Gépek, berendezések, felszerelések, járművek</t>
  </si>
  <si>
    <t xml:space="preserve">         3. Tenyészállatok</t>
  </si>
  <si>
    <t xml:space="preserve">         4. Beruházások, felújítások</t>
  </si>
  <si>
    <t xml:space="preserve">         5. Tárgyi eszközök értékhelyesbítése</t>
  </si>
  <si>
    <t xml:space="preserve">   III. BEFEKTETETT PÉNZÜGYI ESZKÖZÖK</t>
  </si>
  <si>
    <t xml:space="preserve">         1. Tartós részesedések</t>
  </si>
  <si>
    <t xml:space="preserve">         2. Tartós hitelviszonyt megtestesítő értékpapírok</t>
  </si>
  <si>
    <t xml:space="preserve">         3. Befektetett pénzügyi eszközök értékhelyesbítése</t>
  </si>
  <si>
    <t xml:space="preserve">   IV. KONCESSZIÓBA, VAGYONKEZELÉSBE ADOTT ESZKÖZÖK</t>
  </si>
  <si>
    <t xml:space="preserve">         1. Koncesszióba, vagyonkezelésbe adott eszközök</t>
  </si>
  <si>
    <t xml:space="preserve">         2. Koncesszióba, vagyonkezelésbe adott eszközök értékhelyesbítése</t>
  </si>
  <si>
    <t>B) NEMZETI VAGYONBA TARTOZÓ FORGÓESZKÖZÖK</t>
  </si>
  <si>
    <t xml:space="preserve">   I.   KÉSZLETEK</t>
  </si>
  <si>
    <t xml:space="preserve">         1. Vásárolt készletek</t>
  </si>
  <si>
    <t xml:space="preserve">         2. Átsorolt, követelés fejében átvett készletek</t>
  </si>
  <si>
    <t xml:space="preserve">         3. Egyéb készletek</t>
  </si>
  <si>
    <t xml:space="preserve">         4. Befejezetlen termelés, félkész termékek, késztermékek</t>
  </si>
  <si>
    <t xml:space="preserve">         5. Növendék-, hízó és egyéb állatok</t>
  </si>
  <si>
    <t xml:space="preserve">   II. ÉRTÉKPAPÍROK</t>
  </si>
  <si>
    <t xml:space="preserve">         1. Nem tartós részesedés</t>
  </si>
  <si>
    <t xml:space="preserve">         2. Forgatási célú hitelviszonyt megtestesítő értékpapírok</t>
  </si>
  <si>
    <t>C) PÉNZESZKÖZÖK</t>
  </si>
  <si>
    <t xml:space="preserve">  II. Pénztárak, csekkek, betétkönyvek</t>
  </si>
  <si>
    <t xml:space="preserve"> III. Forintszámlák</t>
  </si>
  <si>
    <t xml:space="preserve"> IV. Devizaszámlák</t>
  </si>
  <si>
    <t>D) KÖVETELÉSEK</t>
  </si>
  <si>
    <t xml:space="preserve">  I. Költségvetési évben esedékes követelések</t>
  </si>
  <si>
    <t xml:space="preserve">         1.  Költségvetési évben esedékes követelések működési célú támogatások bevételeire államháztartáson belülről</t>
  </si>
  <si>
    <t xml:space="preserve">         2.  Költségvetési évben esedékes követelések felhalmozási célú támogatások bevételeire államháztartáson belülről</t>
  </si>
  <si>
    <t xml:space="preserve">         3.  Költségvetési évben esedékes követelések közhatalmi bevételre</t>
  </si>
  <si>
    <t xml:space="preserve">         4.  Költségvetési évben esedékes követelések működési bevételre</t>
  </si>
  <si>
    <t xml:space="preserve">         5.  Költségvetési évben esedékes követelések felhalmozási bevételre</t>
  </si>
  <si>
    <t xml:space="preserve">         6.  Költségvetési évben esedékes követelések működési célú átvett pénzeszközre</t>
  </si>
  <si>
    <t xml:space="preserve">         7.  Költségvetési évben esedékes követelések felhalmozási célú átvett pénzeszközre</t>
  </si>
  <si>
    <t xml:space="preserve">         8.  Költségvetési évben esedékes követelések finanszírozási bevételekre</t>
  </si>
  <si>
    <t xml:space="preserve">  II. Költségvetési évet követően esedékes követelések</t>
  </si>
  <si>
    <t xml:space="preserve">         1. Költségvetési évet követően esedékes követelések működési célú támogatások bevételeire államháztartáson belülről</t>
  </si>
  <si>
    <t xml:space="preserve">        2. Költségvetési évet követően esedékes követelések felhalmozási célú támogatások bevételeire államháztartáson belülről</t>
  </si>
  <si>
    <t xml:space="preserve">        3. Költségvetési évet követően esedékes követelések közhatalmi bevételre</t>
  </si>
  <si>
    <t xml:space="preserve">        4. Költségvetési évet követően esedékes követelések működési bevételre</t>
  </si>
  <si>
    <t xml:space="preserve">        5. Költségvetési évet követően esedékes követelések felhalmozási bevételre</t>
  </si>
  <si>
    <t xml:space="preserve">        6. Költségvetési évet követően esedékes követelések működési célú átvett pénzeszközre</t>
  </si>
  <si>
    <t xml:space="preserve">        7. Költségvetési évet követően esedékes követelések felhalmozási célú átvett pénzeszközre</t>
  </si>
  <si>
    <t xml:space="preserve">        8. Költségvetési évet követően esedékes követelések finanszírozási bevételekre</t>
  </si>
  <si>
    <t xml:space="preserve">   III. Követelés jellegű sajátos elszámolások</t>
  </si>
  <si>
    <t xml:space="preserve">        1. Adott előlegek</t>
  </si>
  <si>
    <t xml:space="preserve">        2. Továbbadási célból folyósított támogatások, ellátások elszámolása</t>
  </si>
  <si>
    <t xml:space="preserve">        3. Más által beszedett bevételek elszámolása</t>
  </si>
  <si>
    <t xml:space="preserve">        4. Forgótőke elszámolása</t>
  </si>
  <si>
    <t xml:space="preserve">        5. Vagyonkezelésbe adott eszközökkel kapcsolatos visszapótlási követelés elszámolása</t>
  </si>
  <si>
    <t xml:space="preserve">        6. Nem társadalombiztosítás pénzügyi alapjait terhelő kifizetett ellátások megtérítésének elszámolása</t>
  </si>
  <si>
    <t xml:space="preserve">        7. Folyósított, megelőlegezett társadalombiztosítási és családtámogatási ellátások elszámolása</t>
  </si>
  <si>
    <t xml:space="preserve">         9. Letétre, megőrzésre, fedezetkezelésre átadott pénzeszközök, biztosítékok</t>
  </si>
  <si>
    <t>F) AKTÍV IDŐBELI ELHATÁROLÁSOK</t>
  </si>
  <si>
    <t xml:space="preserve">         1. Eredményszemléletű bevételek aktív időbeli elhatárolása</t>
  </si>
  <si>
    <t xml:space="preserve">         2. Költségek, ráfordítások aktív időbeli elhatárolása</t>
  </si>
  <si>
    <t xml:space="preserve">         3. Halasztott ráfordítások</t>
  </si>
  <si>
    <t>ESZKÖZÖK ÖSSZESEN</t>
  </si>
  <si>
    <t>G)  SAJÁT TŐKE</t>
  </si>
  <si>
    <t xml:space="preserve">   I. Nemzeti vagyon induláskori értéke</t>
  </si>
  <si>
    <t xml:space="preserve">  II. Nemzeti vagyon változásai</t>
  </si>
  <si>
    <t xml:space="preserve"> III. Egyéb eszközök induláskor értéke és változásai</t>
  </si>
  <si>
    <t xml:space="preserve"> IV. Felhalmozott eredmény</t>
  </si>
  <si>
    <t xml:space="preserve">  V. Eszközök értékhelyesbítésének forrása</t>
  </si>
  <si>
    <t xml:space="preserve"> VI. Mérleg szerinti eredmény</t>
  </si>
  <si>
    <t>H)  KÖTELEZETTSÉGEK</t>
  </si>
  <si>
    <t xml:space="preserve">  I. Költségvetési évben esedékes kötelezettségek</t>
  </si>
  <si>
    <t xml:space="preserve">         1. Költségvetési évben esedékes kötelezettségek személyi juttatásokra</t>
  </si>
  <si>
    <t xml:space="preserve">         2. Költségvetési évben esedékes kötelezettségek munkaadókat terhelő járulékokra és szociális hozzájárulási adóra</t>
  </si>
  <si>
    <t xml:space="preserve">        3. Költségvetési évben esedékes kötelezettségek dologi kiadásokra</t>
  </si>
  <si>
    <t xml:space="preserve">        4. Költségvetési évben esedékes kötelezettségek ellátottak pénzbeli juttatásaira</t>
  </si>
  <si>
    <t xml:space="preserve">        5. Költségvetési évben esedékes kötelezettségek egyéb működési célú kiadásokra</t>
  </si>
  <si>
    <t xml:space="preserve">        6. Költségvetési évben esedékes kötelezettségek beruházásokra</t>
  </si>
  <si>
    <t xml:space="preserve">        7. Költségvetési évben esedékes kötelezettségek felújításokra</t>
  </si>
  <si>
    <t xml:space="preserve">        8. Költségvetési évben esedékes kötelezettségek egyéb felhalmozási célú kiadásokra</t>
  </si>
  <si>
    <t xml:space="preserve">        9. Költségvetési évben esedékes kötelezettségek finanszírozási kiadásokra</t>
  </si>
  <si>
    <t xml:space="preserve">  II. Költségvetési évet követően esedékes kötelezettségek</t>
  </si>
  <si>
    <t xml:space="preserve">       1. Költségvetési évet követően esedékes kötelezettségek személyi juttatásokra</t>
  </si>
  <si>
    <t xml:space="preserve">       2. Költségvetési évet követően esedékes kötelezettségek munkaadókat terhelő járulékokra és szociális hozzájárulási adóra</t>
  </si>
  <si>
    <t xml:space="preserve">      3. Költségvetési évet követően esedékes kötelezettségek dologi kiadásokra</t>
  </si>
  <si>
    <t xml:space="preserve">      4. Költségvetési évet követően esedékes kötelezettségek ellátottak pénzbeli juttatásaira</t>
  </si>
  <si>
    <t xml:space="preserve">      5. Költségvetési évet követően esedékes kötelezettségek  egyéb működési célú kiadásokra</t>
  </si>
  <si>
    <t xml:space="preserve">      6. Költségvetési évet követően esedékes kötelezettségek beruházásokra</t>
  </si>
  <si>
    <t xml:space="preserve">      7. Költségvetési évet követően esedékes kötelezettségek felújításokra</t>
  </si>
  <si>
    <t xml:space="preserve">      8. Költségvetési évet követően esedékes kötelezettségek egyéb felhalmozási célú kiadásokra</t>
  </si>
  <si>
    <t xml:space="preserve">      9. Költségvetési évet követően esedékes kötelezettségek finanszírozási kiadásokra</t>
  </si>
  <si>
    <t xml:space="preserve">  III. Kötelezettség jellegű sajátos elszámolások</t>
  </si>
  <si>
    <t xml:space="preserve">      1. Kapott előlegek</t>
  </si>
  <si>
    <t xml:space="preserve">      2. Továbbadási célból folyósított támogatások, ellátások elszámolása</t>
  </si>
  <si>
    <t xml:space="preserve">      3. Más szervezetet megillető bevételek elszámolása </t>
  </si>
  <si>
    <t xml:space="preserve">      4. Forgótőke elszámolása (Kincstár)</t>
  </si>
  <si>
    <t xml:space="preserve">      6. Nem társadalombiztosítás pénzügyi alapjait terhelő kifizetett ellátások megtérítésének elszámolása</t>
  </si>
  <si>
    <t xml:space="preserve">     7. Munkáltató által korengedményes nyugdíjhoz megfizetett hozzájárulás elszámolása</t>
  </si>
  <si>
    <t xml:space="preserve">     8. Letétre, megőrzésre, fedezetkezelésre átvett pénzeszközök, biztosítékok</t>
  </si>
  <si>
    <t xml:space="preserve">     9. Nemzetközi támogatási programok pénzeszközei</t>
  </si>
  <si>
    <t xml:space="preserve">    10. Államadósság Kezelő Központ Zrt-nél elhelyezett fedezeti betétek</t>
  </si>
  <si>
    <t xml:space="preserve">     1. Eredményszemléletű bevételek passzív időbeli elhatárolása</t>
  </si>
  <si>
    <t xml:space="preserve">     2. Költségek, ráfordítások passzív időbeli elhatárolása</t>
  </si>
  <si>
    <t xml:space="preserve">     3. Halasztott eredményszemléletű bevételek</t>
  </si>
  <si>
    <t>FORRÁSOK ÖSSZESEN</t>
  </si>
  <si>
    <t>Kiskőrösi Polgár-mesteri Hivatal</t>
  </si>
  <si>
    <t>Egészség-ügyi, Gyermekjóléti és Szociális Intézmény</t>
  </si>
  <si>
    <t>Sorszám</t>
  </si>
  <si>
    <t>Megnevezés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</si>
  <si>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</si>
  <si>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</si>
  <si>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</si>
  <si>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</si>
  <si>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</si>
  <si>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</si>
  <si>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</si>
  <si>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</si>
  <si>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</si>
  <si>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</si>
  <si>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</si>
  <si>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</si>
  <si>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</si>
  <si>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</si>
  <si>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</si>
  <si>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</si>
  <si>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</si>
  <si>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</si>
  <si>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</si>
  <si>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</si>
  <si>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</si>
  <si>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</si>
  <si>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</si>
  <si>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</si>
  <si>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</si>
  <si>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</si>
  <si>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</si>
  <si>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</si>
  <si>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</si>
  <si>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</si>
  <si>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(=I±II+III-IV-V-VI-VII) </t>
  </si>
  <si>
    <t>16</t>
  </si>
  <si>
    <t>Kapott (járó) osztalék és részesedés</t>
  </si>
  <si>
    <t>17</t>
  </si>
  <si>
    <t>18</t>
  </si>
  <si>
    <t>VIII</t>
  </si>
  <si>
    <t>19</t>
  </si>
  <si>
    <t>20</t>
  </si>
  <si>
    <t>Részesedések, értékpapírok, pénzeszközök értékvesztése</t>
  </si>
  <si>
    <t>21</t>
  </si>
  <si>
    <t>IX</t>
  </si>
  <si>
    <t xml:space="preserve">B) </t>
  </si>
  <si>
    <t>PÉNZÜGYI MŰVELETEK EREDMÉNYE (=VIII-IX)</t>
  </si>
  <si>
    <t xml:space="preserve">C) </t>
  </si>
  <si>
    <t>22</t>
  </si>
  <si>
    <t>23</t>
  </si>
  <si>
    <t>összesen</t>
  </si>
  <si>
    <t>Kiskőrösi Polgármesteri Hivatal</t>
  </si>
  <si>
    <t>kiutalt támogatás</t>
  </si>
  <si>
    <t>tényleges felhasználás</t>
  </si>
  <si>
    <t>Ft-ban</t>
  </si>
  <si>
    <t>személyi juttatások</t>
  </si>
  <si>
    <t>munkaadót terhelő járulékok</t>
  </si>
  <si>
    <t>dologi kiadások</t>
  </si>
  <si>
    <t>működési kiadások összesen</t>
  </si>
  <si>
    <t>kiadások összesen</t>
  </si>
  <si>
    <t>egyéb felhal-mozási kiadások</t>
  </si>
  <si>
    <t>felhal-mozási kiadások összesen</t>
  </si>
  <si>
    <t>beruházások, felújítások</t>
  </si>
  <si>
    <t>egyéb működési kiadások</t>
  </si>
  <si>
    <t>Önkormányzat összesen</t>
  </si>
  <si>
    <t>Mindösszesen</t>
  </si>
  <si>
    <t>Intézmények összesen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</si>
  <si>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</si>
  <si>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</si>
  <si>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</si>
  <si>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</si>
  <si>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</si>
  <si>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</si>
  <si>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</si>
  <si>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Önkormányzati intézmények bevételei</t>
  </si>
  <si>
    <t>KIADÁSI ELŐIRÁNYZAT FELHASZNÁLÁS ALAKULÁSA</t>
  </si>
  <si>
    <t xml:space="preserve">Ellátottak pénzbeli juttatása </t>
  </si>
  <si>
    <t>Július</t>
  </si>
  <si>
    <t>Augusztus</t>
  </si>
  <si>
    <t>Szeptember</t>
  </si>
  <si>
    <t>Október</t>
  </si>
  <si>
    <t>November</t>
  </si>
  <si>
    <t>December</t>
  </si>
  <si>
    <t>Az európai uniós forrásokkal támogatott program megnevezése és a pályázat célja</t>
  </si>
  <si>
    <t>Kiadást finanszírozó források</t>
  </si>
  <si>
    <t>Kiadások összesen</t>
  </si>
  <si>
    <t>Önerő</t>
  </si>
  <si>
    <t>Hazai - központi támogatás</t>
  </si>
  <si>
    <t>Európai Unió támogatása</t>
  </si>
  <si>
    <t>II.  Kiskőrös Város Önkormányzata támogatásával megvalósuló projektek, programok</t>
  </si>
  <si>
    <t>Önkormányzati hozzájárulás</t>
  </si>
  <si>
    <t>támogatás</t>
  </si>
  <si>
    <t>támogatás megelőlegezése önkormányzati bevételből</t>
  </si>
  <si>
    <t>KÖTELEZETTSÉGEK</t>
  </si>
  <si>
    <t>Kötelezettség a tárgyévet követő</t>
  </si>
  <si>
    <t>ÖSSZESEN:</t>
  </si>
  <si>
    <t>Szöveges indoklás</t>
  </si>
  <si>
    <t>KÖVETELÉSEK</t>
  </si>
  <si>
    <t xml:space="preserve"> Szociális lakásvásárlás, munkáltatói kölcsönök, belvízkárosult lakások visszatérítendő támogatása</t>
  </si>
  <si>
    <t>Magyarország gazdasági stabilitásáról szóló 2011. évi CXCIV. törvény 3.§ (1) bekezdése szerinti adósságot keletkeztető ügyletek és kezességvállalások, valamint saját bevételek</t>
  </si>
  <si>
    <t>saját bevételek</t>
  </si>
  <si>
    <t>ügyek száma (db)</t>
  </si>
  <si>
    <t>összeg (Ft)</t>
  </si>
  <si>
    <t>Bölcsődei ellátásnál</t>
  </si>
  <si>
    <t>Óvodai nevelésnél</t>
  </si>
  <si>
    <t>Általános iskolai nevelésnél</t>
  </si>
  <si>
    <t>Középiskolai nevelésnél</t>
  </si>
  <si>
    <t>Kollégiumi nevelésnél</t>
  </si>
  <si>
    <t>lakosság részére lakásépítéshez, felújításhoz nyújtott kölcsön elengedése</t>
  </si>
  <si>
    <t>helyi adónál, gépjárműadónál biztosított kedvezmény, mentesség összege adónemenként (1.+2.+3.)</t>
  </si>
  <si>
    <r>
      <t>adóelengedések méltányosságból</t>
    </r>
    <r>
      <rPr>
        <u val="single"/>
        <vertAlign val="superscript"/>
        <sz val="9"/>
        <rFont val="Arial"/>
        <family val="2"/>
      </rPr>
      <t>2</t>
    </r>
  </si>
  <si>
    <t>1. ÖSSZESEN</t>
  </si>
  <si>
    <t>2. ÖSSZESEN</t>
  </si>
  <si>
    <t>helyiségek, eszközök hasznosításából származó bevételből nyújtott kedvezmény, mentesség</t>
  </si>
  <si>
    <t>órák száma</t>
  </si>
  <si>
    <t>50%-os kedvezménnyel - szabadidősport</t>
  </si>
  <si>
    <t>75%-os kedvezménnyel - diáksport</t>
  </si>
  <si>
    <t>1., 2. és 3. ÖSSZESEN</t>
  </si>
  <si>
    <t>egyéb nyújtott kedvezmény, vagy kölcsön elengedése</t>
  </si>
  <si>
    <t>létszám</t>
  </si>
  <si>
    <t>50 %-os belépődíjkedvezmény</t>
  </si>
  <si>
    <t>100 %-os belépődíjkedvezmény</t>
  </si>
  <si>
    <t>könyvtári beiratkozási díj esetében nyújtott</t>
  </si>
  <si>
    <t>50%-os kedvezmény (pedagógusok, nyugdíjasok részére)</t>
  </si>
  <si>
    <t>100%-os kedvezmény (70 év felett, egy alkalommal 16. életévig)</t>
  </si>
  <si>
    <t>Mindösszesen (A+B+C+D+E):</t>
  </si>
  <si>
    <t>Szöveges indoklás:</t>
  </si>
  <si>
    <t>Lejárat éve</t>
  </si>
  <si>
    <t>Állomány</t>
  </si>
  <si>
    <t>Cél</t>
  </si>
  <si>
    <t>Hitelek, kötvények</t>
  </si>
  <si>
    <t>Folyamatos működési feladatok</t>
  </si>
  <si>
    <t>Nyújtott kölcsönök</t>
  </si>
  <si>
    <t>folyamatos</t>
  </si>
  <si>
    <t>Munkáltatói kölcsön</t>
  </si>
  <si>
    <t>1996-2020</t>
  </si>
  <si>
    <t>Lakásépítés, vásárlás</t>
  </si>
  <si>
    <t>Kiskőrös Város Önkormányzata:</t>
  </si>
  <si>
    <t>Intézményi villamosenergia</t>
  </si>
  <si>
    <r>
      <t xml:space="preserve">múzeumi belépődíjak esetében nyújtott 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:</t>
    </r>
  </si>
  <si>
    <r>
      <t>Petőfi Sándor Művelődési Központ épületét használó civil szervezetek</t>
    </r>
    <r>
      <rPr>
        <vertAlign val="superscript"/>
        <sz val="9"/>
        <rFont val="Arial"/>
        <family val="2"/>
      </rPr>
      <t>8</t>
    </r>
  </si>
  <si>
    <r>
      <t>Sportcsarnok</t>
    </r>
    <r>
      <rPr>
        <vertAlign val="superscript"/>
        <sz val="9"/>
        <rFont val="Arial"/>
        <family val="2"/>
      </rPr>
      <t>7</t>
    </r>
  </si>
  <si>
    <r>
      <t>Sportpálya</t>
    </r>
    <r>
      <rPr>
        <vertAlign val="superscript"/>
        <sz val="9"/>
        <rFont val="Arial"/>
        <family val="2"/>
      </rPr>
      <t>7</t>
    </r>
  </si>
  <si>
    <r>
      <t>Kommunális beruházás miatt igénybevett kedvezmény</t>
    </r>
    <r>
      <rPr>
        <vertAlign val="superscript"/>
        <sz val="9"/>
        <rFont val="Arial"/>
        <family val="2"/>
      </rPr>
      <t>6</t>
    </r>
  </si>
  <si>
    <t>adókedvezmények</t>
  </si>
  <si>
    <t>Előző év</t>
  </si>
  <si>
    <t>Tárgyév</t>
  </si>
  <si>
    <t>VAGYONKIMUTATÁS TAGOLÁSA AZ ÖNKORMÁNYZAT ÁLTAL ELLÁTOTT FELADATOKHOZ VALÓ VISZONYA SZERINT (*)</t>
  </si>
  <si>
    <t xml:space="preserve"> A) TÖRZSVAGYON</t>
  </si>
  <si>
    <t xml:space="preserve">  I.  FORGALOMKÉPTELEN TÖRZSVAGYON</t>
  </si>
  <si>
    <t xml:space="preserve">         -helyi közútak és műtárgyaik, ezek tartozékai</t>
  </si>
  <si>
    <t xml:space="preserve">         - terek, parkok</t>
  </si>
  <si>
    <t xml:space="preserve">         - vizek és vízi közműnek nem minősülő közcélú vízi létesítmény</t>
  </si>
  <si>
    <t xml:space="preserve">         - egyéb forgalomképtelen ingatlanvagyon</t>
  </si>
  <si>
    <t xml:space="preserve">         - levéltári anyagok, tervtárak, terv-, térkép és iratanyag</t>
  </si>
  <si>
    <t xml:space="preserve">         - forgalomképtelen vagyonhoz tartozó ingó és egyéb vagyon</t>
  </si>
  <si>
    <t xml:space="preserve">  II.  KORLÁTOZOTTAN FORGALOMKÉPES TÖRZSVAGYON</t>
  </si>
  <si>
    <t xml:space="preserve">         - közművek</t>
  </si>
  <si>
    <t xml:space="preserve">         - muzeális gyűjtemény és emlék</t>
  </si>
  <si>
    <t xml:space="preserve">         - sportpályák és sportcélú létesítmények</t>
  </si>
  <si>
    <t xml:space="preserve">         - köztemetők</t>
  </si>
  <si>
    <t xml:space="preserve">         - korlátozottan forgalomképes egyéb ingatlanvagyon (kezelésbe adott)</t>
  </si>
  <si>
    <t xml:space="preserve">         - ingatlanokhoz kapcsolódó korlátozottan forgalomképes vagyoni értékű jogok</t>
  </si>
  <si>
    <t xml:space="preserve">         - az önkormányzat képviselő-testülete által korlátozottan forgalomképesnek minősített befektetett pénzügyi eszközök</t>
  </si>
  <si>
    <t>B) TÖRZSVAGYONON KÍVÜL EGYÉB , FORGALOMKÉPES VAGYON</t>
  </si>
  <si>
    <t xml:space="preserve">   I.  TÖRZSVAGYON KÖRÉBE NEM TARTOZÓ INGATLANOK</t>
  </si>
  <si>
    <t xml:space="preserve">   II.  TÖRZSVAGYON KÖRÉBE NEM TARTOZÓ INGÓ VAGYON</t>
  </si>
  <si>
    <t>(*) A kataszteri nyilvántartás bruttó értékei alapján</t>
  </si>
  <si>
    <t>A KÖNYVVITELI MÉRLEGBEN NEM SZEREPLŐ ESZKÖZÖK ÉS KÖTELEZETTSÉGEK KIEMELT TÉTELEI</t>
  </si>
  <si>
    <t xml:space="preserve">  I.  A "O"-RA LEÍRT DE HASZNÁLATBAN LÉVŐ, ILLETVE HASZNÁLATON KÍVÜLI ESZKÖZÖK ÁLLOMÁNYA</t>
  </si>
  <si>
    <t xml:space="preserve">  II.  ÖNKORMÁNYZAT TULAJDONÁBA LÉVŐ, A JOGSZABÁLY ALAPJÁN A SZAKMAI NYILVÁNTARTÁSBAN SZEREPLŐ ÉRTÉK NÉLKÜL NYILVÁNTARTOTT ESZKÖZÖK ÁLLOMÁNYA (képzőművészeti alkotások, régészeti leletek, kép- és hangarchívumok, gyűjtemények, kulturális javak)</t>
  </si>
  <si>
    <t xml:space="preserve"> III.  A MÉRLEGBEN ÉRTÉKKEL NEM SZEREPLŐ KÖTELEZETTSÉGEK, IDEÉRTVE A KEZESSÉG- ILLETVE GARANCIA VÁLLALÁSSAL KAPCSOLATOS FÜGGŐ KÖTELEZETTSÉGEKET</t>
  </si>
  <si>
    <t>*   Az előző évet érintő és a könyvekben tárgyévben rögzített módosítások</t>
  </si>
  <si>
    <t>**  A tárgyévet érintő és a könyvekben a tárgyévet követő évben rögzített módosítások</t>
  </si>
  <si>
    <t>Bruttó érték</t>
  </si>
  <si>
    <t>Nettó érték</t>
  </si>
  <si>
    <t>eredeti összeg</t>
  </si>
  <si>
    <t>Teljesen (0-ig) leírt eszközök bruttó értéke</t>
  </si>
  <si>
    <t>26</t>
  </si>
  <si>
    <t>25</t>
  </si>
  <si>
    <t>24</t>
  </si>
  <si>
    <t>Terven felüli értékcsökkenés visszaírás, kivezetés</t>
  </si>
  <si>
    <t>Terven felüli értékcsökkenés növekedés</t>
  </si>
  <si>
    <t>Terven felüli értékcsökkenés nyitó állománya</t>
  </si>
  <si>
    <t>Terv szerinti értékcsökkenés csökkenése</t>
  </si>
  <si>
    <t>Terv szerinti értékcsökkenés növekedése</t>
  </si>
  <si>
    <t>Terv szerinti értékcsökkenés nyitó állománya</t>
  </si>
  <si>
    <t>Egyéb csökkenés</t>
  </si>
  <si>
    <t>Költségvetési szerv, társulás alapításkori átadás, vagyonkezelésbe adás miatti átadás, vagyonkezelői jog visszaadása</t>
  </si>
  <si>
    <t xml:space="preserve">Térítésmentes átadás </t>
  </si>
  <si>
    <t>Hiány, selejtezés, megsemmisülés</t>
  </si>
  <si>
    <t xml:space="preserve">Értékesítés </t>
  </si>
  <si>
    <t>Egyéb növekedés</t>
  </si>
  <si>
    <t>Alapításkori átvétel, vagyonkezelésbe vétel miatti átvétel, vagyonkezelői jog visszavétele</t>
  </si>
  <si>
    <t xml:space="preserve">Térítésmentes átvétel </t>
  </si>
  <si>
    <t>Beruházásokból, felújításokból aktivált érték</t>
  </si>
  <si>
    <t>Nem aktivált felújítások</t>
  </si>
  <si>
    <t>Immateriális javak beszerzése, nem aktivált beruházások</t>
  </si>
  <si>
    <t>Tárgyévi nyitó állomány (előző évi záró állomány)</t>
  </si>
  <si>
    <t>Koncesszió-ba, vagyon-kezelésbe adott eszközök</t>
  </si>
  <si>
    <t>Beruházások és felújítások</t>
  </si>
  <si>
    <t>Tenyész-állatok</t>
  </si>
  <si>
    <t>Gépek, berendezé-sek, felszerelések, járművek</t>
  </si>
  <si>
    <t>Ingatlanok és kapcsolódó vagyoni értékű jogok</t>
  </si>
  <si>
    <t>Immateriális javak</t>
  </si>
  <si>
    <r>
      <t xml:space="preserve">Összes növekedés  </t>
    </r>
    <r>
      <rPr>
        <b/>
        <sz val="10"/>
        <rFont val="Arial"/>
        <family val="2"/>
      </rPr>
      <t>(=02+…+07)</t>
    </r>
  </si>
  <si>
    <r>
      <t>Összes csökkenés</t>
    </r>
    <r>
      <rPr>
        <b/>
        <sz val="10"/>
        <rFont val="Arial"/>
        <family val="2"/>
      </rPr>
      <t xml:space="preserve"> (=09+…+13)</t>
    </r>
  </si>
  <si>
    <r>
      <t xml:space="preserve">Bruttó érték összesen </t>
    </r>
    <r>
      <rPr>
        <b/>
        <sz val="10"/>
        <rFont val="Arial"/>
        <family val="2"/>
      </rPr>
      <t>(=01+08-14)</t>
    </r>
  </si>
  <si>
    <r>
      <t xml:space="preserve">Terv szerinti értékcsökkenés záró állománya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(=16+17-18)</t>
    </r>
  </si>
  <si>
    <r>
      <t xml:space="preserve">Terven felüli értékcsökkenés záró állománya </t>
    </r>
    <r>
      <rPr>
        <b/>
        <sz val="10"/>
        <rFont val="Arial"/>
        <family val="2"/>
      </rPr>
      <t>(=20+21-22)</t>
    </r>
  </si>
  <si>
    <r>
      <t xml:space="preserve">Értékcsökkenés összesen </t>
    </r>
    <r>
      <rPr>
        <b/>
        <sz val="10"/>
        <rFont val="Arial"/>
        <family val="2"/>
      </rPr>
      <t>(=19+23)</t>
    </r>
  </si>
  <si>
    <r>
      <t xml:space="preserve">Eszközök nettó értéke </t>
    </r>
    <r>
      <rPr>
        <b/>
        <sz val="10"/>
        <rFont val="Arial"/>
        <family val="2"/>
      </rPr>
      <t>(=15-24)</t>
    </r>
  </si>
  <si>
    <t>Az Önkormányzat által irányított költségvetési szervek költségvetési bevételei</t>
  </si>
  <si>
    <t>Az Önkormányzat és a Polgármesteri Hivatal költségvetési bevételei</t>
  </si>
  <si>
    <t>KÖLTSÉGVETÉSI BEVÉTELEK ÖSSZESEN (I.+II.)</t>
  </si>
  <si>
    <t>Költségvetési egyenleg - hiány (Költségvetési bevételek összesen -Költségvetési kiadások összesen)</t>
  </si>
  <si>
    <t xml:space="preserve">Költségvetési hiány finanszírozása -  belső finanszírozás - előző évek tartalékának/pénzmaradványának igénybevétele </t>
  </si>
  <si>
    <t xml:space="preserve">KÖLTSÉGVETÉSI KIADÁSOK ÖSSZESEN </t>
  </si>
  <si>
    <t>napok száma</t>
  </si>
  <si>
    <r>
      <t xml:space="preserve">magánszemélyek kommunális adója:  62 év felettiek </t>
    </r>
    <r>
      <rPr>
        <vertAlign val="superscript"/>
        <sz val="9"/>
        <rFont val="Arial"/>
        <family val="2"/>
      </rPr>
      <t>3</t>
    </r>
  </si>
  <si>
    <r>
      <t xml:space="preserve">iparűzési adóalap mentesség </t>
    </r>
    <r>
      <rPr>
        <vertAlign val="superscript"/>
        <sz val="9"/>
        <rFont val="Arial"/>
        <family val="2"/>
      </rPr>
      <t>4</t>
    </r>
  </si>
  <si>
    <r>
      <t xml:space="preserve">gépjárműadó </t>
    </r>
    <r>
      <rPr>
        <vertAlign val="superscript"/>
        <sz val="9"/>
        <rFont val="Arial"/>
        <family val="2"/>
      </rPr>
      <t>5</t>
    </r>
  </si>
  <si>
    <t>BEVÉTELEK ÖSSZESEN A+B</t>
  </si>
  <si>
    <t>Kőrösszolg Kft. - intézményüzemeltetési feladatai</t>
  </si>
  <si>
    <t>Kőrösszolg Kft. - köztisztasági és parkfenntartási feladatai</t>
  </si>
  <si>
    <t>Család- és gyermekjóléti központ kialakítása</t>
  </si>
  <si>
    <t>10.</t>
  </si>
  <si>
    <t>Nettó finanszírozás megelőlegezések visszafizetése</t>
  </si>
  <si>
    <t>Állati hulladékgyűjtő telep kialakítása</t>
  </si>
  <si>
    <t>Közvetített szolgáltatás bevétele</t>
  </si>
  <si>
    <t xml:space="preserve">Ellátási díjak </t>
  </si>
  <si>
    <t>B406</t>
  </si>
  <si>
    <t>B411</t>
  </si>
  <si>
    <t>Rendszeres gyermekvédelmi  támogatás, kedvezmény</t>
  </si>
  <si>
    <t>Követelés a tárgyévet követő</t>
  </si>
  <si>
    <t>Tárgyi eszközök</t>
  </si>
  <si>
    <t>Informatikai, ügyviteltechnikai eszközök:</t>
  </si>
  <si>
    <t>Berendezések:</t>
  </si>
  <si>
    <t>Egyéb gépek:</t>
  </si>
  <si>
    <t xml:space="preserve">                  Szoftverek</t>
  </si>
  <si>
    <t xml:space="preserve">Összesen: </t>
  </si>
  <si>
    <t>A települési önkormányzatok könyvtári célú érdekeltségnövelő támogatása</t>
  </si>
  <si>
    <t>KŐRÖSSZOLG Kiskőrösi Önkormányzat Településüzemeltetési Szolgáltató Közhasznú Nonprofit Korlátolt Felelősségű Társaság feladatellátásai</t>
  </si>
  <si>
    <t>Egészségfejlesztési Iroda fenntartása</t>
  </si>
  <si>
    <t>János Vitéz Látogatóközpont működtetése</t>
  </si>
  <si>
    <t>Bentlakásos Szociális Intézmény működtetése</t>
  </si>
  <si>
    <t>Fürdő üzemeltetési díja</t>
  </si>
  <si>
    <t>Belső ellenőrzési feladatok</t>
  </si>
  <si>
    <t xml:space="preserve">Bankszámlavezetés </t>
  </si>
  <si>
    <t>2018. szeptember 30. napjáig 3 éves fenntartási kötelezettség.</t>
  </si>
  <si>
    <t>2020. december 31. napjáig 5 éves fenntartási kötelezettség.</t>
  </si>
  <si>
    <t>2020. szeptember 30. napjáig 5 éves fenntartási kötelezettség.</t>
  </si>
  <si>
    <t>2019. június 30. napjáig 4 éves üzemeltetés.</t>
  </si>
  <si>
    <t>2017. december 31. napjáig.</t>
  </si>
  <si>
    <t>2017. június 30. napjáig.</t>
  </si>
  <si>
    <t>Bentlakásos Szociális Intézmény ellátotti gondozási díjak</t>
  </si>
  <si>
    <t>hitel, kölcsön felvételéhez, átvállaláshoz tartozó kamat tartozás - tervezett</t>
  </si>
  <si>
    <r>
      <t>ellátottak térítési díjának, illetve kártérítésének méltányossági alapon történő elengedése</t>
    </r>
    <r>
      <rPr>
        <vertAlign val="superscript"/>
        <sz val="9"/>
        <rFont val="Arial"/>
        <family val="2"/>
      </rPr>
      <t>1</t>
    </r>
  </si>
  <si>
    <r>
      <t xml:space="preserve">5 </t>
    </r>
    <r>
      <rPr>
        <sz val="8"/>
        <rFont val="Arial"/>
        <family val="2"/>
      </rPr>
      <t>A gépjáműadóról szóló 1991. évi LXXXII. törvény alapján.</t>
    </r>
  </si>
  <si>
    <r>
      <t xml:space="preserve">7 </t>
    </r>
    <r>
      <rPr>
        <sz val="8"/>
        <rFont val="Arial"/>
        <family val="2"/>
      </rPr>
      <t>A kedvezmény a szervezetek sporttevékenységének a helyi sportfeladatok meghatározásáról és ellátásáról szóló 9/2012. (III. 30.) önkormányzati rendelet alapján biztosított helyiségek bérleti díja alapján került meghatározásra.</t>
    </r>
  </si>
  <si>
    <r>
      <t xml:space="preserve">8 </t>
    </r>
    <r>
      <rPr>
        <sz val="8"/>
        <rFont val="Arial"/>
        <family val="2"/>
      </rPr>
      <t>Helyi közművelődési feladatok meghatározásáról és ellátásáról szóló többször módosított 4/1999. (IV.1.) önkormányzati rendelet 6.§-a.</t>
    </r>
  </si>
  <si>
    <r>
      <t xml:space="preserve">9  </t>
    </r>
    <r>
      <rPr>
        <sz val="8"/>
        <rFont val="Arial"/>
        <family val="2"/>
      </rPr>
      <t>Kedvezmény a muzeális intézmények látogatóit megillető kedvezményekről szóló 194/2000. (XI.24.) Kormány rendelet alapján.</t>
    </r>
  </si>
  <si>
    <t>Finanszírozási bevételek B8.</t>
  </si>
  <si>
    <t>Összesen 1-4. sorok</t>
  </si>
  <si>
    <t>Önkor-mányzati hozzá-járulás</t>
  </si>
  <si>
    <t>Támogatások államháztartáson belülről, átvett pénzeszközök</t>
  </si>
  <si>
    <t>Finanszírozási bevételek - Előző évi pénzmaradvány</t>
  </si>
  <si>
    <t xml:space="preserve">ebből: Petőfi Szülőház és Emlékmúzeum </t>
  </si>
  <si>
    <t>János Vitéz Látogatóközpont</t>
  </si>
  <si>
    <t>Előző évi pénz-maradvány B8.</t>
  </si>
  <si>
    <t xml:space="preserve"> Egyéb közhatalmi bevételek</t>
  </si>
  <si>
    <t>B6</t>
  </si>
  <si>
    <t>B52-54</t>
  </si>
  <si>
    <t>B74</t>
  </si>
  <si>
    <t>Nettó finanszírozás megelőlegezés</t>
  </si>
  <si>
    <t xml:space="preserve">Költségvetési hiány finanszírozása -  belső finanszírozás - előző év maradványának igénybevétele </t>
  </si>
  <si>
    <t>Költségvetési hiány finanszírozása -  külső finanszírozás - adósságot keletkeztető ügylet - hitel felvétele</t>
  </si>
  <si>
    <t>Előző év maradványának igénybevétele</t>
  </si>
  <si>
    <t>B817</t>
  </si>
  <si>
    <t>Adósságot keletkeztető ügylet - hitel felvétele</t>
  </si>
  <si>
    <t>B811</t>
  </si>
  <si>
    <t>B814</t>
  </si>
  <si>
    <t>Nettó finanszírozás megelőlegezése</t>
  </si>
  <si>
    <t xml:space="preserve">      'Önként vállalt feladatellátáshoz</t>
  </si>
  <si>
    <t xml:space="preserve">             Állami (államigazgatási) feladatellátáshoz</t>
  </si>
  <si>
    <t xml:space="preserve">            Állami (államigazgatási) feladatellátáshoz</t>
  </si>
  <si>
    <r>
      <t>Ebből</t>
    </r>
    <r>
      <rPr>
        <i/>
        <sz val="10"/>
        <rFont val="Times New Roman"/>
        <family val="1"/>
      </rPr>
      <t xml:space="preserve">: Petőfi Szülőház és Emlékmúzeum </t>
    </r>
  </si>
  <si>
    <t xml:space="preserve">           János Vitéz Látogatóközpont</t>
  </si>
  <si>
    <t>INTÉZMÉNYEK ÖSSZESEN ( 1. - 4. sorok )</t>
  </si>
  <si>
    <t>POLGÁRMESTERI HIVATAL KIADÁSAI ÖSSZESEN (5. sor)</t>
  </si>
  <si>
    <t xml:space="preserve">  Áruértékesítéshez, szolgáltatásnyújtáshoz kapcsolódó ÁFA befizetések</t>
  </si>
  <si>
    <t>Gyermekétkeztetési feladatok</t>
  </si>
  <si>
    <t xml:space="preserve">     Rászoruló gyermekek intézményen kívüli szünidei étkezése</t>
  </si>
  <si>
    <t xml:space="preserve">     Bentlakásos intézmény étkezés</t>
  </si>
  <si>
    <t>Önkormányzati bérlakások felújítása, kialakítása, karbantartása</t>
  </si>
  <si>
    <t>Európai Uniós szakmai konferencia - önerő</t>
  </si>
  <si>
    <t xml:space="preserve">   Kiskőrösi Smart Small Town </t>
  </si>
  <si>
    <t xml:space="preserve">    Bűnmegelőzési projektek megvalósítása</t>
  </si>
  <si>
    <t xml:space="preserve">     Új Óvoda</t>
  </si>
  <si>
    <t>SZÓ-LA-M Alapfokú Művészeti Iskola néptánc tanszak</t>
  </si>
  <si>
    <t>Települési támogatás, Erzsébet utalvány</t>
  </si>
  <si>
    <t>Önkormányzati pénzbeli, természetbeni ellátások</t>
  </si>
  <si>
    <t xml:space="preserve">    Szeretetházi Baptista Gyülekezet Kiskőrös - család- és gyermekjóléti szolgálat normatíva továbbutalása</t>
  </si>
  <si>
    <t>Támogatások</t>
  </si>
  <si>
    <t>ÖNKORMÁNYZATI KIADÁSOK ÖSSZESEN ( 6-33. sorok )</t>
  </si>
  <si>
    <r>
      <t xml:space="preserve">AZ ÖNKORMÁNYZAT ÉS A POLGÁRMESTERI HIVATAL KIADÁSAI FINANSZÍROZÁSI KIADÁSOKKAL ÖSSZESEN </t>
    </r>
    <r>
      <rPr>
        <sz val="10"/>
        <rFont val="Times New Roman"/>
        <family val="1"/>
      </rPr>
      <t>( 6-35. sorok )</t>
    </r>
  </si>
  <si>
    <t xml:space="preserve">Önkormányzati bérlakások kialakítása, vásárlása </t>
  </si>
  <si>
    <t>Pályázatokhoz önerő, pályázatok előkészítő szakaszainak kiadásai, el nem számolható kiadások</t>
  </si>
  <si>
    <t>Közfoglalkoztatás eszközök beszerzése, szociális szövetkezeti tőke</t>
  </si>
  <si>
    <t>DÉMÁSZ oszlopok kiváltások, áthelyezések</t>
  </si>
  <si>
    <t>Önkormányzati kisebb beruházások</t>
  </si>
  <si>
    <t xml:space="preserve">Egészségügyi, Gyermekjóléti és Szociális Intézmény  </t>
  </si>
  <si>
    <t>Földes utak útalappal történő kiépítése, járdaépítések, útburkolatok, parkolóépítés, gyalogátkelőhelyek kialakítása</t>
  </si>
  <si>
    <t>Szennyvízcsatornázás VII. és VIII. ütemhez kapcsolódó közműfejlesztés</t>
  </si>
  <si>
    <t>Új Óvoda építése</t>
  </si>
  <si>
    <t>Kossuth utca 6. épületbe klíma</t>
  </si>
  <si>
    <t>Nyílt szikkasztó-, vízelvezető árok lefedések, áteresz építések, csapadékvíz bekötések</t>
  </si>
  <si>
    <t xml:space="preserve">Közművelődési intézmény beruházás </t>
  </si>
  <si>
    <t>Nemzeti Szabadidős-Egészség Sportpark Program pályázat - önerő</t>
  </si>
  <si>
    <t>Önkormányzati kisebb felújítások</t>
  </si>
  <si>
    <t>Befejezett viziközmű</t>
  </si>
  <si>
    <t xml:space="preserve">Önkormányzati bérlakások felújítása </t>
  </si>
  <si>
    <t xml:space="preserve">Kollégium - emeleti vizesblokk felújítása, konyha, közösségi tér </t>
  </si>
  <si>
    <t>Csapadékvíz elvezető csatornák, árkok felújítása</t>
  </si>
  <si>
    <t>Burkolatfelújítások, parkolók, járdák felújítása</t>
  </si>
  <si>
    <t>Kisoroszi tábor, Krimpeni Ház felújítása</t>
  </si>
  <si>
    <t>Volt iskolaépület felújítása</t>
  </si>
  <si>
    <t>Beruházások és felújítások összesen</t>
  </si>
  <si>
    <t>Kiskőrös Város Német Nemzetiségi Önkormányzata - busz vásárlás önrész</t>
  </si>
  <si>
    <t>Kiskőrösi Kézilabda Sportszervezet Kft. támogatása - kézilabda csarnok építéséhez</t>
  </si>
  <si>
    <t>eredeti</t>
  </si>
  <si>
    <t>módosított</t>
  </si>
  <si>
    <t>települési önkormányzatok nyilvános könyvtári és közművelődési feladatainak támogatása</t>
  </si>
  <si>
    <t>kiegészítő támogatások és egyéb kötött felhasználású támogatások összesen: (KGR 11/A)</t>
  </si>
  <si>
    <t>idősek otthona támogatása (KGR 11/D)</t>
  </si>
  <si>
    <t>1.-5. összesen: (KGR 11/M)</t>
  </si>
  <si>
    <t>gyermekétkeztetési feladatok támogatása (KGR 11/E)</t>
  </si>
  <si>
    <t>egyes szociális és gyermekjóléti feladatok támogatása (KGR 11/C)</t>
  </si>
  <si>
    <t>általános működési támogatás (KGR 11/C)</t>
  </si>
  <si>
    <t xml:space="preserve"> Ft-ban</t>
  </si>
  <si>
    <t xml:space="preserve">   I. Lekötött bankbetétek</t>
  </si>
  <si>
    <t>E) EGYÉB SAJÁTOS ELSZÁMOLÁSOK</t>
  </si>
  <si>
    <t>Kiskőrös Város Önkormányzata</t>
  </si>
  <si>
    <t>MÉRLEG SZERINTI EREDMÉNY (=±A±B)</t>
  </si>
  <si>
    <t>Pénzügyi műveletek ráfordításai (=22+23+24+25+26)</t>
  </si>
  <si>
    <t>Pénzügyi műveletek egyéb ráfordításai</t>
  </si>
  <si>
    <t xml:space="preserve">Fizetendő kamatok és kamatjellegű ráfordítások </t>
  </si>
  <si>
    <t>Befektetett pénzügyi eszközökből származó ráfordítások, árfolyamveszteségek</t>
  </si>
  <si>
    <t>Részesedésekből származó ráfordítások, árfolyamveszteségek</t>
  </si>
  <si>
    <t>Pénzügyi műveletek eredményszemléletű bevételei (=17+18+19+20+21)</t>
  </si>
  <si>
    <t>Pénzügyi műveletek egyéb eredményszemléletű bevételei</t>
  </si>
  <si>
    <t>Egyéb kapott (járó) kamatok és kamatjellegű  eredményszemléletű bevételek</t>
  </si>
  <si>
    <t>Befektetett pénzügyi eszközökből származó eredményszemléletű bevételek, árfolyamnyereség</t>
  </si>
  <si>
    <t>Részesedésekből származó eredményszemléletű bevételek, árfolyamnyereségek</t>
  </si>
  <si>
    <t>Személyi jellegű ráfordítások (=14+15+16)</t>
  </si>
  <si>
    <t>Anyagjellegű ráfordítások (=10+11+12+13)</t>
  </si>
  <si>
    <t>Egyéb eredményszemléletű bevételek (=06+07+08+09)</t>
  </si>
  <si>
    <t xml:space="preserve">   I. Lekötött  bankbetétek</t>
  </si>
  <si>
    <t>Nyitó adatok</t>
  </si>
  <si>
    <r>
      <t>Tárgyidőszak-ban elszámolt értékvesztés</t>
    </r>
    <r>
      <rPr>
        <b/>
        <sz val="10"/>
        <color indexed="10"/>
        <rFont val="Arial"/>
        <family val="2"/>
      </rPr>
      <t xml:space="preserve"> </t>
    </r>
  </si>
  <si>
    <t>Tárgyidőszak-ban visszaírt értékvesztés</t>
  </si>
  <si>
    <t>Záró adatok</t>
  </si>
  <si>
    <t>Bekerülési érték</t>
  </si>
  <si>
    <t xml:space="preserve">Értékvesztés </t>
  </si>
  <si>
    <t>Adott előlegek</t>
  </si>
  <si>
    <t>Tartós részesedések</t>
  </si>
  <si>
    <t xml:space="preserve">Tartós hitelviszonyt megtestesítő értékpapírok </t>
  </si>
  <si>
    <t xml:space="preserve">Készletek </t>
  </si>
  <si>
    <t>Lekötött bankbetétek</t>
  </si>
  <si>
    <t>Kincstáron kívüli forintszámlák</t>
  </si>
  <si>
    <t>Kincstáron kívül devizaszámlák</t>
  </si>
  <si>
    <t>Követelések a követelés jellegű sajátos elszámolások kivételével</t>
  </si>
  <si>
    <t xml:space="preserve">Nem tartós részesedések </t>
  </si>
  <si>
    <t xml:space="preserve">Forgatási célú hitelviszonyt megtestesítő értékpapírok </t>
  </si>
  <si>
    <t>Összesen (=01+…+10)</t>
  </si>
  <si>
    <t xml:space="preserve">         8. Részesedésszerzés esetén átadott eszközökpénzeszközök</t>
  </si>
  <si>
    <t xml:space="preserve">      5. Nemzeti vagyonba tartozó befektetett eszközökkel kapcsolatos egyes kötelezettség jellegű sajátos elszámolások</t>
  </si>
  <si>
    <t xml:space="preserve">I) KINCSTÁRI SZÁMLAVEZETÉSSEL KAPCSOLATOS ELSZÁMOLÁSOK </t>
  </si>
  <si>
    <t>J)  PASSZÍV IDŐBELI ELHATÁROLÁSOK</t>
  </si>
  <si>
    <t>Fizetendő kamatok és kamatjellegű ráfordítások</t>
  </si>
  <si>
    <t>Felhalmozási célú támogatások eredményszemléletű bevételei</t>
  </si>
  <si>
    <t xml:space="preserve">     Egészségfejlesztési Iroda</t>
  </si>
  <si>
    <t xml:space="preserve">   Közművelődési intézmények, közösségi színterek működtetése, Tourinform Iroda működtetése</t>
  </si>
  <si>
    <t>B406-407</t>
  </si>
  <si>
    <t>Általános forgalmi adó bevételek, visszatérítések</t>
  </si>
  <si>
    <t>Betétek elhelyezése, forgatási célú értékpapírok</t>
  </si>
  <si>
    <t>Betétek megszűntetése, forgatási célú értékpapírok</t>
  </si>
  <si>
    <t xml:space="preserve">Fejlesztési cél  </t>
  </si>
  <si>
    <t>Törvényben meghatározott feladat</t>
  </si>
  <si>
    <t>Fejlesztés bruttó forrásigénye</t>
  </si>
  <si>
    <t>Fejlesztés forrásai</t>
  </si>
  <si>
    <t>Vissza nem térítendő támogatás</t>
  </si>
  <si>
    <t>Településüzemeltetés</t>
  </si>
  <si>
    <t>Új óvoda építése</t>
  </si>
  <si>
    <t>Óvodai ellátás</t>
  </si>
  <si>
    <t>Piaccsarnok vásárlás, felújítás</t>
  </si>
  <si>
    <t>Kistermelők, őstermelők számára értékesítési lehetőség biztosítása</t>
  </si>
  <si>
    <t>Csapadékvízelvezető rendszer kiépítése, felújítása, záportározó</t>
  </si>
  <si>
    <t>Telephely bővítés, felújítás, gépvásárlás</t>
  </si>
  <si>
    <t>2016. évi kisértékű immateriális javak, tárgyi eszköz beszerzések:</t>
  </si>
  <si>
    <t>Egészségfejlesztési Iroda</t>
  </si>
  <si>
    <t>tarta-lékok</t>
  </si>
  <si>
    <t xml:space="preserve">Európai Uniós szakmai konferencia </t>
  </si>
  <si>
    <r>
      <t>Folyószámla-hitel keret - K</t>
    </r>
    <r>
      <rPr>
        <sz val="11"/>
        <rFont val="Calibri"/>
        <family val="2"/>
      </rPr>
      <t>&amp;</t>
    </r>
    <r>
      <rPr>
        <sz val="11"/>
        <rFont val="Arial"/>
        <family val="2"/>
      </rPr>
      <t>H Bank Zrt.</t>
    </r>
  </si>
  <si>
    <t>Csapadékvízelevezető rendszer kiépítése, szilárd burkolatú út építése, járdaépítés -  K&amp;H Bank Zrt.</t>
  </si>
  <si>
    <t>Fejlesztés</t>
  </si>
  <si>
    <t>Piaccsarnok vásárlás - K&amp;H Bank Zrt.</t>
  </si>
  <si>
    <t>Lakásvásárlás kölcsönök</t>
  </si>
  <si>
    <t>Volt állami tulajdonban lévő lakás vásárlása, Szociális lakástámogatás</t>
  </si>
  <si>
    <t>szociális, gyermekjóléti és gyermekétkeztetési feladatok támogatása összesen: (KGR 11/C)</t>
  </si>
  <si>
    <r>
      <t xml:space="preserve">KIADÁSOK ÖSSZESEN </t>
    </r>
    <r>
      <rPr>
        <sz val="10"/>
        <rFont val="Times New Roman"/>
        <family val="1"/>
      </rPr>
      <t>( 1-35. sorok )</t>
    </r>
  </si>
  <si>
    <t xml:space="preserve">Összesen </t>
  </si>
  <si>
    <t>Kőrösszolg. Kft. (Árpád u.8., Petőfi út 108.)</t>
  </si>
  <si>
    <t>Bács-Kiskun Megyei Kormányhivatal (Petőfi tér 1. , Petőfi tér 3.)</t>
  </si>
  <si>
    <t>Bács-Kiskun Megyei Katasztrófavédelmi Igazgatóság (Petőfi tér 3.)</t>
  </si>
  <si>
    <t>11.</t>
  </si>
  <si>
    <t>Kiskőrös Városért Alapítvány (Pozsonyi utca 2.)</t>
  </si>
  <si>
    <t>Országos Petőfi Sándor Társaság (Pozsonyi utca 2.)</t>
  </si>
  <si>
    <t>Kiskőrös Városi Polgárőrség Bűnmegelőzési és Önvédelmi Egyesület (Árpád utca 8.)</t>
  </si>
  <si>
    <t>Állampusztai OBV Intézet (Árpád utca 8.)</t>
  </si>
  <si>
    <t>VAGYONKIMUTATÁS TAGOLÁSA A KÖNYVVITELI MÉRLEGBEN SZEREPLŐ ADATOK ALAPJÁN - 2016. év</t>
  </si>
  <si>
    <t>Ft - ban</t>
  </si>
  <si>
    <t xml:space="preserve"> Ft - ban</t>
  </si>
  <si>
    <t xml:space="preserve"> B12. Elvonások és befizetések bevételei (intézmények 2016. évi szabad pénzmaradványa)</t>
  </si>
  <si>
    <t>EFOP-3.2.9-16 - Óvodai és iskolai szociális segítő tevékenység fejlesztése</t>
  </si>
  <si>
    <t>Szociális ágazati összevont pótlék, bérkompenzáció, kulturális pótlék</t>
  </si>
  <si>
    <t xml:space="preserve">KÖFOP-1.2.1-VEKOP-16 - Csatlakoztatási konstrukció az önkormányzati ASP rendszerhez </t>
  </si>
  <si>
    <t>Diákmunka támogatása</t>
  </si>
  <si>
    <t>Testvérvárosi települési program - Bethlen Gábor Alapkezelő Zrt. Támogatása</t>
  </si>
  <si>
    <t xml:space="preserve">Erszébet utalványok  </t>
  </si>
  <si>
    <t>Egészségfejlesztési Iroda fejlesztései</t>
  </si>
  <si>
    <t>Volt iskolaépület felújítása - NFM támogatás</t>
  </si>
  <si>
    <t>TOP-1.4.1-15 - Új Óvoda építése</t>
  </si>
  <si>
    <t>TOP- 1.4.1-15 - A Kiskőrösi bölcsőde fejlesztése</t>
  </si>
  <si>
    <t>TOP-3.2.2-15 - Biomassza erőmű projekt Kiskőrösön</t>
  </si>
  <si>
    <t>TOP-3.2.1-15 - Kiskőrös Város Önkormányzatának épületenergetikai fejlesztési projektje</t>
  </si>
  <si>
    <t>KEOP-4.10.0/U/15-2015-0010 - A Kiskőrös Gyógy- és Strandfürdő, Tanuszoda és Kemping tanuszodájának technológiai hő- és villamosenergia igényének kielégítése megújuló energiaforrások alkalmazásával</t>
  </si>
  <si>
    <t xml:space="preserve">„Muzeális intézmények szakmai támogatására” - Kubinyi Ágoston program </t>
  </si>
  <si>
    <t>Járásszékhely múzeumok szakmai támogatása</t>
  </si>
  <si>
    <t>Önerő kiegészítés</t>
  </si>
  <si>
    <t>TOP-2.1.3-16 - Települési környezetvédelmi infrastruktúra fejlesztések (záportározó)</t>
  </si>
  <si>
    <t>TOP-1.1.3-16 - Helyi gazdaságfejlesztés</t>
  </si>
  <si>
    <t>TOP-1.4.1-16 - Batthyányi utcai óvoda fejlesztése</t>
  </si>
  <si>
    <t>B25</t>
  </si>
  <si>
    <t>EFOP-1.2.11-16 - Esély otthon</t>
  </si>
  <si>
    <t>Közigazgatási bírságok önkormányzatot megillető része</t>
  </si>
  <si>
    <t>Kőrösszolg Kft. 2016. évi elszámolása</t>
  </si>
  <si>
    <t>VP6-7.2.1-7.4.1.2-16  - Külterületi helyi közutak fejlesztése, önkormányzati utak kezeléséhez, állapotjavításához, karbantartásához szükséges erő- és munkagépek beszerzése - önerő (út)</t>
  </si>
  <si>
    <t>Sportcélú fejlesztések</t>
  </si>
  <si>
    <t>Napelem telepítések kapcsán mérőóra és amper átalakítás</t>
  </si>
  <si>
    <t>Piaccsarnok beruházás TOP-1.1.3-16 - Helyi gazdaságfejlesztés</t>
  </si>
  <si>
    <t xml:space="preserve">TOP-2.1.3-16 - "Települési környezetvédelmi infrastuktúra fejlesztések" - Csapadékvíz gyűjtésére szolgáló záportározó kiépítéséhez szükséges ingatlanok megvásárlása, előkészítési feladatok </t>
  </si>
  <si>
    <t xml:space="preserve">TOP-3.2.1-15 - Kiskőrös Város Önkormányzatának épületenergetikai fejlesztési projektje </t>
  </si>
  <si>
    <t xml:space="preserve">TOP-3.2.2-15 - Biomassza erőmű projekt Kiskőrösön </t>
  </si>
  <si>
    <t xml:space="preserve">Köztéri Munkák létrehozása </t>
  </si>
  <si>
    <t>VP6-7.2.1-7.4.1.2-16 - Külterületi helyi közutak fejlesztése, önkormányzati utak kezeléséhez, állapotjavításához, karbantartásához szükséges erő- és munkagépek beszerzése - önerő (gép)</t>
  </si>
  <si>
    <t>HUSRB/1602 - Interreg- IPA Határon Átnyúló Együttműködési Program Magyarország- Szerbia - önerő</t>
  </si>
  <si>
    <t>Öntözőrendszer bővítése</t>
  </si>
  <si>
    <t>Új faházak vásárlása</t>
  </si>
  <si>
    <t xml:space="preserve">Térfigyelő rendszer bővítése </t>
  </si>
  <si>
    <t>2016. évi maradvány</t>
  </si>
  <si>
    <t>EFOP-4.1.7-16 - A közösségi művelődési intézmény- és szervezetrendszer tanulást segítő infrastrukturális fejlesztései - önerő</t>
  </si>
  <si>
    <t xml:space="preserve">Képviselő-testület új szavazatszámláló rendszere </t>
  </si>
  <si>
    <t>Kollégium I. és II. szint konyha berendezés</t>
  </si>
  <si>
    <t>TOP-3.1.1-16 - Kerékpárút hálózat fejlesztés Kiskőrös és Tabdi települések között - önerő</t>
  </si>
  <si>
    <t xml:space="preserve">Óvoda épületének megvásárlása </t>
  </si>
  <si>
    <t>Kézilabda csarnok építés</t>
  </si>
  <si>
    <t>Új hévízkút létesítése</t>
  </si>
  <si>
    <t>Országzászló körül burkolat</t>
  </si>
  <si>
    <t>Kiskőrösi Óvodák - játszótéri eszközök felújítása</t>
  </si>
  <si>
    <t>Termálkút felújítása</t>
  </si>
  <si>
    <t>Thököly u. 15. szám alatti önkormányzati tulajdonú ingatlan korszerűsítése - önerő</t>
  </si>
  <si>
    <t>Kiskőrösi Többcélú Kistérségi Társulás - gyepmesteri telep gépjármű beszerzés</t>
  </si>
  <si>
    <t>Kiskőrösi Labdarúgó Club támogatása</t>
  </si>
  <si>
    <t>Kiskőrösi Női Kézilabda és Szabadidősport Egyesület támogatása</t>
  </si>
  <si>
    <t>LTP hitel törlesztő részlet</t>
  </si>
  <si>
    <t>2017. évi eredeti előirányzat</t>
  </si>
  <si>
    <t>2017. évi módosított előirányzat</t>
  </si>
  <si>
    <t>Kiskőrös Városi Polgárőr Egyesület támogatása</t>
  </si>
  <si>
    <t xml:space="preserve">     Sportcélú fejlesztések</t>
  </si>
  <si>
    <t>Városi rendezvények lebonyolítása, közreműködés, fellépés</t>
  </si>
  <si>
    <t xml:space="preserve">   Kőrösszolg Kft. - sport feladatai</t>
  </si>
  <si>
    <t xml:space="preserve">TOP-5.1.2-16 - „Helyi foglalkoztatási együttműködések” </t>
  </si>
  <si>
    <t>Igazgatási tevékenység - KÖFOP-1.2.1-VEKOP-16 - Csatlakoztatási konstrukció az önkormányzati ASP rendszerhez</t>
  </si>
  <si>
    <t>Európa a polgárokért program - önerő</t>
  </si>
  <si>
    <t xml:space="preserve">Erzsébet-utalványok </t>
  </si>
  <si>
    <t xml:space="preserve">János Vitéz Látogatóközpont szakmai feladatellátás és üzemeltetési feladatok, Kőrösszolg Kft. </t>
  </si>
  <si>
    <t>TOP – 7.1.1-16 - Kulturális és közösségi terek infrastrukturális fejlesztése és helyi közösségszervezés a városi helyi fejlesztési stratégiához kapcsolódva</t>
  </si>
  <si>
    <t>Kézilabda csarnok építése</t>
  </si>
  <si>
    <t>I. Kiskőrös Város Önkormányzatánál lévő programok, projektek</t>
  </si>
  <si>
    <t>Az európai uniós forrásokkal támogatott program megnevezése</t>
  </si>
  <si>
    <t>testületi határozat száma</t>
  </si>
  <si>
    <t>elbí-rálás, benyúj-tás sza-kasza</t>
  </si>
  <si>
    <t>év</t>
  </si>
  <si>
    <t>Támogatás megelőle-gezése önkor-mányzati bevételből</t>
  </si>
  <si>
    <t>Társulási hozzá-járulás</t>
  </si>
  <si>
    <t>saját bevételből</t>
  </si>
  <si>
    <t>hitelből</t>
  </si>
  <si>
    <t>TOP-1.4.1-15</t>
  </si>
  <si>
    <t xml:space="preserve">Új óvoda építésére </t>
  </si>
  <si>
    <t>39/2016., 2/2017., 42/2017., 83/2017.</t>
  </si>
  <si>
    <t>2016. teljesítés</t>
  </si>
  <si>
    <t xml:space="preserve">Kiskőrösi Bölcsőde fejlesztése </t>
  </si>
  <si>
    <t>59/2016.</t>
  </si>
  <si>
    <t>80/2016.</t>
  </si>
  <si>
    <t xml:space="preserve"> TOP-3.2.2-15 - Biomassza erőmű projekt Kiskőrösön </t>
  </si>
  <si>
    <t>81/2016.</t>
  </si>
  <si>
    <t>120/2016.</t>
  </si>
  <si>
    <t>KEHOP-5.4.1  - Szemléletformálási Programok</t>
  </si>
  <si>
    <t>121/2016.</t>
  </si>
  <si>
    <t>EFOP-3.3.2-16 - Kulturális intézmények a köznevelés eredményességéért</t>
  </si>
  <si>
    <t>133/2016.</t>
  </si>
  <si>
    <t>150/2016.</t>
  </si>
  <si>
    <t>VP6-7.2.1-7.4.1.2-16 - Külterületi helyi közutak fejlesztése, önkormányzati utak kezeléséhez, állapotjavításához, karbantartásához szükséges erő- és munkagépek beszerzése -  (út)</t>
  </si>
  <si>
    <t>190/2016.</t>
  </si>
  <si>
    <t>HUSRB/1602 - Interreg- IPA Határon Átnyúló Együttműködési Program Magyarország- Szerbia</t>
  </si>
  <si>
    <t>6/2017.</t>
  </si>
  <si>
    <t>EFOP-3.7.3-16 - Az egész életen át tartó tanuláshoz hozzáférés biztosítása</t>
  </si>
  <si>
    <t>7/2017., 39/2017.</t>
  </si>
  <si>
    <t xml:space="preserve">VP6-7.2.1-7.4.1.2-16 - Külterületi helyi közutak fejlesztése, önkormányzati utak kezeléséhez, állapotjavításához, karbantartásához szükséges erő- és munkagépek beszerzése -  (gép) </t>
  </si>
  <si>
    <t>8/2017.</t>
  </si>
  <si>
    <t>9/2017.</t>
  </si>
  <si>
    <t xml:space="preserve">Európa a polgárokért program </t>
  </si>
  <si>
    <t>26/2017.</t>
  </si>
  <si>
    <t>EFOP-1.5.3-16 - Humán szolgáltatások fejlesztése térségi szemléletben- kedvezményezett térségek</t>
  </si>
  <si>
    <t>33/2017.</t>
  </si>
  <si>
    <t xml:space="preserve">60/2016., 82/2016., 34/2017. </t>
  </si>
  <si>
    <t>EFOP-3.3.4-17 - A népmese anyanyelvi kompetenciafejlesztő szerepének erősítése az informális és non-formális tanulásban</t>
  </si>
  <si>
    <t>35/2017.</t>
  </si>
  <si>
    <t>36/2017.</t>
  </si>
  <si>
    <t xml:space="preserve">EFOP-4.1.7-16 - A közösségi művelődési intézmény- és szervezetrendszer tanulást segítő infrastrukturális fejlesztései </t>
  </si>
  <si>
    <t>37/2017.</t>
  </si>
  <si>
    <t>EFOP-4.1.8-16 - A könyvtári intézményrendszer tanulást segítő infrastrukturális fejlesztései</t>
  </si>
  <si>
    <t>38/2017.</t>
  </si>
  <si>
    <t>4/2016., 12/2016., 16/2016., 40/2017., 94/2017., 131/2017.</t>
  </si>
  <si>
    <t>TOP-5.1.2-16 - Helyi foglalkoztatási együttműködések</t>
  </si>
  <si>
    <t>84/2017.</t>
  </si>
  <si>
    <t>93/2017.</t>
  </si>
  <si>
    <t>TOP-2.1.3-16 - Települési környezetvédelmi infrastruktúra fejlesztések (csapadékvíz elvezető rendszerek rekonstrukciója)</t>
  </si>
  <si>
    <t>123/2017.</t>
  </si>
  <si>
    <t>TOP-3.1.1-16 - Fenntartható települési közlekedésfejlesztés</t>
  </si>
  <si>
    <t>130/2017., 136/2017.</t>
  </si>
  <si>
    <t>132/2017.</t>
  </si>
  <si>
    <t>Euro-ban</t>
  </si>
  <si>
    <t>ICT-33-2017. Development of an ICT-Based City Transformation (Diction)</t>
  </si>
  <si>
    <t>51/2017.</t>
  </si>
  <si>
    <r>
      <rPr>
        <sz val="10"/>
        <rFont val="Calibri"/>
        <family val="2"/>
      </rPr>
      <t>1</t>
    </r>
    <r>
      <rPr>
        <sz val="10"/>
        <rFont val="Times New Roman"/>
        <family val="1"/>
      </rPr>
      <t xml:space="preserve"> Pozitív elbírálásban részesült.</t>
    </r>
  </si>
  <si>
    <r>
      <rPr>
        <sz val="10"/>
        <rFont val="Calibri"/>
        <family val="2"/>
      </rPr>
      <t>2</t>
    </r>
    <r>
      <rPr>
        <sz val="10"/>
        <rFont val="Times New Roman"/>
        <family val="1"/>
      </rPr>
      <t xml:space="preserve"> Nem került benyújtásra.</t>
    </r>
  </si>
  <si>
    <r>
      <rPr>
        <sz val="10"/>
        <rFont val="Calibri"/>
        <family val="2"/>
      </rPr>
      <t>3</t>
    </r>
    <r>
      <rPr>
        <sz val="10"/>
        <rFont val="Times New Roman"/>
        <family val="1"/>
      </rPr>
      <t xml:space="preserve"> Önerő nélkül került benyújtásra.</t>
    </r>
  </si>
  <si>
    <r>
      <rPr>
        <sz val="10"/>
        <rFont val="Calibri"/>
        <family val="2"/>
      </rPr>
      <t>4</t>
    </r>
    <r>
      <rPr>
        <sz val="10"/>
        <rFont val="Times New Roman"/>
        <family val="1"/>
      </rPr>
      <t xml:space="preserve"> Nem nyertes pályázat.</t>
    </r>
  </si>
  <si>
    <t>5 Benyújtásra került, bírálata folyamatban</t>
  </si>
  <si>
    <t>2017. teljesítés</t>
  </si>
  <si>
    <t>2017.</t>
  </si>
  <si>
    <t>2020. június 30. napjáig terjedő 5 év határozott időtartamra közfeladat ellátási szerződés: köztisztasági és parkfenntartási feladatok; sport feladatok; intézményüzemeltetési feladatok.</t>
  </si>
  <si>
    <t>1</t>
  </si>
  <si>
    <t>hitel, kölcsön felvétele, átvállalása a folyósítás, átvállalás napjától a végtörlesztés napjáig, és annak aktuális tőketartozása - megkötött</t>
  </si>
  <si>
    <t>hitel, kölcsön felvételéhez, átvállaláshoz tartozó kamat tartozás - megkötött</t>
  </si>
  <si>
    <t xml:space="preserve">hitel, kölcsön felvétele, átvállalása a folyósítás, átvállalás napjától a végtörlesztés napjáig, és annak aktuális tőketartozása - tervezett </t>
  </si>
  <si>
    <t>sorszám</t>
  </si>
  <si>
    <t>Várható fizetési kötelezettség (tőke+kamat) 2017.</t>
  </si>
  <si>
    <t>Hitel / tervezett hitel</t>
  </si>
  <si>
    <t>Megkötött ügyletek</t>
  </si>
  <si>
    <t>Csapadékvizelevezető rendszer kiépítése, szilárd burkolatú út építése, járdaépítés (szennyvízcsatorna-hálózat VII-VIII..ütemének körzetében LTP-vel)</t>
  </si>
  <si>
    <t>Tervezett ügyletek</t>
  </si>
  <si>
    <t>Önkormányzati tulajdonu középületek energetikai korszerűsítése</t>
  </si>
  <si>
    <t>Biomassza erőmű projekt Kiskőrösön</t>
  </si>
  <si>
    <t>Önkormányzati tulajdonú társaságok (Kőröskom Kft, Kőrösszolg Kft)</t>
  </si>
  <si>
    <t>MINDÖSSZESEN</t>
  </si>
  <si>
    <t>A 2017. évi maradvány felosztása</t>
  </si>
  <si>
    <t xml:space="preserve">         8. Részesedésszerzés esetén átadott eszközök</t>
  </si>
  <si>
    <t>I) KINCSTÁRI SZÁMLAVEZETÉSSEL KAPCSOLATOS ELSZÁMOLÁSOK</t>
  </si>
  <si>
    <t>J) PASSZÍV IDŐBELI ELHATÁROLÁSOK</t>
  </si>
  <si>
    <t>Egyéb kapott (járó) kamatok és kamatjellegű eredményszemléletű bevételek</t>
  </si>
  <si>
    <t>Befektetett pénzügyi eszközökből származó eredményszemléletű bevételek, árfolyamnyereségek</t>
  </si>
  <si>
    <t xml:space="preserve">Pénzügyi műveletek egyéb ráfordításai </t>
  </si>
  <si>
    <t xml:space="preserve">Befektetett pénzügyi eszközökből származó ráfordítások, árfolyamveszteségek </t>
  </si>
  <si>
    <t>Maradványkimutatás 2017.</t>
  </si>
  <si>
    <t>Bursa támogatás</t>
  </si>
  <si>
    <t>Területalapú támogatás, zöldítési támogatás</t>
  </si>
  <si>
    <t>Felhalmozási     célú</t>
  </si>
  <si>
    <t>szociális ágazati összevont pótlék</t>
  </si>
  <si>
    <t>Muzeális intézmények szakmai támogatása</t>
  </si>
  <si>
    <t>Önkormányzatok rendkívüli támogatása</t>
  </si>
  <si>
    <t>EU Önerő Alap</t>
  </si>
  <si>
    <t>2016. évről áthúzódó bérkompenzáció</t>
  </si>
  <si>
    <t>A középfokú végzettséggel rendelkező kisgyermeknevelők bölcsődei pótléka</t>
  </si>
  <si>
    <t>A költségvetési szerveknél foglalkoztatottak 2017. évi kompenzációja</t>
  </si>
  <si>
    <t>A minimálbér és a garantált bérminimum emelése és a szociális hozzájárulási adó csökkentés hatásának kompenzációja</t>
  </si>
  <si>
    <t>Óvodapedagógusok munkáját segítők kiegészítő támogatása</t>
  </si>
  <si>
    <t>A helyi közbiztonság javításának támogatása</t>
  </si>
  <si>
    <t>2018. évben felhasználható</t>
  </si>
  <si>
    <t>Kulturális illetménypótlék</t>
  </si>
  <si>
    <t>105/2016., 160/2017.</t>
  </si>
  <si>
    <t>önkormányzati kiadások</t>
  </si>
  <si>
    <t>Teljesítés</t>
  </si>
  <si>
    <t>Hitelszerződés összege</t>
  </si>
  <si>
    <t>Tőke + kamatfizetés</t>
  </si>
  <si>
    <t>Fennálló hitel 2017.12.31.</t>
  </si>
  <si>
    <t>Hitel lejárata</t>
  </si>
  <si>
    <t>2022.06.01.</t>
  </si>
  <si>
    <t>2026.06.01.</t>
  </si>
  <si>
    <t>2027.08.30.</t>
  </si>
  <si>
    <t>-</t>
  </si>
  <si>
    <t>2018.</t>
  </si>
  <si>
    <t>2019.</t>
  </si>
  <si>
    <t>2020.</t>
  </si>
  <si>
    <t>2021. és ezt követő év(ek)ben</t>
  </si>
  <si>
    <t>2021. december 31. napjáig.</t>
  </si>
  <si>
    <t>Ebből 2017. december 31-én fennálló</t>
  </si>
  <si>
    <t>Óvoda építése - K&amp;H Bank Zrt.</t>
  </si>
  <si>
    <t>VAGYONKIMUTATÁS TAGOLÁSA A KÖNYVVITELI MÉRLEGBEN SZEREPLŐ ADATOK ALAPJÁN - 2017. év</t>
  </si>
  <si>
    <t>Vagyon üzemeltetés, hasznosítása</t>
  </si>
  <si>
    <t>KÖFOP-1.2.1-VEKOP-16 - Csatlakoztatási konstrukció az önkormányzati ASP rendszerhez</t>
  </si>
  <si>
    <t>Kőrösszolg Kft. - János Vitéz látogatóközpont szakmai feladatainak ellátása</t>
  </si>
  <si>
    <t xml:space="preserve"> TOP – 7.1.1-16 - Kulturális és közösségi terek infrastrukturális fejlesztése és helyi közösségszervezés a városi helyi fejlesztési stratégiához kapcsolódva</t>
  </si>
  <si>
    <t>Intézményi, önkormányzati kisebb beruházások</t>
  </si>
  <si>
    <t>2017. évi tény adat</t>
  </si>
  <si>
    <t>Térítésmentes használók - csarnok, szabadidőpark, sporttelep</t>
  </si>
  <si>
    <t>eltérés (többlettámogatás +, visszafizetendő - )</t>
  </si>
  <si>
    <t>köznevelési feladatok támogatása (KGR 11/C)</t>
  </si>
  <si>
    <t>4. kimutatás: KISKŐRÖS VÁROS 2017. évet követő három év tervezett bevételei és kiadásai</t>
  </si>
  <si>
    <t>Költségvetési hiány finanszírozása -  külső finanszírozás - Betétek megszűntetése, belföldi értékpapírok bevételei</t>
  </si>
  <si>
    <t>Költségvetési hiány finanszírozása -  külső finanszírozás - hitel felvétel</t>
  </si>
  <si>
    <t>A következő 3 év kötelezettségvállalása (bérek, közüzem, fürdő üzemeltetés, szociális ellátások)</t>
  </si>
  <si>
    <t>2017. december 31-én fennálló hitelek visszafizetése a végtörlesztés napjáig</t>
  </si>
  <si>
    <t>Kiskőrös Kultúrájáért Egyesület – Pozsonyi u. 2.</t>
  </si>
  <si>
    <t>Hétszínvirág Oktatási és Kulturális Alapítvány – Pozsonyi u.2.</t>
  </si>
  <si>
    <t>Magyar Máltai Szeretszolgálat Egyesület – Árpád u. 8.</t>
  </si>
  <si>
    <t>12.</t>
  </si>
  <si>
    <t>13.</t>
  </si>
  <si>
    <t>1., 2., 3., 4., 5., 6., 7., 8., 9., 10., 11., 12. és 13. ÖSSZESEN</t>
  </si>
  <si>
    <r>
      <t xml:space="preserve">1  </t>
    </r>
    <r>
      <rPr>
        <sz val="8"/>
        <color indexed="8"/>
        <rFont val="Arial"/>
        <family val="2"/>
      </rPr>
      <t>A gyermekétkeztetésnél nyújtott 50% vagy 100%-os térítési díj kedvezmény.</t>
    </r>
  </si>
  <si>
    <r>
      <t xml:space="preserve">2 </t>
    </r>
    <r>
      <rPr>
        <sz val="8"/>
        <color indexed="8"/>
        <rFont val="Arial"/>
        <family val="2"/>
      </rPr>
      <t xml:space="preserve">A méltányosságból történő adótörlés az adózás rendjéről szóló 2017. évi CL. törvényben meghatározott feltételek megléte esetében kerül alkalmazásra. </t>
    </r>
  </si>
  <si>
    <r>
      <t xml:space="preserve">3, 6 </t>
    </r>
    <r>
      <rPr>
        <sz val="8"/>
        <color indexed="8"/>
        <rFont val="Arial"/>
        <family val="2"/>
      </rPr>
      <t xml:space="preserve">Magánszemélyek kommunális adójáról szóló többször módosított 23/2015. (XI.26.)  önkormányzati rendelet 2.§-a alapján.                                    </t>
    </r>
  </si>
  <si>
    <r>
      <t>4</t>
    </r>
    <r>
      <rPr>
        <sz val="8"/>
        <color indexed="8"/>
        <rFont val="Arial"/>
        <family val="2"/>
      </rPr>
      <t>Az iparűzési adóról szóló többször módosított 24/2015. (XI.26.) önkormányzati rendelet 2.§-a alapján.</t>
    </r>
  </si>
  <si>
    <t>Közfoglalkoztatási eszközbeszerzés:</t>
  </si>
  <si>
    <t>Szakmai eszközbeszerzés:</t>
  </si>
  <si>
    <t xml:space="preserve"> ezer Ft-ban</t>
  </si>
  <si>
    <t>1. melléklet a .../2018. (....) önk. rendelethez</t>
  </si>
  <si>
    <t>2. melléklet a .../2018. (....) önk. rendelethez</t>
  </si>
  <si>
    <t>3. melléklet a .../2018. (....) önk. rendelethez</t>
  </si>
  <si>
    <t>'56-os emlékmű rekonstrukciós munkáinak támogatása</t>
  </si>
  <si>
    <t>4. melléklet a .../2018. (....) önk. rendelethez</t>
  </si>
  <si>
    <t>5. melléklet a .../2018. (....) önk. rendelethez</t>
  </si>
  <si>
    <t>6. melléklet a .../2018. (....) önk. rendelethez</t>
  </si>
  <si>
    <t xml:space="preserve"> 7. melléklet a .../2018. (....) önk. rendelethez</t>
  </si>
  <si>
    <t>8. melléklet a .../2018. (....) önk. rendelethez</t>
  </si>
  <si>
    <t>9. melléklet a .../2018. (....) önk. rendelethez</t>
  </si>
  <si>
    <t>10. melléklet a .../2018. (....) önk. rendelethez</t>
  </si>
  <si>
    <t>11. melléklet a .../2018. (....) önk. rendelethez</t>
  </si>
  <si>
    <t>12. melléklet a .../2018. (....) önk. rendelethez</t>
  </si>
  <si>
    <t>13/B. melléklet a .../2018. (....) önk. rendelethez</t>
  </si>
  <si>
    <t>13/A. melléklet a .../2018. (....) önk. rendelethez</t>
  </si>
  <si>
    <t>13/C. melléklet a .../2018. (....) önk. rendelethez</t>
  </si>
  <si>
    <t>13/D. melléklet a .../2018. (....) önk. rendelethez</t>
  </si>
  <si>
    <t>14/A. melléklet a .../2018. (....) önk. rendelethez</t>
  </si>
  <si>
    <t>14/B. melléklet a .../2018. (....) önk. rendelethez</t>
  </si>
  <si>
    <t>15. melléklet a .../2018. (....) önk.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</si>
</sst>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1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sz val="8"/>
      <color indexed="8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8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u val="single"/>
      <sz val="9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i/>
      <sz val="11"/>
      <name val="Times New Roman CE"/>
      <family val="1"/>
    </font>
    <font>
      <sz val="11"/>
      <name val="Times New Roman C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CE"/>
      <family val="0"/>
    </font>
    <font>
      <sz val="11"/>
      <name val="Tahoma"/>
      <family val="2"/>
    </font>
    <font>
      <b/>
      <sz val="11"/>
      <name val="Times New Roman CE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8"/>
      <name val="Times New Roman"/>
      <family val="1"/>
    </font>
    <font>
      <sz val="9"/>
      <color indexed="63"/>
      <name val="Times New Roman CE"/>
      <family val="1"/>
    </font>
    <font>
      <vertAlign val="superscript"/>
      <sz val="8"/>
      <name val="Arial"/>
      <family val="2"/>
    </font>
    <font>
      <b/>
      <sz val="12"/>
      <name val="Times New Roman CE"/>
      <family val="1"/>
    </font>
    <font>
      <i/>
      <sz val="8"/>
      <name val="Tahoma"/>
      <family val="2"/>
    </font>
    <font>
      <i/>
      <sz val="10"/>
      <color indexed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10"/>
      <name val="Arial CE"/>
      <family val="0"/>
    </font>
    <font>
      <sz val="10"/>
      <color indexed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10"/>
      <name val="Arial CE"/>
      <family val="0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 CE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CE"/>
      <family val="0"/>
    </font>
    <font>
      <vertAlign val="superscript"/>
      <sz val="8"/>
      <color theme="1"/>
      <name val="Arial"/>
      <family val="2"/>
    </font>
    <font>
      <b/>
      <sz val="8"/>
      <name val="Arial CE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double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2" fillId="2" borderId="0" applyNumberFormat="0" applyBorder="0" applyAlignment="0" applyProtection="0"/>
    <xf numFmtId="0" fontId="132" fillId="3" borderId="0" applyNumberFormat="0" applyBorder="0" applyAlignment="0" applyProtection="0"/>
    <xf numFmtId="0" fontId="133" fillId="4" borderId="0" applyNumberFormat="0" applyBorder="0" applyAlignment="0" applyProtection="0"/>
    <xf numFmtId="0" fontId="65" fillId="4" borderId="0" applyNumberFormat="0" applyBorder="0" applyAlignment="0" applyProtection="0"/>
    <xf numFmtId="0" fontId="133" fillId="5" borderId="0" applyNumberFormat="0" applyBorder="0" applyAlignment="0" applyProtection="0"/>
    <xf numFmtId="0" fontId="65" fillId="5" borderId="0" applyNumberFormat="0" applyBorder="0" applyAlignment="0" applyProtection="0"/>
    <xf numFmtId="0" fontId="133" fillId="6" borderId="0" applyNumberFormat="0" applyBorder="0" applyAlignment="0" applyProtection="0"/>
    <xf numFmtId="0" fontId="65" fillId="6" borderId="0" applyNumberFormat="0" applyBorder="0" applyAlignment="0" applyProtection="0"/>
    <xf numFmtId="0" fontId="133" fillId="7" borderId="0" applyNumberFormat="0" applyBorder="0" applyAlignment="0" applyProtection="0"/>
    <xf numFmtId="0" fontId="65" fillId="7" borderId="0" applyNumberFormat="0" applyBorder="0" applyAlignment="0" applyProtection="0"/>
    <xf numFmtId="0" fontId="133" fillId="8" borderId="0" applyNumberFormat="0" applyBorder="0" applyAlignment="0" applyProtection="0"/>
    <xf numFmtId="0" fontId="65" fillId="9" borderId="0" applyNumberFormat="0" applyBorder="0" applyAlignment="0" applyProtection="0"/>
    <xf numFmtId="0" fontId="133" fillId="10" borderId="0" applyNumberFormat="0" applyBorder="0" applyAlignment="0" applyProtection="0"/>
    <xf numFmtId="0" fontId="65" fillId="11" borderId="0" applyNumberFormat="0" applyBorder="0" applyAlignment="0" applyProtection="0"/>
    <xf numFmtId="0" fontId="132" fillId="12" borderId="0" applyNumberFormat="0" applyBorder="0" applyAlignment="0" applyProtection="0"/>
    <xf numFmtId="0" fontId="132" fillId="13" borderId="0" applyNumberFormat="0" applyBorder="0" applyAlignment="0" applyProtection="0"/>
    <xf numFmtId="0" fontId="133" fillId="14" borderId="0" applyNumberFormat="0" applyBorder="0" applyAlignment="0" applyProtection="0"/>
    <xf numFmtId="0" fontId="65" fillId="15" borderId="0" applyNumberFormat="0" applyBorder="0" applyAlignment="0" applyProtection="0"/>
    <xf numFmtId="0" fontId="133" fillId="16" borderId="0" applyNumberFormat="0" applyBorder="0" applyAlignment="0" applyProtection="0"/>
    <xf numFmtId="0" fontId="65" fillId="17" borderId="0" applyNumberFormat="0" applyBorder="0" applyAlignment="0" applyProtection="0"/>
    <xf numFmtId="0" fontId="133" fillId="18" borderId="0" applyNumberFormat="0" applyBorder="0" applyAlignment="0" applyProtection="0"/>
    <xf numFmtId="0" fontId="65" fillId="18" borderId="0" applyNumberFormat="0" applyBorder="0" applyAlignment="0" applyProtection="0"/>
    <xf numFmtId="0" fontId="133" fillId="19" borderId="0" applyNumberFormat="0" applyBorder="0" applyAlignment="0" applyProtection="0"/>
    <xf numFmtId="0" fontId="65" fillId="7" borderId="0" applyNumberFormat="0" applyBorder="0" applyAlignment="0" applyProtection="0"/>
    <xf numFmtId="0" fontId="133" fillId="20" borderId="0" applyNumberFormat="0" applyBorder="0" applyAlignment="0" applyProtection="0"/>
    <xf numFmtId="0" fontId="65" fillId="15" borderId="0" applyNumberFormat="0" applyBorder="0" applyAlignment="0" applyProtection="0"/>
    <xf numFmtId="0" fontId="133" fillId="21" borderId="0" applyNumberFormat="0" applyBorder="0" applyAlignment="0" applyProtection="0"/>
    <xf numFmtId="0" fontId="65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64" fillId="26" borderId="0" applyNumberFormat="0" applyBorder="0" applyAlignment="0" applyProtection="0"/>
    <xf numFmtId="0" fontId="132" fillId="27" borderId="0" applyNumberFormat="0" applyBorder="0" applyAlignment="0" applyProtection="0"/>
    <xf numFmtId="0" fontId="64" fillId="17" borderId="0" applyNumberFormat="0" applyBorder="0" applyAlignment="0" applyProtection="0"/>
    <xf numFmtId="0" fontId="132" fillId="18" borderId="0" applyNumberFormat="0" applyBorder="0" applyAlignment="0" applyProtection="0"/>
    <xf numFmtId="0" fontId="64" fillId="18" borderId="0" applyNumberFormat="0" applyBorder="0" applyAlignment="0" applyProtection="0"/>
    <xf numFmtId="0" fontId="132" fillId="28" borderId="0" applyNumberFormat="0" applyBorder="0" applyAlignment="0" applyProtection="0"/>
    <xf numFmtId="0" fontId="64" fillId="28" borderId="0" applyNumberFormat="0" applyBorder="0" applyAlignment="0" applyProtection="0"/>
    <xf numFmtId="0" fontId="132" fillId="29" borderId="0" applyNumberFormat="0" applyBorder="0" applyAlignment="0" applyProtection="0"/>
    <xf numFmtId="0" fontId="64" fillId="30" borderId="0" applyNumberFormat="0" applyBorder="0" applyAlignment="0" applyProtection="0"/>
    <xf numFmtId="0" fontId="132" fillId="31" borderId="0" applyNumberFormat="0" applyBorder="0" applyAlignment="0" applyProtection="0"/>
    <xf numFmtId="0" fontId="64" fillId="31" borderId="0" applyNumberFormat="0" applyBorder="0" applyAlignment="0" applyProtection="0"/>
    <xf numFmtId="0" fontId="134" fillId="32" borderId="1" applyNumberFormat="0" applyAlignment="0" applyProtection="0"/>
    <xf numFmtId="0" fontId="66" fillId="11" borderId="2" applyNumberFormat="0" applyAlignment="0" applyProtection="0"/>
    <xf numFmtId="0" fontId="1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68" fillId="0" borderId="4" applyNumberFormat="0" applyFill="0" applyAlignment="0" applyProtection="0"/>
    <xf numFmtId="0" fontId="137" fillId="0" borderId="5" applyNumberFormat="0" applyFill="0" applyAlignment="0" applyProtection="0"/>
    <xf numFmtId="0" fontId="69" fillId="0" borderId="6" applyNumberFormat="0" applyFill="0" applyAlignment="0" applyProtection="0"/>
    <xf numFmtId="0" fontId="138" fillId="0" borderId="7" applyNumberFormat="0" applyFill="0" applyAlignment="0" applyProtection="0"/>
    <xf numFmtId="0" fontId="70" fillId="0" borderId="8" applyNumberFormat="0" applyFill="0" applyAlignment="0" applyProtection="0"/>
    <xf numFmtId="0" fontId="1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9" fillId="33" borderId="9" applyNumberFormat="0" applyAlignment="0" applyProtection="0"/>
    <xf numFmtId="0" fontId="71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1" fillId="0" borderId="11" applyNumberFormat="0" applyFill="0" applyAlignment="0" applyProtection="0"/>
    <xf numFmtId="0" fontId="73" fillId="0" borderId="12" applyNumberFormat="0" applyFill="0" applyAlignment="0" applyProtection="0"/>
    <xf numFmtId="0" fontId="0" fillId="35" borderId="13" applyNumberFormat="0" applyFont="0" applyAlignment="0" applyProtection="0"/>
    <xf numFmtId="0" fontId="0" fillId="36" borderId="14" applyNumberFormat="0" applyFont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40" borderId="0" applyNumberFormat="0" applyBorder="0" applyAlignment="0" applyProtection="0"/>
    <xf numFmtId="0" fontId="142" fillId="41" borderId="0" applyNumberFormat="0" applyBorder="0" applyAlignment="0" applyProtection="0"/>
    <xf numFmtId="0" fontId="74" fillId="6" borderId="0" applyNumberFormat="0" applyBorder="0" applyAlignment="0" applyProtection="0"/>
    <xf numFmtId="0" fontId="143" fillId="42" borderId="15" applyNumberFormat="0" applyAlignment="0" applyProtection="0"/>
    <xf numFmtId="0" fontId="75" fillId="43" borderId="16" applyNumberFormat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1" fillId="0" borderId="0">
      <alignment/>
      <protection/>
    </xf>
    <xf numFmtId="0" fontId="13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5" fillId="0" borderId="17" applyNumberFormat="0" applyFill="0" applyAlignment="0" applyProtection="0"/>
    <xf numFmtId="0" fontId="77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44" borderId="0" applyNumberFormat="0" applyBorder="0" applyAlignment="0" applyProtection="0"/>
    <xf numFmtId="0" fontId="78" fillId="5" borderId="0" applyNumberFormat="0" applyBorder="0" applyAlignment="0" applyProtection="0"/>
    <xf numFmtId="0" fontId="147" fillId="45" borderId="0" applyNumberFormat="0" applyBorder="0" applyAlignment="0" applyProtection="0"/>
    <xf numFmtId="0" fontId="79" fillId="46" borderId="0" applyNumberFormat="0" applyBorder="0" applyAlignment="0" applyProtection="0"/>
    <xf numFmtId="0" fontId="148" fillId="42" borderId="1" applyNumberFormat="0" applyAlignment="0" applyProtection="0"/>
    <xf numFmtId="0" fontId="80" fillId="43" borderId="2" applyNumberFormat="0" applyAlignment="0" applyProtection="0"/>
    <xf numFmtId="9" fontId="0" fillId="0" borderId="0" applyFont="0" applyFill="0" applyBorder="0" applyAlignment="0" applyProtection="0"/>
  </cellStyleXfs>
  <cellXfs count="1966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13" fillId="0" borderId="0" xfId="0" applyFont="1" applyFill="1" applyBorder="1" applyAlignment="1">
      <alignment vertical="center" shrinkToFit="1"/>
    </xf>
    <xf numFmtId="49" fontId="17" fillId="0" borderId="19" xfId="0" applyNumberFormat="1" applyFont="1" applyFill="1" applyBorder="1" applyAlignment="1">
      <alignment vertical="center" shrinkToFit="1"/>
    </xf>
    <xf numFmtId="49" fontId="17" fillId="0" borderId="20" xfId="0" applyNumberFormat="1" applyFont="1" applyFill="1" applyBorder="1" applyAlignment="1">
      <alignment horizontal="justify" vertical="center" shrinkToFit="1"/>
    </xf>
    <xf numFmtId="3" fontId="11" fillId="0" borderId="0" xfId="106" applyNumberFormat="1" applyFont="1" applyFill="1" applyAlignment="1">
      <alignment vertical="center"/>
      <protection/>
    </xf>
    <xf numFmtId="3" fontId="12" fillId="0" borderId="0" xfId="106" applyNumberFormat="1" applyFont="1" applyFill="1" applyAlignment="1">
      <alignment vertical="center"/>
      <protection/>
    </xf>
    <xf numFmtId="49" fontId="17" fillId="0" borderId="20" xfId="0" applyNumberFormat="1" applyFont="1" applyFill="1" applyBorder="1" applyAlignment="1">
      <alignment vertical="center" shrinkToFit="1"/>
    </xf>
    <xf numFmtId="0" fontId="15" fillId="0" borderId="0" xfId="0" applyFont="1" applyAlignment="1">
      <alignment/>
    </xf>
    <xf numFmtId="0" fontId="17" fillId="0" borderId="19" xfId="0" applyFont="1" applyBorder="1" applyAlignment="1">
      <alignment/>
    </xf>
    <xf numFmtId="3" fontId="22" fillId="0" borderId="0" xfId="106" applyNumberFormat="1" applyFont="1" applyFill="1" applyAlignment="1">
      <alignment vertical="center"/>
      <protection/>
    </xf>
    <xf numFmtId="3" fontId="21" fillId="0" borderId="0" xfId="0" applyNumberFormat="1" applyFont="1" applyFill="1" applyAlignment="1">
      <alignment vertical="center"/>
    </xf>
    <xf numFmtId="3" fontId="23" fillId="0" borderId="0" xfId="106" applyNumberFormat="1" applyFont="1" applyFill="1" applyAlignment="1">
      <alignment vertical="center"/>
      <protection/>
    </xf>
    <xf numFmtId="49" fontId="17" fillId="0" borderId="19" xfId="0" applyNumberFormat="1" applyFont="1" applyFill="1" applyBorder="1" applyAlignment="1">
      <alignment horizontal="justify" vertical="center" shrinkToFit="1"/>
    </xf>
    <xf numFmtId="0" fontId="25" fillId="0" borderId="0" xfId="0" applyFont="1" applyFill="1" applyBorder="1" applyAlignment="1">
      <alignment vertical="center" shrinkToFit="1"/>
    </xf>
    <xf numFmtId="49" fontId="17" fillId="0" borderId="20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shrinkToFit="1"/>
    </xf>
    <xf numFmtId="0" fontId="27" fillId="0" borderId="0" xfId="0" applyFont="1" applyAlignment="1">
      <alignment/>
    </xf>
    <xf numFmtId="0" fontId="26" fillId="0" borderId="0" xfId="0" applyFont="1" applyFill="1" applyAlignment="1">
      <alignment vertical="center" shrinkToFit="1"/>
    </xf>
    <xf numFmtId="3" fontId="17" fillId="0" borderId="20" xfId="0" applyNumberFormat="1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horizontal="right" vertical="center" shrinkToFit="1"/>
    </xf>
    <xf numFmtId="3" fontId="18" fillId="0" borderId="20" xfId="0" applyNumberFormat="1" applyFont="1" applyFill="1" applyBorder="1" applyAlignment="1">
      <alignment horizontal="right" vertical="center" shrinkToFit="1"/>
    </xf>
    <xf numFmtId="3" fontId="16" fillId="0" borderId="22" xfId="106" applyNumberFormat="1" applyFont="1" applyFill="1" applyBorder="1" applyAlignment="1">
      <alignment horizontal="center" vertical="center"/>
      <protection/>
    </xf>
    <xf numFmtId="3" fontId="16" fillId="0" borderId="23" xfId="106" applyNumberFormat="1" applyFont="1" applyFill="1" applyBorder="1" applyAlignment="1">
      <alignment horizontal="center" vertical="center"/>
      <protection/>
    </xf>
    <xf numFmtId="3" fontId="16" fillId="0" borderId="22" xfId="106" applyNumberFormat="1" applyFont="1" applyFill="1" applyBorder="1" applyAlignment="1">
      <alignment horizontal="center" vertical="center" wrapText="1"/>
      <protection/>
    </xf>
    <xf numFmtId="3" fontId="16" fillId="0" borderId="21" xfId="106" applyNumberFormat="1" applyFont="1" applyFill="1" applyBorder="1" applyAlignment="1">
      <alignment horizontal="center" vertical="center" wrapText="1"/>
      <protection/>
    </xf>
    <xf numFmtId="3" fontId="16" fillId="0" borderId="21" xfId="106" applyNumberFormat="1" applyFont="1" applyFill="1" applyBorder="1" applyAlignment="1">
      <alignment horizontal="center" vertical="center"/>
      <protection/>
    </xf>
    <xf numFmtId="3" fontId="16" fillId="0" borderId="23" xfId="106" applyNumberFormat="1" applyFont="1" applyFill="1" applyBorder="1" applyAlignment="1">
      <alignment horizontal="center" vertical="center" wrapText="1"/>
      <protection/>
    </xf>
    <xf numFmtId="3" fontId="18" fillId="0" borderId="24" xfId="0" applyNumberFormat="1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2" fontId="17" fillId="0" borderId="0" xfId="0" applyNumberFormat="1" applyFont="1" applyFill="1" applyAlignment="1">
      <alignment shrinkToFit="1"/>
    </xf>
    <xf numFmtId="0" fontId="17" fillId="0" borderId="26" xfId="0" applyFont="1" applyFill="1" applyBorder="1" applyAlignment="1">
      <alignment horizontal="center" shrinkToFit="1"/>
    </xf>
    <xf numFmtId="2" fontId="17" fillId="0" borderId="27" xfId="0" applyNumberFormat="1" applyFont="1" applyFill="1" applyBorder="1" applyAlignment="1">
      <alignment shrinkToFit="1"/>
    </xf>
    <xf numFmtId="0" fontId="17" fillId="0" borderId="22" xfId="0" applyFont="1" applyFill="1" applyBorder="1" applyAlignment="1">
      <alignment horizontal="justify" shrinkToFit="1"/>
    </xf>
    <xf numFmtId="0" fontId="17" fillId="0" borderId="28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shrinkToFit="1"/>
    </xf>
    <xf numFmtId="0" fontId="17" fillId="0" borderId="30" xfId="0" applyFont="1" applyFill="1" applyBorder="1" applyAlignment="1">
      <alignment horizontal="center" shrinkToFit="1"/>
    </xf>
    <xf numFmtId="2" fontId="17" fillId="0" borderId="31" xfId="0" applyNumberFormat="1" applyFont="1" applyFill="1" applyBorder="1" applyAlignment="1">
      <alignment shrinkToFit="1"/>
    </xf>
    <xf numFmtId="0" fontId="28" fillId="0" borderId="23" xfId="0" applyFont="1" applyFill="1" applyBorder="1" applyAlignment="1">
      <alignment horizontal="justify" shrinkToFit="1"/>
    </xf>
    <xf numFmtId="0" fontId="28" fillId="0" borderId="32" xfId="0" applyFont="1" applyFill="1" applyBorder="1" applyAlignment="1">
      <alignment horizontal="center" shrinkToFit="1"/>
    </xf>
    <xf numFmtId="2" fontId="18" fillId="0" borderId="33" xfId="0" applyNumberFormat="1" applyFont="1" applyFill="1" applyBorder="1" applyAlignment="1">
      <alignment vertical="center" wrapText="1"/>
    </xf>
    <xf numFmtId="3" fontId="17" fillId="0" borderId="20" xfId="106" applyNumberFormat="1" applyFont="1" applyFill="1" applyBorder="1" applyAlignment="1" quotePrefix="1">
      <alignment horizontal="center" vertical="center"/>
      <protection/>
    </xf>
    <xf numFmtId="3" fontId="17" fillId="0" borderId="34" xfId="0" applyNumberFormat="1" applyFont="1" applyFill="1" applyBorder="1" applyAlignment="1">
      <alignment horizontal="right" vertical="center" shrinkToFit="1"/>
    </xf>
    <xf numFmtId="3" fontId="18" fillId="0" borderId="35" xfId="0" applyNumberFormat="1" applyFont="1" applyFill="1" applyBorder="1" applyAlignment="1">
      <alignment horizontal="right" vertical="center" shrinkToFit="1"/>
    </xf>
    <xf numFmtId="2" fontId="24" fillId="0" borderId="20" xfId="0" applyNumberFormat="1" applyFont="1" applyFill="1" applyBorder="1" applyAlignment="1" quotePrefix="1">
      <alignment horizontal="left" vertical="center" indent="1" shrinkToFit="1"/>
    </xf>
    <xf numFmtId="3" fontId="24" fillId="0" borderId="20" xfId="0" applyNumberFormat="1" applyFont="1" applyFill="1" applyBorder="1" applyAlignment="1">
      <alignment horizontal="right" vertical="center" shrinkToFit="1"/>
    </xf>
    <xf numFmtId="3" fontId="24" fillId="0" borderId="20" xfId="106" applyNumberFormat="1" applyFont="1" applyFill="1" applyBorder="1" applyAlignment="1" quotePrefix="1">
      <alignment horizontal="center" vertical="center"/>
      <protection/>
    </xf>
    <xf numFmtId="2" fontId="18" fillId="0" borderId="20" xfId="0" applyNumberFormat="1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center" shrinkToFit="1"/>
    </xf>
    <xf numFmtId="2" fontId="17" fillId="0" borderId="34" xfId="0" applyNumberFormat="1" applyFont="1" applyFill="1" applyBorder="1" applyAlignment="1">
      <alignment shrinkToFit="1"/>
    </xf>
    <xf numFmtId="3" fontId="17" fillId="0" borderId="34" xfId="0" applyNumberFormat="1" applyFont="1" applyFill="1" applyBorder="1" applyAlignment="1">
      <alignment horizontal="right" shrinkToFit="1"/>
    </xf>
    <xf numFmtId="2" fontId="17" fillId="0" borderId="20" xfId="0" applyNumberFormat="1" applyFont="1" applyFill="1" applyBorder="1" applyAlignment="1">
      <alignment shrinkToFit="1"/>
    </xf>
    <xf numFmtId="3" fontId="17" fillId="0" borderId="20" xfId="0" applyNumberFormat="1" applyFont="1" applyFill="1" applyBorder="1" applyAlignment="1">
      <alignment horizontal="right" shrinkToFit="1"/>
    </xf>
    <xf numFmtId="3" fontId="18" fillId="0" borderId="36" xfId="0" applyNumberFormat="1" applyFont="1" applyFill="1" applyBorder="1" applyAlignment="1">
      <alignment horizontal="right" vertical="center" shrinkToFit="1"/>
    </xf>
    <xf numFmtId="3" fontId="17" fillId="0" borderId="21" xfId="0" applyNumberFormat="1" applyFont="1" applyFill="1" applyBorder="1" applyAlignment="1">
      <alignment horizontal="right" shrinkToFit="1"/>
    </xf>
    <xf numFmtId="2" fontId="18" fillId="0" borderId="24" xfId="0" applyNumberFormat="1" applyFont="1" applyFill="1" applyBorder="1" applyAlignment="1">
      <alignment horizontal="center" shrinkToFit="1"/>
    </xf>
    <xf numFmtId="2" fontId="18" fillId="0" borderId="37" xfId="0" applyNumberFormat="1" applyFont="1" applyFill="1" applyBorder="1" applyAlignment="1">
      <alignment horizontal="center" shrinkToFit="1"/>
    </xf>
    <xf numFmtId="3" fontId="18" fillId="0" borderId="20" xfId="0" applyNumberFormat="1" applyFont="1" applyFill="1" applyBorder="1" applyAlignment="1">
      <alignment horizontal="right" shrinkToFit="1"/>
    </xf>
    <xf numFmtId="3" fontId="18" fillId="0" borderId="38" xfId="0" applyNumberFormat="1" applyFont="1" applyFill="1" applyBorder="1" applyAlignment="1">
      <alignment horizontal="right" shrinkToFit="1"/>
    </xf>
    <xf numFmtId="2" fontId="18" fillId="0" borderId="39" xfId="0" applyNumberFormat="1" applyFont="1" applyFill="1" applyBorder="1" applyAlignment="1">
      <alignment horizontal="center" shrinkToFit="1"/>
    </xf>
    <xf numFmtId="2" fontId="18" fillId="0" borderId="29" xfId="0" applyNumberFormat="1" applyFont="1" applyFill="1" applyBorder="1" applyAlignment="1">
      <alignment horizontal="center" vertical="center" shrinkToFit="1"/>
    </xf>
    <xf numFmtId="3" fontId="18" fillId="0" borderId="38" xfId="0" applyNumberFormat="1" applyFont="1" applyFill="1" applyBorder="1" applyAlignment="1">
      <alignment horizontal="right" vertical="center" shrinkToFit="1"/>
    </xf>
    <xf numFmtId="2" fontId="18" fillId="0" borderId="39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3" fontId="17" fillId="0" borderId="40" xfId="106" applyNumberFormat="1" applyFont="1" applyFill="1" applyBorder="1" applyAlignment="1" quotePrefix="1">
      <alignment horizontal="center" vertical="center"/>
      <protection/>
    </xf>
    <xf numFmtId="2" fontId="17" fillId="0" borderId="41" xfId="0" applyNumberFormat="1" applyFont="1" applyFill="1" applyBorder="1" applyAlignment="1">
      <alignment shrinkToFit="1"/>
    </xf>
    <xf numFmtId="2" fontId="18" fillId="0" borderId="21" xfId="0" applyNumberFormat="1" applyFont="1" applyFill="1" applyBorder="1" applyAlignment="1">
      <alignment vertical="center" shrinkToFit="1"/>
    </xf>
    <xf numFmtId="3" fontId="18" fillId="0" borderId="35" xfId="0" applyNumberFormat="1" applyFont="1" applyFill="1" applyBorder="1" applyAlignment="1">
      <alignment horizontal="right" shrinkToFit="1"/>
    </xf>
    <xf numFmtId="2" fontId="18" fillId="0" borderId="29" xfId="0" applyNumberFormat="1" applyFont="1" applyFill="1" applyBorder="1" applyAlignment="1">
      <alignment horizontal="center" shrinkToFit="1"/>
    </xf>
    <xf numFmtId="3" fontId="18" fillId="0" borderId="36" xfId="0" applyNumberFormat="1" applyFont="1" applyFill="1" applyBorder="1" applyAlignment="1">
      <alignment horizontal="right" shrinkToFit="1"/>
    </xf>
    <xf numFmtId="3" fontId="18" fillId="0" borderId="42" xfId="0" applyNumberFormat="1" applyFont="1" applyFill="1" applyBorder="1" applyAlignment="1">
      <alignment horizontal="right" shrinkToFit="1"/>
    </xf>
    <xf numFmtId="2" fontId="18" fillId="0" borderId="43" xfId="0" applyNumberFormat="1" applyFont="1" applyFill="1" applyBorder="1" applyAlignment="1">
      <alignment vertical="center" shrinkToFit="1"/>
    </xf>
    <xf numFmtId="0" fontId="18" fillId="0" borderId="24" xfId="0" applyFont="1" applyFill="1" applyBorder="1" applyAlignment="1">
      <alignment horizontal="center" shrinkToFit="1"/>
    </xf>
    <xf numFmtId="2" fontId="18" fillId="0" borderId="43" xfId="0" applyNumberFormat="1" applyFont="1" applyFill="1" applyBorder="1" applyAlignment="1">
      <alignment shrinkToFit="1"/>
    </xf>
    <xf numFmtId="0" fontId="18" fillId="0" borderId="37" xfId="0" applyFont="1" applyFill="1" applyBorder="1" applyAlignment="1">
      <alignment horizontal="center" shrinkToFit="1"/>
    </xf>
    <xf numFmtId="0" fontId="18" fillId="0" borderId="39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 horizontal="center" shrinkToFit="1"/>
    </xf>
    <xf numFmtId="2" fontId="18" fillId="0" borderId="20" xfId="0" applyNumberFormat="1" applyFont="1" applyFill="1" applyBorder="1" applyAlignment="1">
      <alignment shrinkToFit="1"/>
    </xf>
    <xf numFmtId="3" fontId="17" fillId="0" borderId="33" xfId="106" applyNumberFormat="1" applyFont="1" applyFill="1" applyBorder="1" applyAlignment="1" quotePrefix="1">
      <alignment horizontal="center" vertical="center"/>
      <protection/>
    </xf>
    <xf numFmtId="3" fontId="18" fillId="0" borderId="44" xfId="0" applyNumberFormat="1" applyFont="1" applyFill="1" applyBorder="1" applyAlignment="1">
      <alignment horizontal="right" shrinkToFit="1"/>
    </xf>
    <xf numFmtId="3" fontId="17" fillId="0" borderId="45" xfId="106" applyNumberFormat="1" applyFont="1" applyFill="1" applyBorder="1" applyAlignment="1" quotePrefix="1">
      <alignment horizontal="center" vertical="center"/>
      <protection/>
    </xf>
    <xf numFmtId="0" fontId="18" fillId="0" borderId="30" xfId="0" applyFont="1" applyFill="1" applyBorder="1" applyAlignment="1">
      <alignment horizontal="center" vertical="center" shrinkToFit="1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center" vertical="center"/>
    </xf>
    <xf numFmtId="3" fontId="18" fillId="0" borderId="47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vertical="center"/>
    </xf>
    <xf numFmtId="3" fontId="18" fillId="0" borderId="46" xfId="0" applyNumberFormat="1" applyFont="1" applyFill="1" applyBorder="1" applyAlignment="1">
      <alignment horizontal="center" vertical="center"/>
    </xf>
    <xf numFmtId="3" fontId="18" fillId="0" borderId="46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horizontal="left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left" vertical="center" indent="1"/>
    </xf>
    <xf numFmtId="3" fontId="24" fillId="0" borderId="20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38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left" shrinkToFit="1"/>
    </xf>
    <xf numFmtId="3" fontId="18" fillId="0" borderId="34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5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3" fontId="17" fillId="0" borderId="51" xfId="106" applyNumberFormat="1" applyFont="1" applyFill="1" applyBorder="1" applyAlignment="1" quotePrefix="1">
      <alignment horizontal="center" vertical="center"/>
      <protection/>
    </xf>
    <xf numFmtId="3" fontId="17" fillId="0" borderId="52" xfId="106" applyNumberFormat="1" applyFont="1" applyFill="1" applyBorder="1" applyAlignment="1" quotePrefix="1">
      <alignment horizontal="center" vertical="center"/>
      <protection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0" borderId="5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vertical="center" wrapText="1"/>
    </xf>
    <xf numFmtId="3" fontId="17" fillId="0" borderId="20" xfId="0" applyNumberFormat="1" applyFont="1" applyBorder="1" applyAlignment="1">
      <alignment vertical="center" wrapText="1"/>
    </xf>
    <xf numFmtId="3" fontId="17" fillId="0" borderId="55" xfId="106" applyNumberFormat="1" applyFont="1" applyFill="1" applyBorder="1" applyAlignment="1" quotePrefix="1">
      <alignment horizontal="center" vertical="center"/>
      <protection/>
    </xf>
    <xf numFmtId="0" fontId="17" fillId="0" borderId="37" xfId="0" applyFont="1" applyBorder="1" applyAlignment="1">
      <alignment vertical="center" wrapText="1"/>
    </xf>
    <xf numFmtId="3" fontId="17" fillId="0" borderId="56" xfId="106" applyNumberFormat="1" applyFont="1" applyFill="1" applyBorder="1" applyAlignment="1" quotePrefix="1">
      <alignment horizontal="center" vertical="center"/>
      <protection/>
    </xf>
    <xf numFmtId="3" fontId="18" fillId="0" borderId="46" xfId="0" applyNumberFormat="1" applyFont="1" applyBorder="1" applyAlignment="1">
      <alignment vertical="center" wrapText="1"/>
    </xf>
    <xf numFmtId="0" fontId="17" fillId="0" borderId="57" xfId="0" applyFont="1" applyBorder="1" applyAlignment="1">
      <alignment vertical="center" wrapText="1"/>
    </xf>
    <xf numFmtId="3" fontId="18" fillId="0" borderId="56" xfId="0" applyNumberFormat="1" applyFont="1" applyBorder="1" applyAlignment="1">
      <alignment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vertical="center" wrapText="1"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0" fontId="17" fillId="0" borderId="61" xfId="0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7" fillId="0" borderId="63" xfId="0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7" fillId="0" borderId="64" xfId="0" applyFont="1" applyBorder="1" applyAlignment="1">
      <alignment/>
    </xf>
    <xf numFmtId="3" fontId="17" fillId="0" borderId="45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8" fillId="0" borderId="65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3" fontId="17" fillId="0" borderId="41" xfId="0" applyNumberFormat="1" applyFont="1" applyFill="1" applyBorder="1" applyAlignment="1">
      <alignment horizontal="right" vertical="center"/>
    </xf>
    <xf numFmtId="3" fontId="18" fillId="0" borderId="0" xfId="106" applyNumberFormat="1" applyFont="1" applyFill="1" applyAlignment="1">
      <alignment horizontal="center" vertical="center"/>
      <protection/>
    </xf>
    <xf numFmtId="3" fontId="17" fillId="0" borderId="0" xfId="106" applyNumberFormat="1" applyFont="1" applyFill="1" applyAlignment="1">
      <alignment vertical="center"/>
      <protection/>
    </xf>
    <xf numFmtId="1" fontId="28" fillId="0" borderId="0" xfId="106" applyNumberFormat="1" applyFont="1" applyFill="1" applyAlignment="1">
      <alignment horizontal="right" vertical="center"/>
      <protection/>
    </xf>
    <xf numFmtId="3" fontId="28" fillId="0" borderId="0" xfId="106" applyNumberFormat="1" applyFont="1" applyFill="1" applyAlignment="1">
      <alignment vertical="center"/>
      <protection/>
    </xf>
    <xf numFmtId="3" fontId="31" fillId="0" borderId="0" xfId="106" applyNumberFormat="1" applyFont="1" applyFill="1" applyBorder="1" applyAlignment="1">
      <alignment vertical="center"/>
      <protection/>
    </xf>
    <xf numFmtId="3" fontId="28" fillId="0" borderId="0" xfId="106" applyNumberFormat="1" applyFont="1" applyFill="1" applyBorder="1" applyAlignment="1">
      <alignment vertical="center"/>
      <protection/>
    </xf>
    <xf numFmtId="3" fontId="18" fillId="0" borderId="22" xfId="106" applyNumberFormat="1" applyFont="1" applyFill="1" applyBorder="1" applyAlignment="1">
      <alignment horizontal="center" vertical="center"/>
      <protection/>
    </xf>
    <xf numFmtId="3" fontId="18" fillId="0" borderId="22" xfId="106" applyNumberFormat="1" applyFont="1" applyFill="1" applyBorder="1" applyAlignment="1">
      <alignment horizontal="center" vertical="center" wrapText="1"/>
      <protection/>
    </xf>
    <xf numFmtId="3" fontId="18" fillId="0" borderId="29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center" vertical="center" wrapText="1"/>
      <protection/>
    </xf>
    <xf numFmtId="3" fontId="18" fillId="0" borderId="23" xfId="106" applyNumberFormat="1" applyFont="1" applyFill="1" applyBorder="1" applyAlignment="1">
      <alignment horizontal="center" vertical="center"/>
      <protection/>
    </xf>
    <xf numFmtId="3" fontId="18" fillId="0" borderId="66" xfId="106" applyNumberFormat="1" applyFont="1" applyFill="1" applyBorder="1" applyAlignment="1">
      <alignment horizontal="center" vertical="center"/>
      <protection/>
    </xf>
    <xf numFmtId="3" fontId="17" fillId="0" borderId="55" xfId="106" applyNumberFormat="1" applyFont="1" applyFill="1" applyBorder="1" applyAlignment="1">
      <alignment vertical="center"/>
      <protection/>
    </xf>
    <xf numFmtId="1" fontId="17" fillId="0" borderId="55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left" vertical="center" indent="1"/>
      <protection/>
    </xf>
    <xf numFmtId="3" fontId="17" fillId="0" borderId="56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center" vertical="center"/>
      <protection/>
    </xf>
    <xf numFmtId="3" fontId="18" fillId="0" borderId="55" xfId="106" applyNumberFormat="1" applyFont="1" applyFill="1" applyBorder="1" applyAlignment="1">
      <alignment vertical="center"/>
      <protection/>
    </xf>
    <xf numFmtId="3" fontId="17" fillId="0" borderId="21" xfId="106" applyNumberFormat="1" applyFont="1" applyFill="1" applyBorder="1" applyAlignment="1">
      <alignment horizontal="center" vertical="center"/>
      <protection/>
    </xf>
    <xf numFmtId="1" fontId="17" fillId="0" borderId="21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vertical="center"/>
      <protection/>
    </xf>
    <xf numFmtId="3" fontId="18" fillId="0" borderId="57" xfId="106" applyNumberFormat="1" applyFont="1" applyFill="1" applyBorder="1" applyAlignment="1">
      <alignment horizontal="center" vertical="center"/>
      <protection/>
    </xf>
    <xf numFmtId="3" fontId="17" fillId="0" borderId="56" xfId="106" applyNumberFormat="1" applyFont="1" applyFill="1" applyBorder="1" applyAlignment="1">
      <alignment horizontal="center" vertical="center"/>
      <protection/>
    </xf>
    <xf numFmtId="1" fontId="17" fillId="0" borderId="56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>
      <alignment vertical="center"/>
      <protection/>
    </xf>
    <xf numFmtId="3" fontId="17" fillId="0" borderId="51" xfId="106" applyNumberFormat="1" applyFont="1" applyFill="1" applyBorder="1" applyAlignment="1">
      <alignment horizontal="center" vertical="center"/>
      <protection/>
    </xf>
    <xf numFmtId="3" fontId="17" fillId="0" borderId="21" xfId="106" applyNumberFormat="1" applyFont="1" applyFill="1" applyBorder="1" applyAlignment="1" quotePrefix="1">
      <alignment horizontal="center" vertical="center"/>
      <protection/>
    </xf>
    <xf numFmtId="3" fontId="17" fillId="0" borderId="51" xfId="106" applyNumberFormat="1" applyFont="1" applyFill="1" applyBorder="1" applyAlignment="1">
      <alignment horizontal="right" vertical="center"/>
      <protection/>
    </xf>
    <xf numFmtId="3" fontId="18" fillId="0" borderId="21" xfId="106" applyNumberFormat="1" applyFont="1" applyFill="1" applyBorder="1" applyAlignment="1">
      <alignment vertical="center"/>
      <protection/>
    </xf>
    <xf numFmtId="3" fontId="18" fillId="0" borderId="59" xfId="106" applyNumberFormat="1" applyFont="1" applyFill="1" applyBorder="1" applyAlignment="1">
      <alignment horizontal="right" vertical="center"/>
      <protection/>
    </xf>
    <xf numFmtId="3" fontId="18" fillId="0" borderId="26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center" vertical="center"/>
      <protection/>
    </xf>
    <xf numFmtId="3" fontId="18" fillId="0" borderId="22" xfId="106" applyNumberFormat="1" applyFont="1" applyFill="1" applyBorder="1" applyAlignment="1">
      <alignment horizontal="right" vertical="center"/>
      <protection/>
    </xf>
    <xf numFmtId="3" fontId="18" fillId="0" borderId="68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>
      <alignment horizontal="center" vertical="center"/>
      <protection/>
    </xf>
    <xf numFmtId="3" fontId="18" fillId="0" borderId="69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>
      <alignment horizontal="right" vertical="center"/>
      <protection/>
    </xf>
    <xf numFmtId="3" fontId="18" fillId="0" borderId="0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right" vertical="center"/>
      <protection/>
    </xf>
    <xf numFmtId="1" fontId="17" fillId="0" borderId="70" xfId="106" applyNumberFormat="1" applyFont="1" applyFill="1" applyBorder="1" applyAlignment="1">
      <alignment horizontal="right" vertical="center"/>
      <protection/>
    </xf>
    <xf numFmtId="3" fontId="18" fillId="0" borderId="70" xfId="106" applyNumberFormat="1" applyFont="1" applyFill="1" applyBorder="1" applyAlignment="1">
      <alignment horizontal="right" vertical="center"/>
      <protection/>
    </xf>
    <xf numFmtId="3" fontId="17" fillId="0" borderId="57" xfId="106" applyNumberFormat="1" applyFont="1" applyFill="1" applyBorder="1" applyAlignment="1">
      <alignment horizontal="center" vertical="center"/>
      <protection/>
    </xf>
    <xf numFmtId="3" fontId="17" fillId="0" borderId="71" xfId="106" applyNumberFormat="1" applyFont="1" applyFill="1" applyBorder="1" applyAlignment="1">
      <alignment horizontal="center" vertical="center"/>
      <protection/>
    </xf>
    <xf numFmtId="3" fontId="17" fillId="0" borderId="72" xfId="106" applyNumberFormat="1" applyFont="1" applyFill="1" applyBorder="1" applyAlignment="1">
      <alignment horizontal="center" vertical="center"/>
      <protection/>
    </xf>
    <xf numFmtId="3" fontId="18" fillId="0" borderId="37" xfId="106" applyNumberFormat="1" applyFont="1" applyFill="1" applyBorder="1" applyAlignment="1">
      <alignment horizontal="center" vertical="center"/>
      <protection/>
    </xf>
    <xf numFmtId="3" fontId="17" fillId="0" borderId="21" xfId="106" applyNumberFormat="1" applyFont="1" applyFill="1" applyBorder="1" applyAlignment="1">
      <alignment horizontal="left" vertical="center"/>
      <protection/>
    </xf>
    <xf numFmtId="1" fontId="28" fillId="0" borderId="21" xfId="106" applyNumberFormat="1" applyFont="1" applyFill="1" applyBorder="1" applyAlignment="1">
      <alignment horizontal="right" vertical="center"/>
      <protection/>
    </xf>
    <xf numFmtId="3" fontId="18" fillId="0" borderId="21" xfId="106" applyNumberFormat="1" applyFont="1" applyFill="1" applyBorder="1" applyAlignment="1">
      <alignment horizontal="left" vertical="center"/>
      <protection/>
    </xf>
    <xf numFmtId="3" fontId="17" fillId="0" borderId="56" xfId="106" applyNumberFormat="1" applyFont="1" applyFill="1" applyBorder="1" applyAlignment="1">
      <alignment horizontal="left" vertical="center"/>
      <protection/>
    </xf>
    <xf numFmtId="1" fontId="28" fillId="0" borderId="56" xfId="106" applyNumberFormat="1" applyFont="1" applyFill="1" applyBorder="1" applyAlignment="1">
      <alignment horizontal="right" vertical="center"/>
      <protection/>
    </xf>
    <xf numFmtId="3" fontId="17" fillId="0" borderId="57" xfId="106" applyNumberFormat="1" applyFont="1" applyFill="1" applyBorder="1" applyAlignment="1">
      <alignment horizontal="left" vertical="center"/>
      <protection/>
    </xf>
    <xf numFmtId="3" fontId="17" fillId="0" borderId="56" xfId="106" applyNumberFormat="1" applyFont="1" applyFill="1" applyBorder="1" applyAlignment="1">
      <alignment horizontal="left" vertical="center" indent="1"/>
      <protection/>
    </xf>
    <xf numFmtId="3" fontId="28" fillId="0" borderId="56" xfId="106" applyNumberFormat="1" applyFont="1" applyFill="1" applyBorder="1" applyAlignment="1">
      <alignment horizontal="right" vertical="center"/>
      <protection/>
    </xf>
    <xf numFmtId="3" fontId="28" fillId="0" borderId="21" xfId="106" applyNumberFormat="1" applyFont="1" applyFill="1" applyBorder="1" applyAlignment="1">
      <alignment horizontal="right" vertical="center"/>
      <protection/>
    </xf>
    <xf numFmtId="3" fontId="18" fillId="0" borderId="53" xfId="106" applyNumberFormat="1" applyFont="1" applyFill="1" applyBorder="1" applyAlignment="1">
      <alignment horizontal="center" vertical="center"/>
      <protection/>
    </xf>
    <xf numFmtId="3" fontId="17" fillId="0" borderId="22" xfId="106" applyNumberFormat="1" applyFont="1" applyFill="1" applyBorder="1" applyAlignment="1">
      <alignment horizontal="center" vertical="center"/>
      <protection/>
    </xf>
    <xf numFmtId="1" fontId="17" fillId="0" borderId="22" xfId="106" applyNumberFormat="1" applyFont="1" applyFill="1" applyBorder="1" applyAlignment="1">
      <alignment horizontal="right" vertical="center"/>
      <protection/>
    </xf>
    <xf numFmtId="3" fontId="18" fillId="0" borderId="22" xfId="106" applyNumberFormat="1" applyFont="1" applyFill="1" applyBorder="1" applyAlignment="1">
      <alignment vertical="center"/>
      <protection/>
    </xf>
    <xf numFmtId="1" fontId="18" fillId="0" borderId="22" xfId="106" applyNumberFormat="1" applyFont="1" applyFill="1" applyBorder="1" applyAlignment="1">
      <alignment horizontal="right" vertical="center"/>
      <protection/>
    </xf>
    <xf numFmtId="3" fontId="18" fillId="0" borderId="56" xfId="106" applyNumberFormat="1" applyFont="1" applyFill="1" applyBorder="1" applyAlignment="1">
      <alignment vertical="center"/>
      <protection/>
    </xf>
    <xf numFmtId="3" fontId="18" fillId="0" borderId="71" xfId="106" applyNumberFormat="1" applyFont="1" applyFill="1" applyBorder="1" applyAlignment="1">
      <alignment horizontal="center" vertical="center"/>
      <protection/>
    </xf>
    <xf numFmtId="1" fontId="17" fillId="0" borderId="72" xfId="106" applyNumberFormat="1" applyFont="1" applyFill="1" applyBorder="1" applyAlignment="1">
      <alignment horizontal="right" vertical="center"/>
      <protection/>
    </xf>
    <xf numFmtId="3" fontId="17" fillId="0" borderId="72" xfId="106" applyNumberFormat="1" applyFont="1" applyFill="1" applyBorder="1" applyAlignment="1" quotePrefix="1">
      <alignment horizontal="center" vertical="center"/>
      <protection/>
    </xf>
    <xf numFmtId="3" fontId="17" fillId="0" borderId="72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>
      <alignment horizontal="right" vertical="center"/>
      <protection/>
    </xf>
    <xf numFmtId="1" fontId="18" fillId="0" borderId="21" xfId="106" applyNumberFormat="1" applyFont="1" applyFill="1" applyBorder="1" applyAlignment="1">
      <alignment horizontal="right" vertical="center"/>
      <protection/>
    </xf>
    <xf numFmtId="1" fontId="17" fillId="0" borderId="56" xfId="106" applyNumberFormat="1" applyFont="1" applyFill="1" applyBorder="1" applyAlignment="1">
      <alignment horizontal="center" vertical="center"/>
      <protection/>
    </xf>
    <xf numFmtId="3" fontId="17" fillId="0" borderId="56" xfId="106" applyNumberFormat="1" applyFont="1" applyFill="1" applyBorder="1" applyAlignment="1">
      <alignment horizontal="left" vertical="center" wrapText="1" indent="1"/>
      <protection/>
    </xf>
    <xf numFmtId="3" fontId="18" fillId="0" borderId="73" xfId="106" applyNumberFormat="1" applyFont="1" applyFill="1" applyBorder="1" applyAlignment="1">
      <alignment horizontal="right" vertical="center"/>
      <protection/>
    </xf>
    <xf numFmtId="3" fontId="18" fillId="0" borderId="74" xfId="106" applyNumberFormat="1" applyFont="1" applyFill="1" applyBorder="1" applyAlignment="1">
      <alignment vertical="center"/>
      <protection/>
    </xf>
    <xf numFmtId="3" fontId="18" fillId="0" borderId="75" xfId="106" applyNumberFormat="1" applyFont="1" applyFill="1" applyBorder="1" applyAlignment="1">
      <alignment horizontal="center" vertical="center"/>
      <protection/>
    </xf>
    <xf numFmtId="3" fontId="18" fillId="0" borderId="76" xfId="106" applyNumberFormat="1" applyFont="1" applyFill="1" applyBorder="1" applyAlignment="1">
      <alignment horizontal="center" vertical="center"/>
      <protection/>
    </xf>
    <xf numFmtId="3" fontId="17" fillId="0" borderId="70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vertical="center"/>
      <protection/>
    </xf>
    <xf numFmtId="1" fontId="18" fillId="0" borderId="56" xfId="106" applyNumberFormat="1" applyFont="1" applyFill="1" applyBorder="1" applyAlignment="1">
      <alignment horizontal="right" vertical="center"/>
      <protection/>
    </xf>
    <xf numFmtId="3" fontId="18" fillId="0" borderId="22" xfId="106" applyNumberFormat="1" applyFont="1" applyFill="1" applyBorder="1" applyAlignment="1">
      <alignment horizontal="left" vertical="center"/>
      <protection/>
    </xf>
    <xf numFmtId="3" fontId="18" fillId="0" borderId="72" xfId="106" applyNumberFormat="1" applyFont="1" applyFill="1" applyBorder="1" applyAlignment="1">
      <alignment horizontal="center" vertical="center"/>
      <protection/>
    </xf>
    <xf numFmtId="1" fontId="18" fillId="0" borderId="72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>
      <alignment vertical="center"/>
      <protection/>
    </xf>
    <xf numFmtId="3" fontId="18" fillId="0" borderId="77" xfId="106" applyNumberFormat="1" applyFont="1" applyFill="1" applyBorder="1" applyAlignment="1">
      <alignment horizontal="center" vertical="center"/>
      <protection/>
    </xf>
    <xf numFmtId="3" fontId="17" fillId="0" borderId="70" xfId="106" applyNumberFormat="1" applyFont="1" applyFill="1" applyBorder="1" applyAlignment="1">
      <alignment vertical="center"/>
      <protection/>
    </xf>
    <xf numFmtId="3" fontId="17" fillId="0" borderId="56" xfId="106" applyNumberFormat="1" applyFont="1" applyFill="1" applyBorder="1" applyAlignment="1">
      <alignment vertical="center" shrinkToFit="1"/>
      <protection/>
    </xf>
    <xf numFmtId="3" fontId="18" fillId="0" borderId="78" xfId="106" applyNumberFormat="1" applyFont="1" applyFill="1" applyBorder="1" applyAlignment="1">
      <alignment horizontal="center" vertical="center"/>
      <protection/>
    </xf>
    <xf numFmtId="1" fontId="17" fillId="0" borderId="51" xfId="106" applyNumberFormat="1" applyFont="1" applyFill="1" applyBorder="1" applyAlignment="1">
      <alignment horizontal="center" vertical="center"/>
      <protection/>
    </xf>
    <xf numFmtId="1" fontId="17" fillId="0" borderId="51" xfId="106" applyNumberFormat="1" applyFont="1" applyFill="1" applyBorder="1" applyAlignment="1">
      <alignment horizontal="right" vertical="center"/>
      <protection/>
    </xf>
    <xf numFmtId="3" fontId="17" fillId="0" borderId="51" xfId="106" applyNumberFormat="1" applyFont="1" applyFill="1" applyBorder="1" applyAlignment="1">
      <alignment vertical="center"/>
      <protection/>
    </xf>
    <xf numFmtId="3" fontId="18" fillId="0" borderId="51" xfId="106" applyNumberFormat="1" applyFont="1" applyFill="1" applyBorder="1" applyAlignment="1">
      <alignment horizontal="right" vertical="center"/>
      <protection/>
    </xf>
    <xf numFmtId="3" fontId="18" fillId="0" borderId="51" xfId="106" applyNumberFormat="1" applyFont="1" applyFill="1" applyBorder="1" applyAlignment="1">
      <alignment vertical="center"/>
      <protection/>
    </xf>
    <xf numFmtId="3" fontId="18" fillId="0" borderId="55" xfId="106" applyNumberFormat="1" applyFont="1" applyFill="1" applyBorder="1" applyAlignment="1">
      <alignment horizontal="right" vertical="center"/>
      <protection/>
    </xf>
    <xf numFmtId="1" fontId="28" fillId="0" borderId="70" xfId="106" applyNumberFormat="1" applyFont="1" applyFill="1" applyBorder="1" applyAlignment="1">
      <alignment horizontal="right" vertical="center"/>
      <protection/>
    </xf>
    <xf numFmtId="164" fontId="17" fillId="0" borderId="56" xfId="106" applyNumberFormat="1" applyFont="1" applyFill="1" applyBorder="1" applyAlignment="1">
      <alignment horizontal="center" vertical="center"/>
      <protection/>
    </xf>
    <xf numFmtId="164" fontId="17" fillId="0" borderId="72" xfId="106" applyNumberFormat="1" applyFont="1" applyFill="1" applyBorder="1" applyAlignment="1">
      <alignment horizontal="center" vertical="center"/>
      <protection/>
    </xf>
    <xf numFmtId="3" fontId="17" fillId="0" borderId="72" xfId="106" applyNumberFormat="1" applyFont="1" applyFill="1" applyBorder="1" applyAlignment="1">
      <alignment vertical="center"/>
      <protection/>
    </xf>
    <xf numFmtId="3" fontId="17" fillId="0" borderId="37" xfId="106" applyNumberFormat="1" applyFont="1" applyFill="1" applyBorder="1" applyAlignment="1">
      <alignment horizontal="center" vertical="center"/>
      <protection/>
    </xf>
    <xf numFmtId="3" fontId="18" fillId="0" borderId="54" xfId="106" applyNumberFormat="1" applyFont="1" applyFill="1" applyBorder="1" applyAlignment="1">
      <alignment horizontal="center" vertical="center"/>
      <protection/>
    </xf>
    <xf numFmtId="3" fontId="17" fillId="0" borderId="23" xfId="106" applyNumberFormat="1" applyFont="1" applyFill="1" applyBorder="1" applyAlignment="1">
      <alignment horizontal="center" vertical="center"/>
      <protection/>
    </xf>
    <xf numFmtId="1" fontId="17" fillId="0" borderId="23" xfId="106" applyNumberFormat="1" applyFont="1" applyFill="1" applyBorder="1" applyAlignment="1">
      <alignment horizontal="right" vertical="center"/>
      <protection/>
    </xf>
    <xf numFmtId="3" fontId="17" fillId="0" borderId="23" xfId="106" applyNumberFormat="1" applyFont="1" applyFill="1" applyBorder="1" applyAlignment="1">
      <alignment horizontal="right" vertical="center"/>
      <protection/>
    </xf>
    <xf numFmtId="3" fontId="31" fillId="0" borderId="70" xfId="106" applyNumberFormat="1" applyFont="1" applyFill="1" applyBorder="1" applyAlignment="1">
      <alignment horizontal="right" vertical="center"/>
      <protection/>
    </xf>
    <xf numFmtId="1" fontId="18" fillId="0" borderId="70" xfId="106" applyNumberFormat="1" applyFont="1" applyFill="1" applyBorder="1" applyAlignment="1">
      <alignment horizontal="right" vertical="center"/>
      <protection/>
    </xf>
    <xf numFmtId="3" fontId="31" fillId="0" borderId="56" xfId="106" applyNumberFormat="1" applyFont="1" applyFill="1" applyBorder="1" applyAlignment="1">
      <alignment horizontal="right" vertical="center"/>
      <protection/>
    </xf>
    <xf numFmtId="3" fontId="31" fillId="0" borderId="21" xfId="106" applyNumberFormat="1" applyFont="1" applyFill="1" applyBorder="1" applyAlignment="1">
      <alignment horizontal="right" vertical="center"/>
      <protection/>
    </xf>
    <xf numFmtId="3" fontId="18" fillId="0" borderId="23" xfId="106" applyNumberFormat="1" applyFont="1" applyFill="1" applyBorder="1" applyAlignment="1">
      <alignment horizontal="right" vertical="center"/>
      <protection/>
    </xf>
    <xf numFmtId="3" fontId="18" fillId="0" borderId="23" xfId="106" applyNumberFormat="1" applyFont="1" applyFill="1" applyBorder="1" applyAlignment="1">
      <alignment vertical="center"/>
      <protection/>
    </xf>
    <xf numFmtId="3" fontId="28" fillId="0" borderId="56" xfId="106" applyNumberFormat="1" applyFont="1" applyFill="1" applyBorder="1" applyAlignment="1">
      <alignment vertical="center"/>
      <protection/>
    </xf>
    <xf numFmtId="3" fontId="17" fillId="0" borderId="51" xfId="106" applyNumberFormat="1" applyFont="1" applyFill="1" applyBorder="1" applyAlignment="1">
      <alignment horizontal="left" vertical="center" indent="1"/>
      <protection/>
    </xf>
    <xf numFmtId="3" fontId="17" fillId="0" borderId="23" xfId="106" applyNumberFormat="1" applyFont="1" applyFill="1" applyBorder="1" applyAlignment="1">
      <alignment vertical="center"/>
      <protection/>
    </xf>
    <xf numFmtId="3" fontId="31" fillId="0" borderId="22" xfId="106" applyNumberFormat="1" applyFont="1" applyFill="1" applyBorder="1" applyAlignment="1">
      <alignment horizontal="right" vertical="center"/>
      <protection/>
    </xf>
    <xf numFmtId="1" fontId="17" fillId="0" borderId="79" xfId="106" applyNumberFormat="1" applyFont="1" applyFill="1" applyBorder="1" applyAlignment="1">
      <alignment horizontal="right" vertical="center"/>
      <protection/>
    </xf>
    <xf numFmtId="3" fontId="31" fillId="0" borderId="23" xfId="106" applyNumberFormat="1" applyFont="1" applyFill="1" applyBorder="1" applyAlignment="1">
      <alignment horizontal="right" vertical="center"/>
      <protection/>
    </xf>
    <xf numFmtId="1" fontId="28" fillId="0" borderId="55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horizontal="left" vertical="center" indent="1"/>
      <protection/>
    </xf>
    <xf numFmtId="164" fontId="17" fillId="0" borderId="55" xfId="106" applyNumberFormat="1" applyFont="1" applyFill="1" applyBorder="1" applyAlignment="1">
      <alignment horizontal="center" vertical="center"/>
      <protection/>
    </xf>
    <xf numFmtId="3" fontId="18" fillId="0" borderId="30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left" vertical="center"/>
      <protection/>
    </xf>
    <xf numFmtId="3" fontId="18" fillId="0" borderId="80" xfId="106" applyNumberFormat="1" applyFont="1" applyFill="1" applyBorder="1" applyAlignment="1">
      <alignment horizontal="right" vertical="center"/>
      <protection/>
    </xf>
    <xf numFmtId="3" fontId="18" fillId="0" borderId="81" xfId="106" applyNumberFormat="1" applyFont="1" applyFill="1" applyBorder="1" applyAlignment="1">
      <alignment horizontal="center" vertical="center"/>
      <protection/>
    </xf>
    <xf numFmtId="3" fontId="18" fillId="0" borderId="82" xfId="106" applyNumberFormat="1" applyFont="1" applyFill="1" applyBorder="1" applyAlignment="1">
      <alignment horizontal="center" vertical="center"/>
      <protection/>
    </xf>
    <xf numFmtId="3" fontId="18" fillId="0" borderId="83" xfId="106" applyNumberFormat="1" applyFont="1" applyFill="1" applyBorder="1" applyAlignment="1">
      <alignment horizontal="center" vertical="center"/>
      <protection/>
    </xf>
    <xf numFmtId="3" fontId="18" fillId="0" borderId="84" xfId="106" applyNumberFormat="1" applyFont="1" applyFill="1" applyBorder="1" applyAlignment="1">
      <alignment horizontal="center" vertical="center"/>
      <protection/>
    </xf>
    <xf numFmtId="3" fontId="18" fillId="0" borderId="51" xfId="106" applyNumberFormat="1" applyFont="1" applyFill="1" applyBorder="1" applyAlignment="1">
      <alignment horizontal="center" vertical="center"/>
      <protection/>
    </xf>
    <xf numFmtId="3" fontId="18" fillId="0" borderId="85" xfId="106" applyNumberFormat="1" applyFont="1" applyFill="1" applyBorder="1" applyAlignment="1">
      <alignment horizontal="center" vertical="center"/>
      <protection/>
    </xf>
    <xf numFmtId="3" fontId="18" fillId="0" borderId="51" xfId="106" applyNumberFormat="1" applyFont="1" applyFill="1" applyBorder="1" applyAlignment="1">
      <alignment horizontal="left" vertical="center" indent="1"/>
      <protection/>
    </xf>
    <xf numFmtId="3" fontId="18" fillId="0" borderId="29" xfId="106" applyNumberFormat="1" applyFont="1" applyFill="1" applyBorder="1" applyAlignment="1">
      <alignment horizontal="center" vertical="center" wrapText="1"/>
      <protection/>
    </xf>
    <xf numFmtId="3" fontId="18" fillId="0" borderId="0" xfId="106" applyNumberFormat="1" applyFont="1" applyFill="1" applyBorder="1" applyAlignment="1">
      <alignment horizontal="center" vertical="center" wrapText="1"/>
      <protection/>
    </xf>
    <xf numFmtId="3" fontId="18" fillId="0" borderId="68" xfId="106" applyNumberFormat="1" applyFont="1" applyFill="1" applyBorder="1" applyAlignment="1">
      <alignment horizontal="center" vertical="center" wrapText="1"/>
      <protection/>
    </xf>
    <xf numFmtId="3" fontId="18" fillId="0" borderId="56" xfId="106" applyNumberFormat="1" applyFont="1" applyFill="1" applyBorder="1" applyAlignment="1">
      <alignment horizontal="center" vertical="center" wrapText="1"/>
      <protection/>
    </xf>
    <xf numFmtId="3" fontId="18" fillId="0" borderId="69" xfId="106" applyNumberFormat="1" applyFont="1" applyFill="1" applyBorder="1" applyAlignment="1">
      <alignment horizontal="center" vertical="center" wrapText="1"/>
      <protection/>
    </xf>
    <xf numFmtId="1" fontId="28" fillId="0" borderId="72" xfId="106" applyNumberFormat="1" applyFont="1" applyFill="1" applyBorder="1" applyAlignment="1">
      <alignment horizontal="right" vertical="center"/>
      <protection/>
    </xf>
    <xf numFmtId="3" fontId="17" fillId="0" borderId="23" xfId="106" applyNumberFormat="1" applyFont="1" applyFill="1" applyBorder="1" applyAlignment="1" quotePrefix="1">
      <alignment horizontal="center" vertical="center"/>
      <protection/>
    </xf>
    <xf numFmtId="3" fontId="31" fillId="0" borderId="0" xfId="106" applyNumberFormat="1" applyFont="1" applyFill="1" applyAlignment="1">
      <alignment vertical="center"/>
      <protection/>
    </xf>
    <xf numFmtId="3" fontId="9" fillId="0" borderId="0" xfId="106" applyNumberFormat="1" applyFont="1" applyFill="1" applyBorder="1" applyAlignment="1">
      <alignment horizontal="center" vertical="center"/>
      <protection/>
    </xf>
    <xf numFmtId="0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86" xfId="0" applyNumberFormat="1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3" fontId="18" fillId="0" borderId="80" xfId="0" applyNumberFormat="1" applyFont="1" applyBorder="1" applyAlignment="1">
      <alignment horizontal="center" vertical="center" wrapText="1"/>
    </xf>
    <xf numFmtId="3" fontId="18" fillId="0" borderId="87" xfId="0" applyNumberFormat="1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vertical="center" wrapText="1"/>
    </xf>
    <xf numFmtId="3" fontId="17" fillId="0" borderId="55" xfId="0" applyNumberFormat="1" applyFont="1" applyBorder="1" applyAlignment="1">
      <alignment vertical="center"/>
    </xf>
    <xf numFmtId="3" fontId="17" fillId="0" borderId="89" xfId="0" applyNumberFormat="1" applyFont="1" applyBorder="1" applyAlignment="1">
      <alignment vertical="center"/>
    </xf>
    <xf numFmtId="0" fontId="17" fillId="0" borderId="90" xfId="0" applyFont="1" applyBorder="1" applyAlignment="1">
      <alignment horizontal="center" vertical="center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vertical="center"/>
    </xf>
    <xf numFmtId="3" fontId="17" fillId="0" borderId="92" xfId="0" applyNumberFormat="1" applyFont="1" applyBorder="1" applyAlignment="1">
      <alignment vertical="center"/>
    </xf>
    <xf numFmtId="0" fontId="17" fillId="0" borderId="48" xfId="0" applyFont="1" applyBorder="1" applyAlignment="1">
      <alignment horizontal="center" vertical="center" wrapText="1"/>
    </xf>
    <xf numFmtId="0" fontId="17" fillId="43" borderId="93" xfId="0" applyNumberFormat="1" applyFont="1" applyFill="1" applyBorder="1" applyAlignment="1">
      <alignment horizontal="center" vertical="center" wrapText="1"/>
    </xf>
    <xf numFmtId="0" fontId="18" fillId="0" borderId="94" xfId="0" applyFont="1" applyBorder="1" applyAlignment="1">
      <alignment horizontal="left" vertical="center" wrapText="1"/>
    </xf>
    <xf numFmtId="3" fontId="18" fillId="0" borderId="93" xfId="0" applyNumberFormat="1" applyFont="1" applyBorder="1" applyAlignment="1">
      <alignment horizontal="right" vertical="center" wrapText="1"/>
    </xf>
    <xf numFmtId="3" fontId="18" fillId="0" borderId="94" xfId="0" applyNumberFormat="1" applyFont="1" applyBorder="1" applyAlignment="1">
      <alignment horizontal="right" vertical="center" wrapText="1"/>
    </xf>
    <xf numFmtId="0" fontId="17" fillId="43" borderId="9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8" fillId="0" borderId="55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left" vertical="center"/>
      <protection/>
    </xf>
    <xf numFmtId="3" fontId="18" fillId="0" borderId="60" xfId="0" applyNumberFormat="1" applyFont="1" applyFill="1" applyBorder="1" applyAlignment="1">
      <alignment horizontal="right" vertical="center" shrinkToFit="1"/>
    </xf>
    <xf numFmtId="3" fontId="17" fillId="0" borderId="44" xfId="106" applyNumberFormat="1" applyFont="1" applyFill="1" applyBorder="1" applyAlignment="1" quotePrefix="1">
      <alignment horizontal="center" vertical="center"/>
      <protection/>
    </xf>
    <xf numFmtId="3" fontId="18" fillId="0" borderId="70" xfId="106" applyNumberFormat="1" applyFont="1" applyFill="1" applyBorder="1" applyAlignment="1">
      <alignment vertical="center" shrinkToFit="1"/>
      <protection/>
    </xf>
    <xf numFmtId="3" fontId="31" fillId="0" borderId="72" xfId="106" applyNumberFormat="1" applyFont="1" applyFill="1" applyBorder="1" applyAlignment="1">
      <alignment horizontal="right" vertical="center"/>
      <protection/>
    </xf>
    <xf numFmtId="3" fontId="28" fillId="0" borderId="55" xfId="106" applyNumberFormat="1" applyFont="1" applyFill="1" applyBorder="1" applyAlignment="1">
      <alignment vertical="center"/>
      <protection/>
    </xf>
    <xf numFmtId="3" fontId="28" fillId="0" borderId="55" xfId="106" applyNumberFormat="1" applyFont="1" applyFill="1" applyBorder="1" applyAlignment="1">
      <alignment horizontal="right" vertical="center"/>
      <protection/>
    </xf>
    <xf numFmtId="3" fontId="31" fillId="0" borderId="55" xfId="106" applyNumberFormat="1" applyFont="1" applyFill="1" applyBorder="1" applyAlignment="1">
      <alignment horizontal="right" vertical="center"/>
      <protection/>
    </xf>
    <xf numFmtId="3" fontId="28" fillId="0" borderId="70" xfId="106" applyNumberFormat="1" applyFont="1" applyFill="1" applyBorder="1" applyAlignment="1">
      <alignment horizontal="right" vertical="center"/>
      <protection/>
    </xf>
    <xf numFmtId="3" fontId="31" fillId="0" borderId="74" xfId="106" applyNumberFormat="1" applyFont="1" applyFill="1" applyBorder="1" applyAlignment="1">
      <alignment horizontal="right" vertical="center"/>
      <protection/>
    </xf>
    <xf numFmtId="3" fontId="31" fillId="0" borderId="51" xfId="106" applyNumberFormat="1" applyFont="1" applyFill="1" applyBorder="1" applyAlignment="1">
      <alignment horizontal="right" vertical="center"/>
      <protection/>
    </xf>
    <xf numFmtId="3" fontId="31" fillId="0" borderId="80" xfId="106" applyNumberFormat="1" applyFont="1" applyFill="1" applyBorder="1" applyAlignment="1">
      <alignment horizontal="right" vertical="center"/>
      <protection/>
    </xf>
    <xf numFmtId="3" fontId="28" fillId="0" borderId="70" xfId="106" applyNumberFormat="1" applyFont="1" applyFill="1" applyBorder="1" applyAlignment="1">
      <alignment vertical="center"/>
      <protection/>
    </xf>
    <xf numFmtId="2" fontId="18" fillId="0" borderId="90" xfId="106" applyNumberFormat="1" applyFont="1" applyFill="1" applyBorder="1" applyAlignment="1">
      <alignment horizontal="right" vertical="center"/>
      <protection/>
    </xf>
    <xf numFmtId="2" fontId="18" fillId="0" borderId="90" xfId="106" applyNumberFormat="1" applyFont="1" applyFill="1" applyBorder="1" applyAlignment="1">
      <alignment vertical="center"/>
      <protection/>
    </xf>
    <xf numFmtId="2" fontId="18" fillId="0" borderId="95" xfId="106" applyNumberFormat="1" applyFont="1" applyFill="1" applyBorder="1" applyAlignment="1">
      <alignment horizontal="right" vertical="center"/>
      <protection/>
    </xf>
    <xf numFmtId="164" fontId="17" fillId="0" borderId="55" xfId="106" applyNumberFormat="1" applyFont="1" applyFill="1" applyBorder="1" applyAlignment="1">
      <alignment horizontal="left" vertical="center" indent="1"/>
      <protection/>
    </xf>
    <xf numFmtId="3" fontId="18" fillId="0" borderId="57" xfId="106" applyNumberFormat="1" applyFont="1" applyFill="1" applyBorder="1" applyAlignment="1">
      <alignment horizontal="left" vertical="center"/>
      <protection/>
    </xf>
    <xf numFmtId="3" fontId="18" fillId="0" borderId="56" xfId="106" applyNumberFormat="1" applyFont="1" applyFill="1" applyBorder="1" applyAlignment="1">
      <alignment horizontal="left" vertical="center"/>
      <protection/>
    </xf>
    <xf numFmtId="3" fontId="18" fillId="0" borderId="55" xfId="106" applyNumberFormat="1" applyFont="1" applyFill="1" applyBorder="1" applyAlignment="1" quotePrefix="1">
      <alignment horizontal="center" vertical="center"/>
      <protection/>
    </xf>
    <xf numFmtId="3" fontId="18" fillId="0" borderId="37" xfId="106" applyNumberFormat="1" applyFont="1" applyFill="1" applyBorder="1" applyAlignment="1">
      <alignment horizontal="left" vertical="center"/>
      <protection/>
    </xf>
    <xf numFmtId="3" fontId="18" fillId="0" borderId="21" xfId="106" applyNumberFormat="1" applyFont="1" applyFill="1" applyBorder="1" applyAlignment="1" quotePrefix="1">
      <alignment horizontal="center" vertical="center"/>
      <protection/>
    </xf>
    <xf numFmtId="1" fontId="17" fillId="0" borderId="56" xfId="106" applyNumberFormat="1" applyFont="1" applyFill="1" applyBorder="1" applyAlignment="1" quotePrefix="1">
      <alignment horizontal="center" vertical="center"/>
      <protection/>
    </xf>
    <xf numFmtId="1" fontId="18" fillId="0" borderId="56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 quotePrefix="1">
      <alignment horizontal="center" vertical="center"/>
      <protection/>
    </xf>
    <xf numFmtId="3" fontId="24" fillId="0" borderId="57" xfId="106" applyNumberFormat="1" applyFont="1" applyFill="1" applyBorder="1" applyAlignment="1">
      <alignment horizontal="left" vertical="center"/>
      <protection/>
    </xf>
    <xf numFmtId="3" fontId="24" fillId="0" borderId="56" xfId="106" applyNumberFormat="1" applyFont="1" applyFill="1" applyBorder="1" applyAlignment="1">
      <alignment horizontal="center" vertical="center"/>
      <protection/>
    </xf>
    <xf numFmtId="1" fontId="24" fillId="0" borderId="56" xfId="106" applyNumberFormat="1" applyFont="1" applyFill="1" applyBorder="1" applyAlignment="1">
      <alignment horizontal="right" vertical="center"/>
      <protection/>
    </xf>
    <xf numFmtId="3" fontId="30" fillId="0" borderId="55" xfId="106" applyNumberFormat="1" applyFont="1" applyFill="1" applyBorder="1" applyAlignment="1">
      <alignment horizontal="left" vertical="center" indent="2"/>
      <protection/>
    </xf>
    <xf numFmtId="3" fontId="24" fillId="0" borderId="56" xfId="106" applyNumberFormat="1" applyFont="1" applyFill="1" applyBorder="1" applyAlignment="1">
      <alignment horizontal="right" vertical="center"/>
      <protection/>
    </xf>
    <xf numFmtId="3" fontId="29" fillId="0" borderId="56" xfId="106" applyNumberFormat="1" applyFont="1" applyFill="1" applyBorder="1" applyAlignment="1">
      <alignment horizontal="right" vertical="center"/>
      <protection/>
    </xf>
    <xf numFmtId="3" fontId="24" fillId="0" borderId="55" xfId="106" applyNumberFormat="1" applyFont="1" applyFill="1" applyBorder="1" applyAlignment="1" quotePrefix="1">
      <alignment horizontal="center" vertical="center"/>
      <protection/>
    </xf>
    <xf numFmtId="3" fontId="24" fillId="0" borderId="21" xfId="106" applyNumberFormat="1" applyFont="1" applyFill="1" applyBorder="1" applyAlignment="1" quotePrefix="1">
      <alignment horizontal="center" vertical="center"/>
      <protection/>
    </xf>
    <xf numFmtId="3" fontId="29" fillId="0" borderId="66" xfId="106" applyNumberFormat="1" applyFont="1" applyFill="1" applyBorder="1" applyAlignment="1">
      <alignment horizontal="center" vertical="center"/>
      <protection/>
    </xf>
    <xf numFmtId="3" fontId="24" fillId="0" borderId="55" xfId="106" applyNumberFormat="1" applyFont="1" applyFill="1" applyBorder="1" applyAlignment="1">
      <alignment horizontal="center" vertical="center"/>
      <protection/>
    </xf>
    <xf numFmtId="1" fontId="24" fillId="0" borderId="55" xfId="106" applyNumberFormat="1" applyFont="1" applyFill="1" applyBorder="1" applyAlignment="1">
      <alignment horizontal="right" vertical="center"/>
      <protection/>
    </xf>
    <xf numFmtId="3" fontId="24" fillId="0" borderId="55" xfId="106" applyNumberFormat="1" applyFont="1" applyFill="1" applyBorder="1" applyAlignment="1">
      <alignment vertical="center"/>
      <protection/>
    </xf>
    <xf numFmtId="3" fontId="24" fillId="0" borderId="55" xfId="106" applyNumberFormat="1" applyFont="1" applyFill="1" applyBorder="1" applyAlignment="1">
      <alignment horizontal="right" vertical="center"/>
      <protection/>
    </xf>
    <xf numFmtId="3" fontId="29" fillId="0" borderId="55" xfId="106" applyNumberFormat="1" applyFont="1" applyFill="1" applyBorder="1" applyAlignment="1">
      <alignment vertical="center"/>
      <protection/>
    </xf>
    <xf numFmtId="3" fontId="24" fillId="0" borderId="55" xfId="106" applyNumberFormat="1" applyFont="1" applyFill="1" applyBorder="1" applyAlignment="1">
      <alignment horizontal="left" vertical="center" indent="2"/>
      <protection/>
    </xf>
    <xf numFmtId="2" fontId="29" fillId="0" borderId="90" xfId="106" applyNumberFormat="1" applyFont="1" applyFill="1" applyBorder="1" applyAlignment="1">
      <alignment horizontal="right" vertical="center"/>
      <protection/>
    </xf>
    <xf numFmtId="2" fontId="29" fillId="0" borderId="96" xfId="106" applyNumberFormat="1" applyFont="1" applyFill="1" applyBorder="1" applyAlignment="1">
      <alignment horizontal="right" vertical="center"/>
      <protection/>
    </xf>
    <xf numFmtId="3" fontId="29" fillId="0" borderId="57" xfId="106" applyNumberFormat="1" applyFont="1" applyFill="1" applyBorder="1" applyAlignment="1">
      <alignment horizontal="center" vertical="center"/>
      <protection/>
    </xf>
    <xf numFmtId="3" fontId="30" fillId="0" borderId="56" xfId="106" applyNumberFormat="1" applyFont="1" applyFill="1" applyBorder="1" applyAlignment="1">
      <alignment horizontal="left" vertical="center" indent="2"/>
      <protection/>
    </xf>
    <xf numFmtId="3" fontId="29" fillId="0" borderId="56" xfId="106" applyNumberFormat="1" applyFont="1" applyFill="1" applyBorder="1" applyAlignment="1">
      <alignment vertical="center"/>
      <protection/>
    </xf>
    <xf numFmtId="3" fontId="24" fillId="0" borderId="56" xfId="106" applyNumberFormat="1" applyFont="1" applyFill="1" applyBorder="1" applyAlignment="1" quotePrefix="1">
      <alignment horizontal="center" vertical="center"/>
      <protection/>
    </xf>
    <xf numFmtId="3" fontId="24" fillId="0" borderId="56" xfId="106" applyNumberFormat="1" applyFont="1" applyFill="1" applyBorder="1" applyAlignment="1">
      <alignment horizontal="left" vertical="center" indent="2"/>
      <protection/>
    </xf>
    <xf numFmtId="3" fontId="24" fillId="0" borderId="56" xfId="106" applyNumberFormat="1" applyFont="1" applyFill="1" applyBorder="1" applyAlignment="1">
      <alignment vertical="center"/>
      <protection/>
    </xf>
    <xf numFmtId="3" fontId="22" fillId="0" borderId="56" xfId="106" applyNumberFormat="1" applyFont="1" applyFill="1" applyBorder="1" applyAlignment="1">
      <alignment vertical="center"/>
      <protection/>
    </xf>
    <xf numFmtId="1" fontId="24" fillId="0" borderId="56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>
      <alignment horizontal="left" vertical="center" indent="1"/>
      <protection/>
    </xf>
    <xf numFmtId="3" fontId="18" fillId="0" borderId="43" xfId="0" applyNumberFormat="1" applyFont="1" applyFill="1" applyBorder="1" applyAlignment="1">
      <alignment horizontal="right" vertical="center" shrinkToFit="1"/>
    </xf>
    <xf numFmtId="2" fontId="18" fillId="0" borderId="50" xfId="106" applyNumberFormat="1" applyFont="1" applyFill="1" applyBorder="1" applyAlignment="1">
      <alignment vertical="center"/>
      <protection/>
    </xf>
    <xf numFmtId="2" fontId="18" fillId="0" borderId="91" xfId="106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7" fillId="0" borderId="98" xfId="0" applyFont="1" applyBorder="1" applyAlignment="1">
      <alignment/>
    </xf>
    <xf numFmtId="0" fontId="17" fillId="0" borderId="99" xfId="0" applyFont="1" applyBorder="1" applyAlignment="1">
      <alignment/>
    </xf>
    <xf numFmtId="0" fontId="17" fillId="0" borderId="100" xfId="0" applyFont="1" applyBorder="1" applyAlignment="1">
      <alignment/>
    </xf>
    <xf numFmtId="0" fontId="24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0" fontId="24" fillId="0" borderId="46" xfId="0" applyFont="1" applyBorder="1" applyAlignment="1">
      <alignment horizontal="center" vertical="center" wrapText="1"/>
    </xf>
    <xf numFmtId="3" fontId="24" fillId="0" borderId="44" xfId="106" applyNumberFormat="1" applyFont="1" applyFill="1" applyBorder="1" applyAlignment="1">
      <alignment horizontal="center" vertical="center"/>
      <protection/>
    </xf>
    <xf numFmtId="0" fontId="17" fillId="0" borderId="80" xfId="0" applyFont="1" applyBorder="1" applyAlignment="1">
      <alignment vertical="center" wrapText="1"/>
    </xf>
    <xf numFmtId="0" fontId="17" fillId="0" borderId="101" xfId="0" applyFont="1" applyBorder="1" applyAlignment="1">
      <alignment horizontal="center" vertical="center" wrapText="1"/>
    </xf>
    <xf numFmtId="3" fontId="18" fillId="0" borderId="101" xfId="0" applyNumberFormat="1" applyFont="1" applyBorder="1" applyAlignment="1">
      <alignment vertical="center" wrapText="1"/>
    </xf>
    <xf numFmtId="3" fontId="18" fillId="0" borderId="88" xfId="0" applyNumberFormat="1" applyFont="1" applyBorder="1" applyAlignment="1">
      <alignment vertical="center" wrapText="1"/>
    </xf>
    <xf numFmtId="0" fontId="17" fillId="0" borderId="86" xfId="0" applyFont="1" applyBorder="1" applyAlignment="1">
      <alignment vertical="center" wrapText="1"/>
    </xf>
    <xf numFmtId="3" fontId="17" fillId="0" borderId="21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justify" vertical="center"/>
    </xf>
    <xf numFmtId="3" fontId="18" fillId="0" borderId="43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 quotePrefix="1">
      <alignment horizontal="left" vertical="center" indent="1"/>
    </xf>
    <xf numFmtId="3" fontId="12" fillId="0" borderId="0" xfId="0" applyNumberFormat="1" applyFont="1" applyFill="1" applyBorder="1" applyAlignment="1">
      <alignment horizontal="left" vertical="center"/>
    </xf>
    <xf numFmtId="3" fontId="17" fillId="0" borderId="99" xfId="0" applyNumberFormat="1" applyFont="1" applyFill="1" applyBorder="1" applyAlignment="1">
      <alignment vertical="center" wrapText="1"/>
    </xf>
    <xf numFmtId="3" fontId="17" fillId="0" borderId="102" xfId="106" applyNumberFormat="1" applyFont="1" applyFill="1" applyBorder="1" applyAlignment="1" quotePrefix="1">
      <alignment horizontal="center" vertical="center"/>
      <protection/>
    </xf>
    <xf numFmtId="3" fontId="18" fillId="0" borderId="103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center" vertical="center"/>
      <protection/>
    </xf>
    <xf numFmtId="3" fontId="18" fillId="0" borderId="42" xfId="0" applyNumberFormat="1" applyFont="1" applyFill="1" applyBorder="1" applyAlignment="1">
      <alignment horizontal="right" vertical="center"/>
    </xf>
    <xf numFmtId="3" fontId="18" fillId="0" borderId="10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1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horizontal="center" vertical="center" shrinkToFit="1"/>
    </xf>
    <xf numFmtId="49" fontId="15" fillId="0" borderId="46" xfId="0" applyNumberFormat="1" applyFont="1" applyFill="1" applyBorder="1" applyAlignment="1">
      <alignment horizontal="left" vertical="center" indent="1" shrinkToFit="1"/>
    </xf>
    <xf numFmtId="1" fontId="15" fillId="0" borderId="0" xfId="0" applyNumberFormat="1" applyFont="1" applyFill="1" applyBorder="1" applyAlignment="1" quotePrefix="1">
      <alignment horizontal="center" vertical="center" shrinkToFit="1"/>
    </xf>
    <xf numFmtId="3" fontId="24" fillId="0" borderId="34" xfId="0" applyNumberFormat="1" applyFont="1" applyFill="1" applyBorder="1" applyAlignment="1">
      <alignment horizontal="right" vertical="center"/>
    </xf>
    <xf numFmtId="3" fontId="18" fillId="0" borderId="105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shrinkToFit="1"/>
    </xf>
    <xf numFmtId="3" fontId="18" fillId="0" borderId="21" xfId="0" applyNumberFormat="1" applyFont="1" applyFill="1" applyBorder="1" applyAlignment="1">
      <alignment horizontal="right" shrinkToFit="1"/>
    </xf>
    <xf numFmtId="3" fontId="18" fillId="0" borderId="43" xfId="0" applyNumberFormat="1" applyFont="1" applyFill="1" applyBorder="1" applyAlignment="1">
      <alignment horizontal="right" shrinkToFit="1"/>
    </xf>
    <xf numFmtId="3" fontId="18" fillId="0" borderId="40" xfId="0" applyNumberFormat="1" applyFont="1" applyFill="1" applyBorder="1" applyAlignment="1">
      <alignment horizontal="right" vertical="center"/>
    </xf>
    <xf numFmtId="2" fontId="18" fillId="0" borderId="91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 quotePrefix="1">
      <alignment horizontal="center" vertical="center"/>
      <protection/>
    </xf>
    <xf numFmtId="2" fontId="18" fillId="0" borderId="106" xfId="106" applyNumberFormat="1" applyFont="1" applyFill="1" applyBorder="1" applyAlignment="1">
      <alignment horizontal="right" vertical="center"/>
      <protection/>
    </xf>
    <xf numFmtId="3" fontId="18" fillId="0" borderId="51" xfId="106" applyNumberFormat="1" applyFont="1" applyFill="1" applyBorder="1" applyAlignment="1" quotePrefix="1">
      <alignment horizontal="center" vertical="center"/>
      <protection/>
    </xf>
    <xf numFmtId="2" fontId="18" fillId="0" borderId="107" xfId="106" applyNumberFormat="1" applyFont="1" applyFill="1" applyBorder="1" applyAlignment="1">
      <alignment horizontal="right" vertical="center"/>
      <protection/>
    </xf>
    <xf numFmtId="3" fontId="18" fillId="0" borderId="108" xfId="106" applyNumberFormat="1" applyFont="1" applyFill="1" applyBorder="1" applyAlignment="1">
      <alignment horizontal="center" vertical="center"/>
      <protection/>
    </xf>
    <xf numFmtId="3" fontId="18" fillId="0" borderId="73" xfId="106" applyNumberFormat="1" applyFont="1" applyFill="1" applyBorder="1" applyAlignment="1">
      <alignment horizontal="center" vertical="center"/>
      <protection/>
    </xf>
    <xf numFmtId="3" fontId="18" fillId="0" borderId="52" xfId="106" applyNumberFormat="1" applyFont="1" applyFill="1" applyBorder="1" applyAlignment="1" quotePrefix="1">
      <alignment horizontal="center" vertical="center"/>
      <protection/>
    </xf>
    <xf numFmtId="2" fontId="18" fillId="0" borderId="109" xfId="106" applyNumberFormat="1" applyFont="1" applyFill="1" applyBorder="1" applyAlignment="1">
      <alignment horizontal="right" vertical="center"/>
      <protection/>
    </xf>
    <xf numFmtId="3" fontId="18" fillId="0" borderId="39" xfId="106" applyNumberFormat="1" applyFont="1" applyFill="1" applyBorder="1" applyAlignment="1">
      <alignment horizontal="center" vertical="center"/>
      <protection/>
    </xf>
    <xf numFmtId="3" fontId="18" fillId="0" borderId="47" xfId="106" applyNumberFormat="1" applyFont="1" applyFill="1" applyBorder="1" applyAlignment="1">
      <alignment horizontal="center" vertical="center"/>
      <protection/>
    </xf>
    <xf numFmtId="3" fontId="17" fillId="0" borderId="20" xfId="0" applyNumberFormat="1" applyFont="1" applyFill="1" applyBorder="1" applyAlignment="1">
      <alignment horizontal="justify" vertical="center" shrinkToFit="1"/>
    </xf>
    <xf numFmtId="2" fontId="18" fillId="0" borderId="50" xfId="106" applyNumberFormat="1" applyFont="1" applyFill="1" applyBorder="1" applyAlignment="1">
      <alignment horizontal="right" vertical="center"/>
      <protection/>
    </xf>
    <xf numFmtId="2" fontId="18" fillId="0" borderId="96" xfId="106" applyNumberFormat="1" applyFont="1" applyFill="1" applyBorder="1" applyAlignment="1">
      <alignment horizontal="right" vertical="center"/>
      <protection/>
    </xf>
    <xf numFmtId="2" fontId="29" fillId="0" borderId="50" xfId="106" applyNumberFormat="1" applyFont="1" applyFill="1" applyBorder="1" applyAlignment="1">
      <alignment horizontal="right" vertical="center"/>
      <protection/>
    </xf>
    <xf numFmtId="2" fontId="18" fillId="0" borderId="110" xfId="106" applyNumberFormat="1" applyFont="1" applyFill="1" applyBorder="1" applyAlignment="1">
      <alignment horizontal="right" vertical="center"/>
      <protection/>
    </xf>
    <xf numFmtId="2" fontId="18" fillId="0" borderId="107" xfId="106" applyNumberFormat="1" applyFont="1" applyFill="1" applyBorder="1" applyAlignment="1">
      <alignment vertical="center"/>
      <protection/>
    </xf>
    <xf numFmtId="2" fontId="18" fillId="0" borderId="0" xfId="106" applyNumberFormat="1" applyFont="1" applyFill="1" applyBorder="1" applyAlignment="1">
      <alignment horizontal="right" vertical="center"/>
      <protection/>
    </xf>
    <xf numFmtId="2" fontId="18" fillId="0" borderId="41" xfId="106" applyNumberFormat="1" applyFont="1" applyFill="1" applyBorder="1" applyAlignment="1">
      <alignment horizontal="right" vertical="center"/>
      <protection/>
    </xf>
    <xf numFmtId="2" fontId="16" fillId="0" borderId="95" xfId="106" applyNumberFormat="1" applyFont="1" applyFill="1" applyBorder="1" applyAlignment="1">
      <alignment horizontal="center" vertical="center"/>
      <protection/>
    </xf>
    <xf numFmtId="2" fontId="16" fillId="0" borderId="50" xfId="106" applyNumberFormat="1" applyFont="1" applyFill="1" applyBorder="1" applyAlignment="1">
      <alignment horizontal="center" vertical="center"/>
      <protection/>
    </xf>
    <xf numFmtId="2" fontId="16" fillId="0" borderId="107" xfId="106" applyNumberFormat="1" applyFont="1" applyFill="1" applyBorder="1" applyAlignment="1">
      <alignment horizontal="right" vertical="center"/>
      <protection/>
    </xf>
    <xf numFmtId="2" fontId="18" fillId="0" borderId="60" xfId="106" applyNumberFormat="1" applyFont="1" applyFill="1" applyBorder="1" applyAlignment="1">
      <alignment horizontal="right" vertical="center"/>
      <protection/>
    </xf>
    <xf numFmtId="2" fontId="18" fillId="0" borderId="111" xfId="106" applyNumberFormat="1" applyFont="1" applyFill="1" applyBorder="1" applyAlignment="1">
      <alignment horizontal="right" vertical="center"/>
      <protection/>
    </xf>
    <xf numFmtId="2" fontId="17" fillId="0" borderId="91" xfId="106" applyNumberFormat="1" applyFont="1" applyFill="1" applyBorder="1" applyAlignment="1">
      <alignment horizontal="right" vertical="center"/>
      <protection/>
    </xf>
    <xf numFmtId="2" fontId="33" fillId="0" borderId="91" xfId="106" applyNumberFormat="1" applyFont="1" applyFill="1" applyBorder="1" applyAlignment="1">
      <alignment horizontal="right" vertical="center"/>
      <protection/>
    </xf>
    <xf numFmtId="2" fontId="29" fillId="0" borderId="91" xfId="106" applyNumberFormat="1" applyFont="1" applyFill="1" applyBorder="1" applyAlignment="1">
      <alignment horizontal="right" vertical="center"/>
      <protection/>
    </xf>
    <xf numFmtId="2" fontId="18" fillId="0" borderId="112" xfId="106" applyNumberFormat="1" applyFont="1" applyFill="1" applyBorder="1" applyAlignment="1">
      <alignment horizontal="right" vertical="center"/>
      <protection/>
    </xf>
    <xf numFmtId="2" fontId="18" fillId="0" borderId="48" xfId="106" applyNumberFormat="1" applyFont="1" applyFill="1" applyBorder="1" applyAlignment="1">
      <alignment horizontal="right" vertical="center"/>
      <protection/>
    </xf>
    <xf numFmtId="2" fontId="18" fillId="0" borderId="88" xfId="106" applyNumberFormat="1" applyFont="1" applyFill="1" applyBorder="1" applyAlignment="1">
      <alignment horizontal="right" vertical="center"/>
      <protection/>
    </xf>
    <xf numFmtId="2" fontId="29" fillId="0" borderId="96" xfId="106" applyNumberFormat="1" applyFont="1" applyFill="1" applyBorder="1" applyAlignment="1">
      <alignment vertical="center"/>
      <protection/>
    </xf>
    <xf numFmtId="2" fontId="18" fillId="0" borderId="96" xfId="106" applyNumberFormat="1" applyFont="1" applyFill="1" applyBorder="1" applyAlignment="1">
      <alignment vertical="center"/>
      <protection/>
    </xf>
    <xf numFmtId="2" fontId="18" fillId="0" borderId="0" xfId="106" applyNumberFormat="1" applyFont="1" applyFill="1" applyAlignment="1">
      <alignment horizontal="right" vertical="center"/>
      <protection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111" xfId="0" applyNumberFormat="1" applyFont="1" applyFill="1" applyBorder="1" applyAlignment="1">
      <alignment horizontal="right" vertical="center"/>
    </xf>
    <xf numFmtId="3" fontId="18" fillId="0" borderId="113" xfId="0" applyNumberFormat="1" applyFont="1" applyFill="1" applyBorder="1" applyAlignment="1">
      <alignment horizontal="right" vertical="center"/>
    </xf>
    <xf numFmtId="3" fontId="18" fillId="0" borderId="114" xfId="0" applyNumberFormat="1" applyFont="1" applyFill="1" applyBorder="1" applyAlignment="1">
      <alignment horizontal="right" shrinkToFit="1"/>
    </xf>
    <xf numFmtId="3" fontId="18" fillId="0" borderId="114" xfId="0" applyNumberFormat="1" applyFont="1" applyFill="1" applyBorder="1" applyAlignment="1">
      <alignment horizontal="right" vertical="center" shrinkToFit="1"/>
    </xf>
    <xf numFmtId="3" fontId="18" fillId="0" borderId="115" xfId="0" applyNumberFormat="1" applyFont="1" applyFill="1" applyBorder="1" applyAlignment="1">
      <alignment horizontal="right" shrinkToFit="1"/>
    </xf>
    <xf numFmtId="3" fontId="18" fillId="0" borderId="116" xfId="0" applyNumberFormat="1" applyFont="1" applyFill="1" applyBorder="1" applyAlignment="1">
      <alignment horizontal="right" shrinkToFit="1"/>
    </xf>
    <xf numFmtId="3" fontId="18" fillId="0" borderId="111" xfId="0" applyNumberFormat="1" applyFont="1" applyFill="1" applyBorder="1" applyAlignment="1">
      <alignment horizontal="right" shrinkToFit="1"/>
    </xf>
    <xf numFmtId="3" fontId="18" fillId="0" borderId="50" xfId="0" applyNumberFormat="1" applyFont="1" applyFill="1" applyBorder="1" applyAlignment="1">
      <alignment horizontal="right" shrinkToFit="1"/>
    </xf>
    <xf numFmtId="3" fontId="18" fillId="0" borderId="52" xfId="0" applyNumberFormat="1" applyFont="1" applyFill="1" applyBorder="1" applyAlignment="1">
      <alignment horizontal="right" shrinkToFit="1"/>
    </xf>
    <xf numFmtId="3" fontId="18" fillId="0" borderId="59" xfId="0" applyNumberFormat="1" applyFont="1" applyFill="1" applyBorder="1" applyAlignment="1">
      <alignment horizontal="right" vertical="center" shrinkToFit="1"/>
    </xf>
    <xf numFmtId="3" fontId="18" fillId="0" borderId="117" xfId="0" applyNumberFormat="1" applyFont="1" applyFill="1" applyBorder="1" applyAlignment="1">
      <alignment horizontal="right" vertical="center" shrinkToFit="1"/>
    </xf>
    <xf numFmtId="3" fontId="24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shrinkToFit="1"/>
    </xf>
    <xf numFmtId="3" fontId="18" fillId="0" borderId="118" xfId="0" applyNumberFormat="1" applyFont="1" applyFill="1" applyBorder="1" applyAlignment="1">
      <alignment horizontal="right" vertical="center"/>
    </xf>
    <xf numFmtId="3" fontId="18" fillId="0" borderId="119" xfId="0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 shrinkToFit="1"/>
    </xf>
    <xf numFmtId="3" fontId="18" fillId="0" borderId="115" xfId="0" applyNumberFormat="1" applyFont="1" applyFill="1" applyBorder="1" applyAlignment="1">
      <alignment horizontal="right" vertical="center" shrinkToFit="1"/>
    </xf>
    <xf numFmtId="3" fontId="18" fillId="0" borderId="45" xfId="0" applyNumberFormat="1" applyFont="1" applyFill="1" applyBorder="1" applyAlignment="1">
      <alignment horizontal="right" vertical="center" shrinkToFit="1"/>
    </xf>
    <xf numFmtId="3" fontId="18" fillId="0" borderId="116" xfId="0" applyNumberFormat="1" applyFont="1" applyFill="1" applyBorder="1" applyAlignment="1">
      <alignment horizontal="right" vertical="center" shrinkToFi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120" xfId="106" applyNumberFormat="1" applyFont="1" applyFill="1" applyBorder="1" applyAlignment="1">
      <alignment horizontal="center" vertical="center"/>
      <protection/>
    </xf>
    <xf numFmtId="3" fontId="16" fillId="0" borderId="92" xfId="106" applyNumberFormat="1" applyFont="1" applyFill="1" applyBorder="1" applyAlignment="1">
      <alignment horizontal="center" vertical="center"/>
      <protection/>
    </xf>
    <xf numFmtId="3" fontId="16" fillId="0" borderId="121" xfId="106" applyNumberFormat="1" applyFont="1" applyFill="1" applyBorder="1" applyAlignment="1">
      <alignment horizontal="center" vertical="center"/>
      <protection/>
    </xf>
    <xf numFmtId="3" fontId="17" fillId="0" borderId="0" xfId="106" applyNumberFormat="1" applyFont="1" applyFill="1" applyBorder="1" applyAlignment="1">
      <alignment horizontal="right" vertical="center"/>
      <protection/>
    </xf>
    <xf numFmtId="3" fontId="24" fillId="0" borderId="0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 quotePrefix="1">
      <alignment horizontal="left" vertical="top" indent="1"/>
      <protection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49" fillId="0" borderId="0" xfId="0" applyNumberFormat="1" applyFont="1" applyFill="1" applyBorder="1" applyAlignment="1">
      <alignment horizontal="left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1" fillId="0" borderId="67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7" fillId="0" borderId="122" xfId="0" applyNumberFormat="1" applyFont="1" applyFill="1" applyBorder="1" applyAlignment="1">
      <alignment vertical="center"/>
    </xf>
    <xf numFmtId="3" fontId="149" fillId="0" borderId="122" xfId="0" applyNumberFormat="1" applyFont="1" applyFill="1" applyBorder="1" applyAlignment="1">
      <alignment horizontal="left" vertical="center"/>
    </xf>
    <xf numFmtId="3" fontId="149" fillId="0" borderId="35" xfId="0" applyNumberFormat="1" applyFont="1" applyFill="1" applyBorder="1" applyAlignment="1">
      <alignment horizontal="left" vertical="center"/>
    </xf>
    <xf numFmtId="3" fontId="11" fillId="0" borderId="123" xfId="0" applyNumberFormat="1" applyFont="1" applyFill="1" applyBorder="1" applyAlignment="1">
      <alignment horizontal="center" vertical="center"/>
    </xf>
    <xf numFmtId="3" fontId="11" fillId="0" borderId="124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right" vertical="center"/>
    </xf>
    <xf numFmtId="3" fontId="22" fillId="0" borderId="125" xfId="0" applyNumberFormat="1" applyFont="1" applyFill="1" applyBorder="1" applyAlignment="1">
      <alignment horizontal="center" vertical="center"/>
    </xf>
    <xf numFmtId="3" fontId="22" fillId="0" borderId="126" xfId="0" applyNumberFormat="1" applyFont="1" applyFill="1" applyBorder="1" applyAlignment="1">
      <alignment horizontal="center" vertical="center"/>
    </xf>
    <xf numFmtId="3" fontId="11" fillId="0" borderId="126" xfId="0" applyNumberFormat="1" applyFont="1" applyFill="1" applyBorder="1" applyAlignment="1">
      <alignment horizontal="center" vertical="center"/>
    </xf>
    <xf numFmtId="3" fontId="18" fillId="0" borderId="115" xfId="0" applyNumberFormat="1" applyFont="1" applyFill="1" applyBorder="1" applyAlignment="1">
      <alignment horizontal="right" vertical="center"/>
    </xf>
    <xf numFmtId="3" fontId="18" fillId="0" borderId="127" xfId="0" applyNumberFormat="1" applyFont="1" applyFill="1" applyBorder="1" applyAlignment="1">
      <alignment horizontal="right" vertical="center"/>
    </xf>
    <xf numFmtId="3" fontId="18" fillId="0" borderId="116" xfId="0" applyNumberFormat="1" applyFon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50" fillId="0" borderId="0" xfId="0" applyNumberFormat="1" applyFont="1" applyFill="1" applyBorder="1" applyAlignment="1">
      <alignment horizontal="right" vertical="center"/>
    </xf>
    <xf numFmtId="3" fontId="150" fillId="0" borderId="42" xfId="0" applyNumberFormat="1" applyFont="1" applyFill="1" applyBorder="1" applyAlignment="1">
      <alignment horizontal="right" vertical="center"/>
    </xf>
    <xf numFmtId="3" fontId="18" fillId="0" borderId="122" xfId="0" applyNumberFormat="1" applyFont="1" applyFill="1" applyBorder="1" applyAlignment="1">
      <alignment horizontal="left" vertical="center"/>
    </xf>
    <xf numFmtId="3" fontId="18" fillId="47" borderId="0" xfId="0" applyNumberFormat="1" applyFont="1" applyFill="1" applyBorder="1" applyAlignment="1">
      <alignment horizontal="left" vertical="center"/>
    </xf>
    <xf numFmtId="3" fontId="18" fillId="0" borderId="42" xfId="0" applyNumberFormat="1" applyFont="1" applyFill="1" applyBorder="1" applyAlignment="1">
      <alignment horizontal="left" vertical="center"/>
    </xf>
    <xf numFmtId="3" fontId="18" fillId="47" borderId="44" xfId="0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 quotePrefix="1">
      <alignment horizontal="left" vertical="center" indent="1"/>
    </xf>
    <xf numFmtId="3" fontId="24" fillId="47" borderId="128" xfId="0" applyNumberFormat="1" applyFont="1" applyFill="1" applyBorder="1" applyAlignment="1">
      <alignment horizontal="right" vertical="center"/>
    </xf>
    <xf numFmtId="3" fontId="24" fillId="0" borderId="49" xfId="0" applyNumberFormat="1" applyFont="1" applyFill="1" applyBorder="1" applyAlignment="1">
      <alignment horizontal="right" vertical="center"/>
    </xf>
    <xf numFmtId="3" fontId="24" fillId="47" borderId="44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7" fillId="47" borderId="129" xfId="0" applyNumberFormat="1" applyFont="1" applyFill="1" applyBorder="1" applyAlignment="1">
      <alignment horizontal="right" vertical="center"/>
    </xf>
    <xf numFmtId="3" fontId="17" fillId="0" borderId="130" xfId="0" applyNumberFormat="1" applyFont="1" applyFill="1" applyBorder="1" applyAlignment="1">
      <alignment horizontal="right" vertical="center"/>
    </xf>
    <xf numFmtId="3" fontId="24" fillId="47" borderId="92" xfId="0" applyNumberFormat="1" applyFont="1" applyFill="1" applyBorder="1" applyAlignment="1">
      <alignment horizontal="right" vertical="center"/>
    </xf>
    <xf numFmtId="49" fontId="11" fillId="0" borderId="46" xfId="0" applyNumberFormat="1" applyFont="1" applyFill="1" applyBorder="1" applyAlignment="1">
      <alignment horizontal="center" vertical="center"/>
    </xf>
    <xf numFmtId="3" fontId="17" fillId="47" borderId="44" xfId="0" applyNumberFormat="1" applyFont="1" applyFill="1" applyBorder="1" applyAlignment="1">
      <alignment horizontal="right" vertical="center"/>
    </xf>
    <xf numFmtId="3" fontId="17" fillId="0" borderId="38" xfId="0" applyNumberFormat="1" applyFont="1" applyFill="1" applyBorder="1" applyAlignment="1">
      <alignment horizontal="right" vertical="center"/>
    </xf>
    <xf numFmtId="3" fontId="17" fillId="47" borderId="128" xfId="0" applyNumberFormat="1" applyFont="1" applyFill="1" applyBorder="1" applyAlignment="1">
      <alignment horizontal="right" vertical="center"/>
    </xf>
    <xf numFmtId="3" fontId="17" fillId="0" borderId="21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/>
    </xf>
    <xf numFmtId="3" fontId="17" fillId="0" borderId="49" xfId="0" applyNumberFormat="1" applyFont="1" applyFill="1" applyBorder="1" applyAlignment="1">
      <alignment horizontal="right" vertical="center"/>
    </xf>
    <xf numFmtId="3" fontId="17" fillId="0" borderId="50" xfId="0" applyNumberFormat="1" applyFont="1" applyFill="1" applyBorder="1" applyAlignment="1">
      <alignment horizontal="right" vertical="center"/>
    </xf>
    <xf numFmtId="3" fontId="18" fillId="0" borderId="131" xfId="0" applyNumberFormat="1" applyFont="1" applyFill="1" applyBorder="1" applyAlignment="1">
      <alignment horizontal="right" vertical="center"/>
    </xf>
    <xf numFmtId="3" fontId="18" fillId="0" borderId="123" xfId="0" applyNumberFormat="1" applyFont="1" applyFill="1" applyBorder="1" applyAlignment="1">
      <alignment horizontal="center" vertical="center"/>
    </xf>
    <xf numFmtId="3" fontId="17" fillId="0" borderId="132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50" fillId="47" borderId="20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50" fillId="47" borderId="19" xfId="0" applyNumberFormat="1" applyFont="1" applyFill="1" applyBorder="1" applyAlignment="1">
      <alignment horizontal="right" vertical="center"/>
    </xf>
    <xf numFmtId="3" fontId="17" fillId="0" borderId="129" xfId="0" applyNumberFormat="1" applyFont="1" applyFill="1" applyBorder="1" applyAlignment="1">
      <alignment horizontal="right" vertical="center"/>
    </xf>
    <xf numFmtId="3" fontId="18" fillId="0" borderId="130" xfId="0" applyNumberFormat="1" applyFont="1" applyFill="1" applyBorder="1" applyAlignment="1">
      <alignment horizontal="right" vertical="center"/>
    </xf>
    <xf numFmtId="3" fontId="12" fillId="0" borderId="125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left" vertical="top" readingOrder="1"/>
    </xf>
    <xf numFmtId="3" fontId="12" fillId="0" borderId="29" xfId="0" applyNumberFormat="1" applyFont="1" applyFill="1" applyBorder="1" applyAlignment="1">
      <alignment horizontal="left" vertical="center"/>
    </xf>
    <xf numFmtId="3" fontId="18" fillId="0" borderId="92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vertical="center"/>
    </xf>
    <xf numFmtId="3" fontId="24" fillId="0" borderId="129" xfId="0" applyNumberFormat="1" applyFont="1" applyFill="1" applyBorder="1" applyAlignment="1">
      <alignment horizontal="right" vertical="center"/>
    </xf>
    <xf numFmtId="3" fontId="24" fillId="0" borderId="130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8" fillId="47" borderId="128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7" fillId="47" borderId="92" xfId="0" applyNumberFormat="1" applyFont="1" applyFill="1" applyBorder="1" applyAlignment="1">
      <alignment horizontal="right" vertical="center"/>
    </xf>
    <xf numFmtId="3" fontId="17" fillId="47" borderId="20" xfId="0" applyNumberFormat="1" applyFont="1" applyFill="1" applyBorder="1" applyAlignment="1">
      <alignment horizontal="right" vertical="center"/>
    </xf>
    <xf numFmtId="3" fontId="18" fillId="47" borderId="104" xfId="0" applyNumberFormat="1" applyFont="1" applyFill="1" applyBorder="1" applyAlignment="1">
      <alignment horizontal="right" vertical="center"/>
    </xf>
    <xf numFmtId="3" fontId="18" fillId="47" borderId="20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/>
    </xf>
    <xf numFmtId="3" fontId="29" fillId="0" borderId="9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29" fillId="0" borderId="20" xfId="0" applyNumberFormat="1" applyFont="1" applyFill="1" applyBorder="1" applyAlignment="1">
      <alignment horizontal="right" vertical="center"/>
    </xf>
    <xf numFmtId="3" fontId="29" fillId="0" borderId="44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24" fillId="0" borderId="92" xfId="0" applyNumberFormat="1" applyFont="1" applyFill="1" applyBorder="1" applyAlignment="1">
      <alignment horizontal="right" vertical="center"/>
    </xf>
    <xf numFmtId="3" fontId="18" fillId="0" borderId="80" xfId="0" applyNumberFormat="1" applyFont="1" applyFill="1" applyBorder="1" applyAlignment="1">
      <alignment horizontal="right" vertical="center"/>
    </xf>
    <xf numFmtId="3" fontId="18" fillId="0" borderId="88" xfId="0" applyNumberFormat="1" applyFont="1" applyFill="1" applyBorder="1" applyAlignment="1">
      <alignment horizontal="right" vertical="center"/>
    </xf>
    <xf numFmtId="3" fontId="18" fillId="0" borderId="95" xfId="0" applyNumberFormat="1" applyFont="1" applyFill="1" applyBorder="1" applyAlignment="1">
      <alignment horizontal="right" vertical="center"/>
    </xf>
    <xf numFmtId="3" fontId="18" fillId="0" borderId="92" xfId="0" applyNumberFormat="1" applyFont="1" applyFill="1" applyBorder="1" applyAlignment="1">
      <alignment vertical="center"/>
    </xf>
    <xf numFmtId="3" fontId="150" fillId="0" borderId="21" xfId="0" applyNumberFormat="1" applyFont="1" applyFill="1" applyBorder="1" applyAlignment="1">
      <alignment horizontal="left" vertical="center"/>
    </xf>
    <xf numFmtId="3" fontId="150" fillId="0" borderId="92" xfId="0" applyNumberFormat="1" applyFont="1" applyFill="1" applyBorder="1" applyAlignment="1">
      <alignment horizontal="left" vertical="center"/>
    </xf>
    <xf numFmtId="3" fontId="150" fillId="0" borderId="50" xfId="0" applyNumberFormat="1" applyFont="1" applyFill="1" applyBorder="1" applyAlignment="1">
      <alignment horizontal="left" vertical="center"/>
    </xf>
    <xf numFmtId="3" fontId="18" fillId="0" borderId="73" xfId="0" applyNumberFormat="1" applyFont="1" applyFill="1" applyBorder="1" applyAlignment="1">
      <alignment horizontal="right" vertical="center"/>
    </xf>
    <xf numFmtId="3" fontId="18" fillId="47" borderId="133" xfId="0" applyNumberFormat="1" applyFont="1" applyFill="1" applyBorder="1" applyAlignment="1">
      <alignment horizontal="right" vertical="center"/>
    </xf>
    <xf numFmtId="3" fontId="18" fillId="0" borderId="109" xfId="0" applyNumberFormat="1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3" fontId="17" fillId="47" borderId="21" xfId="0" applyNumberFormat="1" applyFont="1" applyFill="1" applyBorder="1" applyAlignment="1">
      <alignment horizontal="right" vertical="center"/>
    </xf>
    <xf numFmtId="3" fontId="17" fillId="0" borderId="92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149" fillId="0" borderId="0" xfId="0" applyNumberFormat="1" applyFont="1" applyFill="1" applyAlignment="1">
      <alignment horizontal="left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justify" vertical="center"/>
    </xf>
    <xf numFmtId="0" fontId="36" fillId="0" borderId="0" xfId="0" applyFont="1" applyFill="1" applyAlignment="1">
      <alignment horizontal="center" shrinkToFit="1"/>
    </xf>
    <xf numFmtId="0" fontId="36" fillId="0" borderId="0" xfId="0" applyFont="1" applyFill="1" applyAlignment="1">
      <alignment horizontal="justify" shrinkToFit="1"/>
    </xf>
    <xf numFmtId="3" fontId="17" fillId="0" borderId="33" xfId="0" applyNumberFormat="1" applyFont="1" applyFill="1" applyBorder="1" applyAlignment="1">
      <alignment horizontal="right" vertical="center" shrinkToFit="1"/>
    </xf>
    <xf numFmtId="3" fontId="18" fillId="0" borderId="134" xfId="0" applyNumberFormat="1" applyFont="1" applyFill="1" applyBorder="1" applyAlignment="1">
      <alignment horizontal="right" vertical="center" shrinkToFit="1"/>
    </xf>
    <xf numFmtId="3" fontId="17" fillId="47" borderId="34" xfId="0" applyNumberFormat="1" applyFont="1" applyFill="1" applyBorder="1" applyAlignment="1">
      <alignment horizontal="right" shrinkToFit="1"/>
    </xf>
    <xf numFmtId="3" fontId="17" fillId="47" borderId="20" xfId="0" applyNumberFormat="1" applyFont="1" applyFill="1" applyBorder="1" applyAlignment="1">
      <alignment horizontal="right" shrinkToFit="1"/>
    </xf>
    <xf numFmtId="3" fontId="18" fillId="0" borderId="135" xfId="0" applyNumberFormat="1" applyFont="1" applyFill="1" applyBorder="1" applyAlignment="1">
      <alignment horizontal="right" vertical="center" shrinkToFit="1"/>
    </xf>
    <xf numFmtId="2" fontId="18" fillId="0" borderId="24" xfId="0" applyNumberFormat="1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28" fillId="0" borderId="21" xfId="0" applyFont="1" applyFill="1" applyBorder="1" applyAlignment="1">
      <alignment horizontal="justify" vertical="center" shrinkToFit="1"/>
    </xf>
    <xf numFmtId="0" fontId="28" fillId="47" borderId="21" xfId="0" applyFont="1" applyFill="1" applyBorder="1" applyAlignment="1">
      <alignment horizontal="justify" vertical="center" shrinkToFit="1"/>
    </xf>
    <xf numFmtId="0" fontId="28" fillId="0" borderId="42" xfId="0" applyFont="1" applyFill="1" applyBorder="1" applyAlignment="1">
      <alignment horizontal="center" vertical="center" shrinkToFit="1"/>
    </xf>
    <xf numFmtId="3" fontId="18" fillId="47" borderId="115" xfId="0" applyNumberFormat="1" applyFont="1" applyFill="1" applyBorder="1" applyAlignment="1">
      <alignment horizontal="right" shrinkToFit="1"/>
    </xf>
    <xf numFmtId="3" fontId="18" fillId="0" borderId="135" xfId="0" applyNumberFormat="1" applyFont="1" applyFill="1" applyBorder="1" applyAlignment="1">
      <alignment horizontal="right" shrinkToFit="1"/>
    </xf>
    <xf numFmtId="0" fontId="37" fillId="0" borderId="0" xfId="0" applyFont="1" applyFill="1" applyAlignment="1">
      <alignment horizontal="justify" shrinkToFit="1"/>
    </xf>
    <xf numFmtId="0" fontId="37" fillId="0" borderId="0" xfId="0" applyFont="1" applyFill="1" applyAlignment="1">
      <alignment horizontal="center" shrinkToFit="1"/>
    </xf>
    <xf numFmtId="3" fontId="18" fillId="0" borderId="0" xfId="0" applyNumberFormat="1" applyFont="1" applyFill="1" applyBorder="1" applyAlignment="1">
      <alignment horizontal="left" vertical="center"/>
    </xf>
    <xf numFmtId="3" fontId="24" fillId="47" borderId="12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19" xfId="0" applyNumberFormat="1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horizontal="left" vertical="center"/>
    </xf>
    <xf numFmtId="3" fontId="17" fillId="47" borderId="21" xfId="0" applyNumberFormat="1" applyFont="1" applyFill="1" applyBorder="1" applyAlignment="1">
      <alignment horizontal="right" shrinkToFit="1"/>
    </xf>
    <xf numFmtId="3" fontId="18" fillId="0" borderId="136" xfId="0" applyNumberFormat="1" applyFont="1" applyFill="1" applyBorder="1" applyAlignment="1">
      <alignment horizontal="right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3" fontId="18" fillId="0" borderId="23" xfId="0" applyNumberFormat="1" applyFont="1" applyFill="1" applyBorder="1" applyAlignment="1">
      <alignment horizontal="right" vertical="center" shrinkToFit="1"/>
    </xf>
    <xf numFmtId="3" fontId="150" fillId="47" borderId="34" xfId="0" applyNumberFormat="1" applyFont="1" applyFill="1" applyBorder="1" applyAlignment="1">
      <alignment horizontal="right" vertical="center"/>
    </xf>
    <xf numFmtId="3" fontId="18" fillId="0" borderId="1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left" vertical="center"/>
    </xf>
    <xf numFmtId="3" fontId="18" fillId="0" borderId="125" xfId="0" applyNumberFormat="1" applyFont="1" applyFill="1" applyBorder="1" applyAlignment="1">
      <alignment horizontal="center" vertical="center"/>
    </xf>
    <xf numFmtId="3" fontId="18" fillId="0" borderId="122" xfId="0" applyNumberFormat="1" applyFont="1" applyFill="1" applyBorder="1" applyAlignment="1">
      <alignment horizontal="center" vertical="center"/>
    </xf>
    <xf numFmtId="3" fontId="17" fillId="0" borderId="19" xfId="106" applyNumberFormat="1" applyFont="1" applyFill="1" applyBorder="1" applyAlignment="1" quotePrefix="1">
      <alignment horizontal="center" vertical="center"/>
      <protection/>
    </xf>
    <xf numFmtId="3" fontId="17" fillId="0" borderId="129" xfId="0" applyNumberFormat="1" applyFont="1" applyFill="1" applyBorder="1" applyAlignment="1">
      <alignment vertical="center"/>
    </xf>
    <xf numFmtId="3" fontId="17" fillId="0" borderId="46" xfId="0" applyNumberFormat="1" applyFont="1" applyFill="1" applyBorder="1" applyAlignment="1">
      <alignment horizontal="left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11" fillId="0" borderId="122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left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24" fillId="0" borderId="92" xfId="0" applyNumberFormat="1" applyFont="1" applyFill="1" applyBorder="1" applyAlignment="1">
      <alignment horizontal="left" vertical="center"/>
    </xf>
    <xf numFmtId="3" fontId="18" fillId="47" borderId="118" xfId="0" applyNumberFormat="1" applyFont="1" applyFill="1" applyBorder="1" applyAlignment="1">
      <alignment horizontal="right" vertical="center"/>
    </xf>
    <xf numFmtId="3" fontId="11" fillId="0" borderId="92" xfId="0" applyNumberFormat="1" applyFont="1" applyFill="1" applyBorder="1" applyAlignment="1">
      <alignment horizontal="center" vertical="center"/>
    </xf>
    <xf numFmtId="3" fontId="18" fillId="0" borderId="137" xfId="0" applyNumberFormat="1" applyFont="1" applyFill="1" applyBorder="1" applyAlignment="1">
      <alignment horizontal="right" vertical="center"/>
    </xf>
    <xf numFmtId="3" fontId="18" fillId="0" borderId="138" xfId="0" applyNumberFormat="1" applyFont="1" applyFill="1" applyBorder="1" applyAlignment="1">
      <alignment horizontal="right" vertical="center"/>
    </xf>
    <xf numFmtId="3" fontId="18" fillId="0" borderId="139" xfId="0" applyNumberFormat="1" applyFont="1" applyFill="1" applyBorder="1" applyAlignment="1">
      <alignment horizontal="right" vertical="center" shrinkToFit="1"/>
    </xf>
    <xf numFmtId="3" fontId="18" fillId="0" borderId="65" xfId="0" applyNumberFormat="1" applyFont="1" applyFill="1" applyBorder="1" applyAlignment="1">
      <alignment horizontal="right" vertical="center" shrinkToFit="1"/>
    </xf>
    <xf numFmtId="3" fontId="18" fillId="47" borderId="21" xfId="0" applyNumberFormat="1" applyFont="1" applyFill="1" applyBorder="1" applyAlignment="1">
      <alignment horizontal="right" shrinkToFit="1"/>
    </xf>
    <xf numFmtId="3" fontId="18" fillId="47" borderId="43" xfId="0" applyNumberFormat="1" applyFont="1" applyFill="1" applyBorder="1" applyAlignment="1">
      <alignment horizontal="right" shrinkToFit="1"/>
    </xf>
    <xf numFmtId="3" fontId="17" fillId="0" borderId="40" xfId="0" applyNumberFormat="1" applyFont="1" applyFill="1" applyBorder="1" applyAlignment="1">
      <alignment horizontal="right" shrinkToFit="1"/>
    </xf>
    <xf numFmtId="3" fontId="17" fillId="47" borderId="40" xfId="0" applyNumberFormat="1" applyFont="1" applyFill="1" applyBorder="1" applyAlignment="1">
      <alignment horizontal="right" shrinkToFit="1"/>
    </xf>
    <xf numFmtId="3" fontId="18" fillId="0" borderId="140" xfId="0" applyNumberFormat="1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center" vertical="center"/>
    </xf>
    <xf numFmtId="3" fontId="29" fillId="0" borderId="102" xfId="0" applyNumberFormat="1" applyFont="1" applyFill="1" applyBorder="1" applyAlignment="1">
      <alignment horizontal="right" vertical="center"/>
    </xf>
    <xf numFmtId="3" fontId="18" fillId="0" borderId="65" xfId="0" applyNumberFormat="1" applyFont="1" applyFill="1" applyBorder="1" applyAlignment="1">
      <alignment horizontal="right" vertical="center"/>
    </xf>
    <xf numFmtId="3" fontId="18" fillId="47" borderId="137" xfId="0" applyNumberFormat="1" applyFont="1" applyFill="1" applyBorder="1" applyAlignment="1">
      <alignment horizontal="right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3" fontId="24" fillId="0" borderId="122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Fill="1" applyBorder="1" applyAlignment="1" quotePrefix="1">
      <alignment horizontal="center" vertical="center"/>
    </xf>
    <xf numFmtId="3" fontId="24" fillId="0" borderId="46" xfId="0" applyNumberFormat="1" applyFont="1" applyFill="1" applyBorder="1" applyAlignment="1" quotePrefix="1">
      <alignment horizontal="center" vertical="center"/>
    </xf>
    <xf numFmtId="3" fontId="17" fillId="0" borderId="45" xfId="0" applyNumberFormat="1" applyFont="1" applyFill="1" applyBorder="1" applyAlignment="1">
      <alignment horizontal="right" vertical="center"/>
    </xf>
    <xf numFmtId="3" fontId="17" fillId="0" borderId="65" xfId="0" applyNumberFormat="1" applyFont="1" applyFill="1" applyBorder="1" applyAlignment="1">
      <alignment horizontal="right" vertical="center"/>
    </xf>
    <xf numFmtId="3" fontId="18" fillId="47" borderId="52" xfId="0" applyNumberFormat="1" applyFont="1" applyFill="1" applyBorder="1" applyAlignment="1">
      <alignment horizontal="right" vertical="center"/>
    </xf>
    <xf numFmtId="3" fontId="18" fillId="47" borderId="51" xfId="0" applyNumberFormat="1" applyFont="1" applyFill="1" applyBorder="1" applyAlignment="1">
      <alignment horizontal="right" vertical="center"/>
    </xf>
    <xf numFmtId="3" fontId="18" fillId="0" borderId="141" xfId="0" applyNumberFormat="1" applyFont="1" applyFill="1" applyBorder="1" applyAlignment="1">
      <alignment horizontal="right" vertical="center"/>
    </xf>
    <xf numFmtId="3" fontId="18" fillId="47" borderId="142" xfId="0" applyNumberFormat="1" applyFont="1" applyFill="1" applyBorder="1" applyAlignment="1">
      <alignment horizontal="right" vertical="center"/>
    </xf>
    <xf numFmtId="3" fontId="17" fillId="0" borderId="122" xfId="0" applyNumberFormat="1" applyFont="1" applyFill="1" applyBorder="1" applyAlignment="1">
      <alignment horizontal="right" vertical="center"/>
    </xf>
    <xf numFmtId="3" fontId="17" fillId="0" borderId="143" xfId="0" applyNumberFormat="1" applyFont="1" applyFill="1" applyBorder="1" applyAlignment="1">
      <alignment horizontal="right" vertical="center"/>
    </xf>
    <xf numFmtId="3" fontId="17" fillId="0" borderId="13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49" fontId="18" fillId="0" borderId="34" xfId="0" applyNumberFormat="1" applyFont="1" applyFill="1" applyBorder="1" applyAlignment="1">
      <alignment vertical="center" shrinkToFit="1"/>
    </xf>
    <xf numFmtId="2" fontId="18" fillId="0" borderId="144" xfId="0" applyNumberFormat="1" applyFont="1" applyFill="1" applyBorder="1" applyAlignment="1">
      <alignment horizontal="center" shrinkToFit="1"/>
    </xf>
    <xf numFmtId="3" fontId="18" fillId="47" borderId="20" xfId="0" applyNumberFormat="1" applyFont="1" applyFill="1" applyBorder="1" applyAlignment="1">
      <alignment horizontal="right" shrinkToFit="1"/>
    </xf>
    <xf numFmtId="0" fontId="36" fillId="0" borderId="29" xfId="0" applyFont="1" applyFill="1" applyBorder="1" applyAlignment="1">
      <alignment horizontal="center" shrinkToFit="1"/>
    </xf>
    <xf numFmtId="0" fontId="36" fillId="0" borderId="30" xfId="0" applyFont="1" applyFill="1" applyBorder="1" applyAlignment="1">
      <alignment horizontal="center" shrinkToFit="1"/>
    </xf>
    <xf numFmtId="3" fontId="18" fillId="0" borderId="0" xfId="0" applyNumberFormat="1" applyFont="1" applyFill="1" applyBorder="1" applyAlignment="1">
      <alignment horizontal="right" shrinkToFit="1"/>
    </xf>
    <xf numFmtId="3" fontId="18" fillId="0" borderId="95" xfId="0" applyNumberFormat="1" applyFont="1" applyFill="1" applyBorder="1" applyAlignment="1">
      <alignment horizontal="right" shrinkToFit="1"/>
    </xf>
    <xf numFmtId="3" fontId="18" fillId="0" borderId="145" xfId="0" applyNumberFormat="1" applyFont="1" applyFill="1" applyBorder="1" applyAlignment="1">
      <alignment horizontal="right" shrinkToFit="1"/>
    </xf>
    <xf numFmtId="3" fontId="18" fillId="0" borderId="45" xfId="0" applyNumberFormat="1" applyFont="1" applyFill="1" applyBorder="1" applyAlignment="1">
      <alignment horizontal="right" shrinkToFit="1"/>
    </xf>
    <xf numFmtId="3" fontId="18" fillId="0" borderId="65" xfId="0" applyNumberFormat="1" applyFont="1" applyFill="1" applyBorder="1" applyAlignment="1">
      <alignment horizontal="right" shrinkToFit="1"/>
    </xf>
    <xf numFmtId="0" fontId="17" fillId="0" borderId="39" xfId="0" applyFont="1" applyFill="1" applyBorder="1" applyAlignment="1">
      <alignment horizontal="center" shrinkToFit="1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center" vertical="center"/>
    </xf>
    <xf numFmtId="3" fontId="17" fillId="0" borderId="121" xfId="106" applyNumberFormat="1" applyFont="1" applyFill="1" applyBorder="1" applyAlignment="1" quotePrefix="1">
      <alignment horizontal="center" vertical="center"/>
      <protection/>
    </xf>
    <xf numFmtId="3" fontId="18" fillId="0" borderId="146" xfId="0" applyNumberFormat="1" applyFont="1" applyFill="1" applyBorder="1" applyAlignment="1">
      <alignment horizontal="right" vertical="center"/>
    </xf>
    <xf numFmtId="3" fontId="17" fillId="0" borderId="20" xfId="0" applyNumberFormat="1" applyFont="1" applyFill="1" applyBorder="1" applyAlignment="1">
      <alignment horizontal="right" vertical="center" shrinkToFit="1"/>
    </xf>
    <xf numFmtId="3" fontId="17" fillId="0" borderId="56" xfId="106" applyNumberFormat="1" applyFont="1" applyFill="1" applyBorder="1" applyAlignment="1" quotePrefix="1">
      <alignment horizontal="left" vertical="center" indent="1"/>
      <protection/>
    </xf>
    <xf numFmtId="3" fontId="12" fillId="0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3" fontId="17" fillId="0" borderId="20" xfId="106" applyNumberFormat="1" applyFont="1" applyFill="1" applyBorder="1" applyAlignment="1" quotePrefix="1">
      <alignment horizontal="left" vertical="center"/>
      <protection/>
    </xf>
    <xf numFmtId="3" fontId="18" fillId="47" borderId="34" xfId="0" applyNumberFormat="1" applyFont="1" applyFill="1" applyBorder="1" applyAlignment="1">
      <alignment horizontal="right" vertical="center"/>
    </xf>
    <xf numFmtId="3" fontId="17" fillId="0" borderId="128" xfId="0" applyNumberFormat="1" applyFont="1" applyFill="1" applyBorder="1" applyAlignment="1">
      <alignment horizontal="right" vertical="center"/>
    </xf>
    <xf numFmtId="2" fontId="17" fillId="0" borderId="20" xfId="0" applyNumberFormat="1" applyFont="1" applyFill="1" applyBorder="1" applyAlignment="1">
      <alignment horizontal="left" shrinkToFit="1"/>
    </xf>
    <xf numFmtId="3" fontId="18" fillId="0" borderId="74" xfId="106" applyNumberFormat="1" applyFont="1" applyFill="1" applyBorder="1" applyAlignment="1">
      <alignment horizontal="right" vertical="center"/>
      <protection/>
    </xf>
    <xf numFmtId="3" fontId="17" fillId="0" borderId="46" xfId="106" applyNumberFormat="1" applyFont="1" applyFill="1" applyBorder="1" applyAlignment="1" quotePrefix="1">
      <alignment horizontal="center" vertical="center"/>
      <protection/>
    </xf>
    <xf numFmtId="3" fontId="17" fillId="0" borderId="99" xfId="106" applyNumberFormat="1" applyFont="1" applyFill="1" applyBorder="1" applyAlignment="1" quotePrefix="1">
      <alignment horizontal="center" vertical="center"/>
      <protection/>
    </xf>
    <xf numFmtId="3" fontId="18" fillId="0" borderId="147" xfId="0" applyNumberFormat="1" applyFont="1" applyFill="1" applyBorder="1" applyAlignment="1">
      <alignment horizontal="right" vertical="center"/>
    </xf>
    <xf numFmtId="3" fontId="24" fillId="0" borderId="45" xfId="0" applyNumberFormat="1" applyFont="1" applyFill="1" applyBorder="1" applyAlignment="1">
      <alignment horizontal="right" vertical="center"/>
    </xf>
    <xf numFmtId="3" fontId="17" fillId="0" borderId="34" xfId="106" applyNumberFormat="1" applyFont="1" applyFill="1" applyBorder="1" applyAlignment="1" quotePrefix="1">
      <alignment horizontal="center" vertical="center"/>
      <protection/>
    </xf>
    <xf numFmtId="3" fontId="11" fillId="0" borderId="21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3" fontId="6" fillId="0" borderId="0" xfId="0" applyNumberFormat="1" applyFont="1" applyFill="1" applyAlignment="1">
      <alignment shrinkToFit="1"/>
    </xf>
    <xf numFmtId="0" fontId="17" fillId="0" borderId="39" xfId="0" applyFont="1" applyFill="1" applyBorder="1" applyAlignment="1">
      <alignment horizontal="center" vertical="center" shrinkToFit="1"/>
    </xf>
    <xf numFmtId="3" fontId="18" fillId="0" borderId="40" xfId="0" applyNumberFormat="1" applyFont="1" applyFill="1" applyBorder="1" applyAlignment="1">
      <alignment horizontal="right" vertical="center" shrinkToFit="1"/>
    </xf>
    <xf numFmtId="3" fontId="18" fillId="0" borderId="14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shrinkToFit="1"/>
    </xf>
    <xf numFmtId="3" fontId="18" fillId="0" borderId="56" xfId="106" applyNumberFormat="1" applyFont="1" applyFill="1" applyBorder="1" applyAlignment="1" quotePrefix="1">
      <alignment horizontal="left" vertical="center" indent="1"/>
      <protection/>
    </xf>
    <xf numFmtId="3" fontId="12" fillId="0" borderId="123" xfId="0" applyNumberFormat="1" applyFont="1" applyFill="1" applyBorder="1" applyAlignment="1">
      <alignment horizontal="center" vertical="center"/>
    </xf>
    <xf numFmtId="3" fontId="17" fillId="0" borderId="79" xfId="106" applyNumberFormat="1" applyFont="1" applyFill="1" applyBorder="1" applyAlignment="1">
      <alignment vertical="center"/>
      <protection/>
    </xf>
    <xf numFmtId="3" fontId="17" fillId="0" borderId="69" xfId="106" applyNumberFormat="1" applyFont="1" applyFill="1" applyBorder="1" applyAlignment="1">
      <alignment vertical="center"/>
      <protection/>
    </xf>
    <xf numFmtId="3" fontId="17" fillId="0" borderId="81" xfId="106" applyNumberFormat="1" applyFont="1" applyFill="1" applyBorder="1" applyAlignment="1">
      <alignment vertical="center"/>
      <protection/>
    </xf>
    <xf numFmtId="3" fontId="17" fillId="0" borderId="0" xfId="0" applyNumberFormat="1" applyFont="1" applyAlignment="1">
      <alignment/>
    </xf>
    <xf numFmtId="3" fontId="11" fillId="0" borderId="124" xfId="0" applyNumberFormat="1" applyFont="1" applyFill="1" applyBorder="1" applyAlignment="1">
      <alignment horizontal="center" vertical="center"/>
    </xf>
    <xf numFmtId="3" fontId="12" fillId="0" borderId="132" xfId="0" applyNumberFormat="1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horizontal="left" vertical="center"/>
    </xf>
    <xf numFmtId="3" fontId="17" fillId="0" borderId="85" xfId="106" applyNumberFormat="1" applyFont="1" applyFill="1" applyBorder="1" applyAlignment="1">
      <alignment horizontal="right" vertical="center"/>
      <protection/>
    </xf>
    <xf numFmtId="0" fontId="0" fillId="0" borderId="56" xfId="0" applyBorder="1" applyAlignment="1" quotePrefix="1">
      <alignment/>
    </xf>
    <xf numFmtId="0" fontId="0" fillId="0" borderId="56" xfId="0" applyBorder="1" applyAlignment="1">
      <alignment wrapText="1"/>
    </xf>
    <xf numFmtId="3" fontId="145" fillId="0" borderId="56" xfId="0" applyNumberFormat="1" applyFont="1" applyBorder="1" applyAlignment="1">
      <alignment/>
    </xf>
    <xf numFmtId="0" fontId="151" fillId="0" borderId="56" xfId="0" applyFont="1" applyBorder="1" applyAlignment="1">
      <alignment/>
    </xf>
    <xf numFmtId="0" fontId="151" fillId="0" borderId="56" xfId="0" applyFont="1" applyBorder="1" applyAlignment="1">
      <alignment wrapText="1"/>
    </xf>
    <xf numFmtId="3" fontId="152" fillId="0" borderId="56" xfId="0" applyNumberFormat="1" applyFont="1" applyBorder="1" applyAlignment="1">
      <alignment/>
    </xf>
    <xf numFmtId="0" fontId="145" fillId="0" borderId="56" xfId="0" applyFont="1" applyBorder="1" applyAlignment="1">
      <alignment/>
    </xf>
    <xf numFmtId="0" fontId="145" fillId="0" borderId="56" xfId="0" applyFont="1" applyBorder="1" applyAlignment="1">
      <alignment wrapText="1"/>
    </xf>
    <xf numFmtId="0" fontId="0" fillId="0" borderId="56" xfId="0" applyBorder="1" applyAlignment="1">
      <alignment/>
    </xf>
    <xf numFmtId="0" fontId="8" fillId="0" borderId="0" xfId="104" applyFont="1" applyFill="1" applyAlignment="1">
      <alignment/>
      <protection/>
    </xf>
    <xf numFmtId="0" fontId="41" fillId="0" borderId="0" xfId="104" applyFont="1" applyFill="1" applyAlignment="1">
      <alignment/>
      <protection/>
    </xf>
    <xf numFmtId="0" fontId="8" fillId="0" borderId="0" xfId="104" applyFont="1" applyFill="1" applyBorder="1" applyAlignment="1">
      <alignment vertical="center"/>
      <protection/>
    </xf>
    <xf numFmtId="0" fontId="8" fillId="0" borderId="0" xfId="104" applyFont="1" applyFill="1" applyBorder="1" applyAlignment="1">
      <alignment horizontal="center" vertical="center"/>
      <protection/>
    </xf>
    <xf numFmtId="0" fontId="8" fillId="0" borderId="0" xfId="104" applyFont="1" applyFill="1" applyAlignment="1">
      <alignment vertical="center"/>
      <protection/>
    </xf>
    <xf numFmtId="0" fontId="9" fillId="0" borderId="0" xfId="104" applyFont="1" applyFill="1" applyBorder="1" applyAlignment="1">
      <alignment horizontal="center" vertical="center"/>
      <protection/>
    </xf>
    <xf numFmtId="3" fontId="9" fillId="0" borderId="0" xfId="104" applyNumberFormat="1" applyFont="1" applyFill="1" applyBorder="1" applyAlignment="1">
      <alignment horizontal="right" vertical="center"/>
      <protection/>
    </xf>
    <xf numFmtId="3" fontId="8" fillId="0" borderId="0" xfId="104" applyNumberFormat="1" applyFont="1" applyFill="1" applyBorder="1" applyAlignment="1">
      <alignment vertical="center"/>
      <protection/>
    </xf>
    <xf numFmtId="3" fontId="9" fillId="0" borderId="0" xfId="104" applyNumberFormat="1" applyFont="1" applyFill="1" applyBorder="1" applyAlignment="1">
      <alignment vertical="center"/>
      <protection/>
    </xf>
    <xf numFmtId="3" fontId="42" fillId="0" borderId="46" xfId="104" applyNumberFormat="1" applyFont="1" applyFill="1" applyBorder="1" applyAlignment="1">
      <alignment vertical="center"/>
      <protection/>
    </xf>
    <xf numFmtId="0" fontId="21" fillId="0" borderId="0" xfId="104" applyFont="1" applyFill="1" applyBorder="1" applyAlignment="1">
      <alignment vertical="center"/>
      <protection/>
    </xf>
    <xf numFmtId="3" fontId="21" fillId="0" borderId="0" xfId="104" applyNumberFormat="1" applyFont="1" applyFill="1" applyBorder="1" applyAlignment="1">
      <alignment vertical="center"/>
      <protection/>
    </xf>
    <xf numFmtId="3" fontId="42" fillId="0" borderId="0" xfId="104" applyNumberFormat="1" applyFont="1" applyFill="1" applyBorder="1" applyAlignment="1">
      <alignment vertical="center"/>
      <protection/>
    </xf>
    <xf numFmtId="0" fontId="42" fillId="0" borderId="56" xfId="104" applyFont="1" applyFill="1" applyBorder="1" applyAlignment="1">
      <alignment horizontal="left" wrapText="1"/>
      <protection/>
    </xf>
    <xf numFmtId="0" fontId="42" fillId="0" borderId="92" xfId="104" applyFont="1" applyFill="1" applyBorder="1" applyAlignment="1">
      <alignment vertical="center"/>
      <protection/>
    </xf>
    <xf numFmtId="0" fontId="42" fillId="0" borderId="56" xfId="104" applyFont="1" applyFill="1" applyBorder="1" applyAlignment="1">
      <alignment horizontal="left" vertical="center" wrapText="1"/>
      <protection/>
    </xf>
    <xf numFmtId="0" fontId="42" fillId="0" borderId="56" xfId="104" applyFont="1" applyFill="1" applyBorder="1" applyAlignment="1">
      <alignment horizontal="left" vertical="center"/>
      <protection/>
    </xf>
    <xf numFmtId="3" fontId="42" fillId="0" borderId="56" xfId="104" applyNumberFormat="1" applyFont="1" applyFill="1" applyBorder="1" applyAlignment="1">
      <alignment horizontal="right" vertical="center"/>
      <protection/>
    </xf>
    <xf numFmtId="0" fontId="41" fillId="0" borderId="56" xfId="104" applyFont="1" applyFill="1" applyBorder="1" applyAlignment="1">
      <alignment horizontal="left" vertical="center"/>
      <protection/>
    </xf>
    <xf numFmtId="3" fontId="41" fillId="0" borderId="56" xfId="104" applyNumberFormat="1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horizontal="left" vertical="center" wrapText="1"/>
      <protection/>
    </xf>
    <xf numFmtId="0" fontId="42" fillId="0" borderId="56" xfId="104" applyFont="1" applyFill="1" applyBorder="1" applyAlignment="1">
      <alignment vertical="center"/>
      <protection/>
    </xf>
    <xf numFmtId="3" fontId="42" fillId="0" borderId="56" xfId="104" applyNumberFormat="1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horizontal="justify" vertical="center"/>
      <protection/>
    </xf>
    <xf numFmtId="3" fontId="41" fillId="0" borderId="56" xfId="104" applyNumberFormat="1" applyFont="1" applyFill="1" applyBorder="1" applyAlignment="1">
      <alignment horizontal="right" vertical="center"/>
      <protection/>
    </xf>
    <xf numFmtId="0" fontId="42" fillId="0" borderId="56" xfId="104" applyFont="1" applyFill="1" applyBorder="1" applyAlignment="1">
      <alignment horizontal="justify" vertical="center"/>
      <protection/>
    </xf>
    <xf numFmtId="0" fontId="41" fillId="0" borderId="56" xfId="104" applyFont="1" applyFill="1" applyBorder="1" applyAlignment="1">
      <alignment horizontal="left"/>
      <protection/>
    </xf>
    <xf numFmtId="0" fontId="42" fillId="0" borderId="56" xfId="104" applyFont="1" applyFill="1" applyBorder="1" applyAlignment="1">
      <alignment vertical="center" wrapText="1"/>
      <protection/>
    </xf>
    <xf numFmtId="0" fontId="41" fillId="0" borderId="56" xfId="104" applyFont="1" applyFill="1" applyBorder="1" applyAlignment="1">
      <alignment horizontal="left" wrapText="1"/>
      <protection/>
    </xf>
    <xf numFmtId="0" fontId="42" fillId="0" borderId="56" xfId="104" applyFont="1" applyFill="1" applyBorder="1" applyAlignment="1">
      <alignment horizontal="left"/>
      <protection/>
    </xf>
    <xf numFmtId="3" fontId="42" fillId="0" borderId="56" xfId="104" applyNumberFormat="1" applyFont="1" applyFill="1" applyBorder="1" applyAlignment="1">
      <alignment/>
      <protection/>
    </xf>
    <xf numFmtId="3" fontId="41" fillId="0" borderId="0" xfId="104" applyNumberFormat="1" applyFont="1" applyFill="1" applyAlignment="1">
      <alignment/>
      <protection/>
    </xf>
    <xf numFmtId="3" fontId="41" fillId="0" borderId="0" xfId="104" applyNumberFormat="1" applyFont="1" applyFill="1" applyAlignment="1">
      <alignment horizontal="right"/>
      <protection/>
    </xf>
    <xf numFmtId="3" fontId="41" fillId="0" borderId="56" xfId="104" applyNumberFormat="1" applyFont="1" applyFill="1" applyBorder="1" applyAlignment="1">
      <alignment/>
      <protection/>
    </xf>
    <xf numFmtId="0" fontId="44" fillId="0" borderId="0" xfId="95" applyFont="1" applyFill="1">
      <alignment/>
      <protection/>
    </xf>
    <xf numFmtId="0" fontId="44" fillId="0" borderId="0" xfId="95" applyFont="1" applyFill="1" applyBorder="1">
      <alignment/>
      <protection/>
    </xf>
    <xf numFmtId="0" fontId="43" fillId="0" borderId="0" xfId="95" applyFont="1" applyAlignment="1">
      <alignment horizontal="center" vertical="center" wrapText="1"/>
      <protection/>
    </xf>
    <xf numFmtId="0" fontId="44" fillId="0" borderId="0" xfId="95" applyFont="1" applyAlignment="1">
      <alignment horizontal="left" vertical="center"/>
      <protection/>
    </xf>
    <xf numFmtId="0" fontId="44" fillId="0" borderId="0" xfId="95" applyFont="1" applyFill="1" applyAlignment="1">
      <alignment horizontal="left" vertical="center"/>
      <protection/>
    </xf>
    <xf numFmtId="0" fontId="43" fillId="0" borderId="0" xfId="95" applyFont="1" applyAlignment="1">
      <alignment horizontal="left" vertical="center"/>
      <protection/>
    </xf>
    <xf numFmtId="0" fontId="44" fillId="0" borderId="0" xfId="95" applyFont="1">
      <alignment/>
      <protection/>
    </xf>
    <xf numFmtId="3" fontId="43" fillId="0" borderId="0" xfId="95" applyNumberFormat="1" applyFont="1" applyFill="1" applyAlignment="1">
      <alignment horizontal="right"/>
      <protection/>
    </xf>
    <xf numFmtId="3" fontId="12" fillId="0" borderId="125" xfId="0" applyNumberFormat="1" applyFont="1" applyFill="1" applyBorder="1" applyAlignment="1">
      <alignment horizontal="left" vertical="center"/>
    </xf>
    <xf numFmtId="3" fontId="12" fillId="0" borderId="122" xfId="0" applyNumberFormat="1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132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4" fillId="0" borderId="56" xfId="0" applyFont="1" applyBorder="1" applyAlignment="1">
      <alignment horizontal="left" wrapText="1" indent="2"/>
    </xf>
    <xf numFmtId="3" fontId="34" fillId="0" borderId="56" xfId="0" applyNumberFormat="1" applyFont="1" applyBorder="1" applyAlignment="1">
      <alignment/>
    </xf>
    <xf numFmtId="3" fontId="35" fillId="0" borderId="56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35" fillId="0" borderId="56" xfId="0" applyNumberFormat="1" applyFont="1" applyBorder="1" applyAlignment="1">
      <alignment horizontal="center" vertical="center" wrapText="1"/>
    </xf>
    <xf numFmtId="3" fontId="17" fillId="0" borderId="44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6" fillId="0" borderId="0" xfId="0" applyFont="1" applyFill="1" applyAlignment="1">
      <alignment horizontal="right" vertical="center" shrinkToFit="1"/>
    </xf>
    <xf numFmtId="0" fontId="20" fillId="0" borderId="75" xfId="0" applyFont="1" applyFill="1" applyBorder="1" applyAlignment="1">
      <alignment vertical="center"/>
    </xf>
    <xf numFmtId="0" fontId="20" fillId="0" borderId="76" xfId="0" applyFont="1" applyFill="1" applyBorder="1" applyAlignment="1">
      <alignment vertical="center"/>
    </xf>
    <xf numFmtId="0" fontId="19" fillId="0" borderId="148" xfId="0" applyFont="1" applyFill="1" applyBorder="1" applyAlignment="1">
      <alignment horizontal="center" vertical="center"/>
    </xf>
    <xf numFmtId="0" fontId="47" fillId="0" borderId="14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0" fillId="0" borderId="150" xfId="0" applyFont="1" applyFill="1" applyBorder="1" applyAlignment="1">
      <alignment horizontal="center" vertical="center" shrinkToFit="1"/>
    </xf>
    <xf numFmtId="0" fontId="20" fillId="0" borderId="122" xfId="0" applyFont="1" applyFill="1" applyBorder="1" applyAlignment="1">
      <alignment vertical="center" wrapText="1"/>
    </xf>
    <xf numFmtId="3" fontId="20" fillId="0" borderId="151" xfId="0" applyNumberFormat="1" applyFont="1" applyFill="1" applyBorder="1" applyAlignment="1">
      <alignment horizontal="right" vertical="center" shrinkToFit="1"/>
    </xf>
    <xf numFmtId="3" fontId="19" fillId="0" borderId="35" xfId="0" applyNumberFormat="1" applyFont="1" applyFill="1" applyBorder="1" applyAlignment="1">
      <alignment horizontal="right" vertical="center" shrinkToFit="1"/>
    </xf>
    <xf numFmtId="3" fontId="45" fillId="0" borderId="0" xfId="0" applyNumberFormat="1" applyFont="1" applyFill="1" applyAlignment="1">
      <alignment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143" xfId="0" applyFont="1" applyFill="1" applyBorder="1" applyAlignment="1">
      <alignment vertical="center" wrapText="1"/>
    </xf>
    <xf numFmtId="3" fontId="20" fillId="0" borderId="152" xfId="0" applyNumberFormat="1" applyFont="1" applyFill="1" applyBorder="1" applyAlignment="1">
      <alignment horizontal="right" vertical="center" shrinkToFit="1"/>
    </xf>
    <xf numFmtId="3" fontId="19" fillId="0" borderId="36" xfId="0" applyNumberFormat="1" applyFont="1" applyFill="1" applyBorder="1" applyAlignment="1">
      <alignment horizontal="right" vertical="center" shrinkToFit="1"/>
    </xf>
    <xf numFmtId="0" fontId="20" fillId="0" borderId="143" xfId="0" applyFont="1" applyFill="1" applyBorder="1" applyAlignment="1" quotePrefix="1">
      <alignment horizontal="left" vertical="center" wrapText="1"/>
    </xf>
    <xf numFmtId="3" fontId="19" fillId="0" borderId="153" xfId="0" applyNumberFormat="1" applyFont="1" applyFill="1" applyBorder="1" applyAlignment="1">
      <alignment horizontal="right" vertical="center"/>
    </xf>
    <xf numFmtId="3" fontId="19" fillId="0" borderId="135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20" fillId="0" borderId="30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vertical="center" shrinkToFit="1"/>
    </xf>
    <xf numFmtId="0" fontId="20" fillId="0" borderId="154" xfId="0" applyFont="1" applyFill="1" applyBorder="1" applyAlignment="1">
      <alignment vertical="center" shrinkToFit="1"/>
    </xf>
    <xf numFmtId="0" fontId="20" fillId="0" borderId="155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67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horizontal="right" vertical="center" shrinkToFit="1"/>
    </xf>
    <xf numFmtId="0" fontId="19" fillId="0" borderId="156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vertical="center" shrinkToFit="1"/>
    </xf>
    <xf numFmtId="0" fontId="20" fillId="0" borderId="157" xfId="0" applyFont="1" applyFill="1" applyBorder="1" applyAlignment="1">
      <alignment vertical="center" shrinkToFit="1"/>
    </xf>
    <xf numFmtId="0" fontId="20" fillId="0" borderId="42" xfId="0" applyFont="1" applyFill="1" applyBorder="1" applyAlignment="1">
      <alignment vertical="center" shrinkToFit="1"/>
    </xf>
    <xf numFmtId="0" fontId="20" fillId="0" borderId="158" xfId="0" applyFont="1" applyFill="1" applyBorder="1" applyAlignment="1">
      <alignment horizontal="center" vertical="center" shrinkToFit="1"/>
    </xf>
    <xf numFmtId="0" fontId="20" fillId="0" borderId="122" xfId="0" applyFont="1" applyFill="1" applyBorder="1" applyAlignment="1">
      <alignment vertical="center" shrinkToFit="1"/>
    </xf>
    <xf numFmtId="2" fontId="17" fillId="0" borderId="44" xfId="0" applyNumberFormat="1" applyFont="1" applyFill="1" applyBorder="1" applyAlignment="1">
      <alignment wrapText="1"/>
    </xf>
    <xf numFmtId="0" fontId="20" fillId="0" borderId="143" xfId="0" applyFont="1" applyFill="1" applyBorder="1" applyAlignment="1">
      <alignment vertical="center" shrinkToFit="1"/>
    </xf>
    <xf numFmtId="0" fontId="20" fillId="0" borderId="159" xfId="0" applyFont="1" applyFill="1" applyBorder="1" applyAlignment="1">
      <alignment horizontal="center" vertical="center" shrinkToFit="1"/>
    </xf>
    <xf numFmtId="0" fontId="20" fillId="0" borderId="132" xfId="0" applyFont="1" applyFill="1" applyBorder="1" applyAlignment="1">
      <alignment vertical="center" wrapText="1"/>
    </xf>
    <xf numFmtId="3" fontId="17" fillId="0" borderId="129" xfId="0" applyNumberFormat="1" applyFont="1" applyFill="1" applyBorder="1" applyAlignment="1">
      <alignment vertical="center" wrapText="1"/>
    </xf>
    <xf numFmtId="0" fontId="20" fillId="0" borderId="160" xfId="0" applyFont="1" applyFill="1" applyBorder="1" applyAlignment="1">
      <alignment vertical="center" shrinkToFit="1"/>
    </xf>
    <xf numFmtId="3" fontId="20" fillId="0" borderId="161" xfId="0" applyNumberFormat="1" applyFont="1" applyFill="1" applyBorder="1" applyAlignment="1">
      <alignment horizontal="right" vertical="center" shrinkToFit="1"/>
    </xf>
    <xf numFmtId="3" fontId="17" fillId="0" borderId="160" xfId="0" applyNumberFormat="1" applyFont="1" applyFill="1" applyBorder="1" applyAlignment="1">
      <alignment horizontal="left" vertical="center" wrapText="1"/>
    </xf>
    <xf numFmtId="0" fontId="20" fillId="0" borderId="162" xfId="0" applyFont="1" applyFill="1" applyBorder="1" applyAlignment="1">
      <alignment horizontal="center" vertical="center" shrinkToFit="1"/>
    </xf>
    <xf numFmtId="0" fontId="20" fillId="0" borderId="163" xfId="0" applyFont="1" applyFill="1" applyBorder="1" applyAlignment="1">
      <alignment vertical="center" shrinkToFit="1"/>
    </xf>
    <xf numFmtId="3" fontId="20" fillId="0" borderId="157" xfId="0" applyNumberFormat="1" applyFont="1" applyFill="1" applyBorder="1" applyAlignment="1">
      <alignment horizontal="right" vertical="center" shrinkToFit="1"/>
    </xf>
    <xf numFmtId="3" fontId="19" fillId="0" borderId="42" xfId="0" applyNumberFormat="1" applyFont="1" applyFill="1" applyBorder="1" applyAlignment="1">
      <alignment horizontal="right" vertical="center" shrinkToFit="1"/>
    </xf>
    <xf numFmtId="3" fontId="19" fillId="0" borderId="164" xfId="0" applyNumberFormat="1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vertical="center" shrinkToFit="1"/>
    </xf>
    <xf numFmtId="3" fontId="20" fillId="0" borderId="0" xfId="0" applyNumberFormat="1" applyFont="1" applyFill="1" applyAlignment="1">
      <alignment vertical="center" shrinkToFit="1"/>
    </xf>
    <xf numFmtId="0" fontId="19" fillId="0" borderId="76" xfId="0" applyFont="1" applyFill="1" applyBorder="1" applyAlignment="1">
      <alignment horizontal="center" vertical="center"/>
    </xf>
    <xf numFmtId="3" fontId="20" fillId="0" borderId="122" xfId="0" applyNumberFormat="1" applyFont="1" applyFill="1" applyBorder="1" applyAlignment="1">
      <alignment horizontal="right" vertical="center" shrinkToFit="1"/>
    </xf>
    <xf numFmtId="3" fontId="20" fillId="0" borderId="143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0" fontId="19" fillId="0" borderId="165" xfId="0" applyFont="1" applyFill="1" applyBorder="1" applyAlignment="1">
      <alignment horizontal="center" vertical="center"/>
    </xf>
    <xf numFmtId="0" fontId="19" fillId="0" borderId="166" xfId="0" applyFont="1" applyFill="1" applyBorder="1" applyAlignment="1">
      <alignment horizontal="center" vertical="center"/>
    </xf>
    <xf numFmtId="3" fontId="20" fillId="0" borderId="167" xfId="0" applyNumberFormat="1" applyFont="1" applyFill="1" applyBorder="1" applyAlignment="1">
      <alignment horizontal="right" vertical="center" shrinkToFit="1"/>
    </xf>
    <xf numFmtId="3" fontId="20" fillId="0" borderId="168" xfId="0" applyNumberFormat="1" applyFont="1" applyFill="1" applyBorder="1" applyAlignment="1">
      <alignment horizontal="right" vertical="center" shrinkToFit="1"/>
    </xf>
    <xf numFmtId="3" fontId="20" fillId="0" borderId="169" xfId="0" applyNumberFormat="1" applyFont="1" applyFill="1" applyBorder="1" applyAlignment="1">
      <alignment horizontal="right" vertical="center" shrinkToFit="1"/>
    </xf>
    <xf numFmtId="3" fontId="19" fillId="0" borderId="117" xfId="0" applyNumberFormat="1" applyFont="1" applyFill="1" applyBorder="1" applyAlignment="1">
      <alignment horizontal="right" vertical="center" shrinkToFit="1"/>
    </xf>
    <xf numFmtId="0" fontId="49" fillId="0" borderId="0" xfId="99" applyFont="1">
      <alignment/>
      <protection/>
    </xf>
    <xf numFmtId="0" fontId="49" fillId="0" borderId="0" xfId="99" applyFont="1" applyAlignment="1">
      <alignment vertical="center"/>
      <protection/>
    </xf>
    <xf numFmtId="0" fontId="0" fillId="0" borderId="0" xfId="99">
      <alignment/>
      <protection/>
    </xf>
    <xf numFmtId="0" fontId="0" fillId="0" borderId="0" xfId="99" applyFont="1">
      <alignment/>
      <protection/>
    </xf>
    <xf numFmtId="0" fontId="52" fillId="0" borderId="0" xfId="99" applyFont="1">
      <alignment/>
      <protection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57" xfId="0" applyFont="1" applyBorder="1" applyAlignment="1">
      <alignment horizontal="center"/>
    </xf>
    <xf numFmtId="0" fontId="39" fillId="0" borderId="81" xfId="0" applyFont="1" applyBorder="1" applyAlignment="1">
      <alignment/>
    </xf>
    <xf numFmtId="3" fontId="39" fillId="0" borderId="170" xfId="0" applyNumberFormat="1" applyFont="1" applyBorder="1" applyAlignment="1">
      <alignment/>
    </xf>
    <xf numFmtId="3" fontId="53" fillId="0" borderId="51" xfId="0" applyNumberFormat="1" applyFont="1" applyBorder="1" applyAlignment="1">
      <alignment/>
    </xf>
    <xf numFmtId="0" fontId="53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3" fontId="54" fillId="0" borderId="0" xfId="0" applyNumberFormat="1" applyFont="1" applyBorder="1" applyAlignment="1">
      <alignment vertical="center"/>
    </xf>
    <xf numFmtId="0" fontId="39" fillId="0" borderId="170" xfId="0" applyFont="1" applyBorder="1" applyAlignment="1">
      <alignment horizontal="left" wrapText="1"/>
    </xf>
    <xf numFmtId="3" fontId="54" fillId="0" borderId="0" xfId="0" applyNumberFormat="1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56" xfId="103" applyFont="1" applyBorder="1" applyAlignment="1">
      <alignment horizontal="center" vertical="center"/>
      <protection/>
    </xf>
    <xf numFmtId="0" fontId="39" fillId="0" borderId="56" xfId="103" applyFont="1" applyBorder="1" applyAlignment="1">
      <alignment horizontal="center" vertical="center" wrapText="1"/>
      <protection/>
    </xf>
    <xf numFmtId="0" fontId="39" fillId="0" borderId="56" xfId="0" applyFont="1" applyBorder="1" applyAlignment="1">
      <alignment wrapText="1"/>
    </xf>
    <xf numFmtId="0" fontId="39" fillId="0" borderId="0" xfId="0" applyFont="1" applyAlignment="1">
      <alignment/>
    </xf>
    <xf numFmtId="0" fontId="50" fillId="0" borderId="0" xfId="0" applyFont="1" applyAlignment="1">
      <alignment/>
    </xf>
    <xf numFmtId="0" fontId="39" fillId="0" borderId="71" xfId="0" applyFont="1" applyBorder="1" applyAlignment="1" quotePrefix="1">
      <alignment horizontal="center"/>
    </xf>
    <xf numFmtId="0" fontId="39" fillId="0" borderId="23" xfId="0" applyFont="1" applyBorder="1" applyAlignment="1">
      <alignment wrapText="1"/>
    </xf>
    <xf numFmtId="0" fontId="27" fillId="0" borderId="0" xfId="0" applyFont="1" applyAlignment="1">
      <alignment vertical="center" wrapText="1"/>
    </xf>
    <xf numFmtId="0" fontId="0" fillId="0" borderId="0" xfId="102">
      <alignment/>
      <protection/>
    </xf>
    <xf numFmtId="0" fontId="56" fillId="0" borderId="57" xfId="102" applyFont="1" applyBorder="1" applyAlignment="1">
      <alignment horizontal="center"/>
      <protection/>
    </xf>
    <xf numFmtId="0" fontId="57" fillId="0" borderId="63" xfId="102" applyFont="1" applyBorder="1" applyAlignment="1">
      <alignment horizontal="center"/>
      <protection/>
    </xf>
    <xf numFmtId="0" fontId="57" fillId="0" borderId="20" xfId="102" applyFont="1" applyBorder="1" applyAlignment="1">
      <alignment horizontal="left" wrapText="1"/>
      <protection/>
    </xf>
    <xf numFmtId="0" fontId="57" fillId="0" borderId="37" xfId="102" applyFont="1" applyBorder="1" applyAlignment="1">
      <alignment horizontal="center"/>
      <protection/>
    </xf>
    <xf numFmtId="0" fontId="57" fillId="0" borderId="21" xfId="102" applyFont="1" applyBorder="1" applyAlignment="1">
      <alignment horizontal="left" wrapText="1"/>
      <protection/>
    </xf>
    <xf numFmtId="0" fontId="57" fillId="0" borderId="150" xfId="102" applyFont="1" applyBorder="1" applyAlignment="1">
      <alignment horizontal="center"/>
      <protection/>
    </xf>
    <xf numFmtId="0" fontId="59" fillId="0" borderId="104" xfId="102" applyFont="1" applyBorder="1">
      <alignment/>
      <protection/>
    </xf>
    <xf numFmtId="0" fontId="57" fillId="0" borderId="158" xfId="102" applyFont="1" applyBorder="1" applyAlignment="1">
      <alignment horizontal="center"/>
      <protection/>
    </xf>
    <xf numFmtId="0" fontId="61" fillId="0" borderId="34" xfId="102" applyFont="1" applyBorder="1">
      <alignment/>
      <protection/>
    </xf>
    <xf numFmtId="0" fontId="57" fillId="0" borderId="123" xfId="102" applyFont="1" applyBorder="1" applyAlignment="1">
      <alignment horizontal="center"/>
      <protection/>
    </xf>
    <xf numFmtId="0" fontId="57" fillId="0" borderId="21" xfId="102" applyFont="1" applyBorder="1">
      <alignment/>
      <protection/>
    </xf>
    <xf numFmtId="0" fontId="56" fillId="0" borderId="150" xfId="102" applyFont="1" applyBorder="1" applyAlignment="1">
      <alignment horizontal="center"/>
      <protection/>
    </xf>
    <xf numFmtId="0" fontId="57" fillId="0" borderId="20" xfId="102" applyFont="1" applyFill="1" applyBorder="1">
      <alignment/>
      <protection/>
    </xf>
    <xf numFmtId="0" fontId="61" fillId="0" borderId="20" xfId="102" applyFont="1" applyFill="1" applyBorder="1">
      <alignment/>
      <protection/>
    </xf>
    <xf numFmtId="0" fontId="57" fillId="0" borderId="159" xfId="102" applyFont="1" applyBorder="1" applyAlignment="1">
      <alignment horizontal="center"/>
      <protection/>
    </xf>
    <xf numFmtId="0" fontId="57" fillId="0" borderId="19" xfId="102" applyFont="1" applyFill="1" applyBorder="1">
      <alignment/>
      <protection/>
    </xf>
    <xf numFmtId="0" fontId="57" fillId="0" borderId="171" xfId="102" applyFont="1" applyBorder="1" applyAlignment="1">
      <alignment horizontal="center"/>
      <protection/>
    </xf>
    <xf numFmtId="0" fontId="57" fillId="0" borderId="78" xfId="102" applyFont="1" applyBorder="1" applyAlignment="1">
      <alignment horizontal="center"/>
      <protection/>
    </xf>
    <xf numFmtId="0" fontId="57" fillId="0" borderId="51" xfId="102" applyFont="1" applyBorder="1" applyAlignment="1">
      <alignment wrapText="1"/>
      <protection/>
    </xf>
    <xf numFmtId="0" fontId="61" fillId="0" borderId="63" xfId="102" applyFont="1" applyBorder="1" applyAlignment="1">
      <alignment horizontal="center"/>
      <protection/>
    </xf>
    <xf numFmtId="0" fontId="61" fillId="0" borderId="20" xfId="102" applyFont="1" applyBorder="1" applyAlignment="1">
      <alignment wrapText="1"/>
      <protection/>
    </xf>
    <xf numFmtId="0" fontId="52" fillId="0" borderId="0" xfId="102" applyFont="1" applyAlignment="1">
      <alignment wrapText="1"/>
      <protection/>
    </xf>
    <xf numFmtId="0" fontId="52" fillId="0" borderId="0" xfId="102" applyFont="1" applyAlignment="1">
      <alignment horizontal="left" wrapText="1"/>
      <protection/>
    </xf>
    <xf numFmtId="0" fontId="52" fillId="0" borderId="0" xfId="99" applyFont="1" applyAlignment="1">
      <alignment horizontal="center"/>
      <protection/>
    </xf>
    <xf numFmtId="0" fontId="52" fillId="0" borderId="0" xfId="99" applyFont="1" applyAlignment="1">
      <alignment horizontal="right"/>
      <protection/>
    </xf>
    <xf numFmtId="3" fontId="0" fillId="0" borderId="0" xfId="99" applyNumberFormat="1">
      <alignment/>
      <protection/>
    </xf>
    <xf numFmtId="0" fontId="52" fillId="0" borderId="0" xfId="99" applyFont="1" applyAlignment="1">
      <alignment wrapText="1"/>
      <protection/>
    </xf>
    <xf numFmtId="0" fontId="52" fillId="0" borderId="0" xfId="99" applyFont="1" applyAlignment="1">
      <alignment horizontal="left" wrapText="1"/>
      <protection/>
    </xf>
    <xf numFmtId="0" fontId="81" fillId="0" borderId="56" xfId="104" applyFont="1" applyFill="1" applyBorder="1" applyAlignment="1">
      <alignment horizontal="center" vertical="center"/>
      <protection/>
    </xf>
    <xf numFmtId="3" fontId="81" fillId="0" borderId="56" xfId="104" applyNumberFormat="1" applyFont="1" applyFill="1" applyBorder="1" applyAlignment="1">
      <alignment horizontal="center" vertical="center"/>
      <protection/>
    </xf>
    <xf numFmtId="3" fontId="81" fillId="0" borderId="56" xfId="104" applyNumberFormat="1" applyFont="1" applyFill="1" applyBorder="1" applyAlignment="1">
      <alignment horizontal="center"/>
      <protection/>
    </xf>
    <xf numFmtId="0" fontId="83" fillId="0" borderId="0" xfId="104" applyFont="1" applyFill="1" applyAlignment="1">
      <alignment horizontal="center"/>
      <protection/>
    </xf>
    <xf numFmtId="0" fontId="82" fillId="0" borderId="0" xfId="104" applyFont="1" applyFill="1" applyBorder="1" applyAlignment="1">
      <alignment horizontal="center" vertical="center"/>
      <protection/>
    </xf>
    <xf numFmtId="3" fontId="82" fillId="0" borderId="0" xfId="104" applyNumberFormat="1" applyFont="1" applyFill="1" applyBorder="1" applyAlignment="1">
      <alignment horizontal="center" vertical="center"/>
      <protection/>
    </xf>
    <xf numFmtId="0" fontId="83" fillId="0" borderId="0" xfId="104" applyFont="1" applyFill="1" applyAlignment="1">
      <alignment horizontal="center" vertical="center"/>
      <protection/>
    </xf>
    <xf numFmtId="0" fontId="35" fillId="0" borderId="56" xfId="0" applyFont="1" applyBorder="1" applyAlignment="1">
      <alignment horizontal="center" wrapText="1"/>
    </xf>
    <xf numFmtId="3" fontId="35" fillId="0" borderId="56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0" fillId="0" borderId="0" xfId="102" applyNumberFormat="1">
      <alignment/>
      <protection/>
    </xf>
    <xf numFmtId="0" fontId="85" fillId="0" borderId="0" xfId="95" applyFont="1" applyAlignment="1">
      <alignment horizontal="left" vertical="center"/>
      <protection/>
    </xf>
    <xf numFmtId="0" fontId="85" fillId="0" borderId="0" xfId="95" applyFont="1" applyFill="1" applyAlignment="1">
      <alignment horizontal="left" vertical="center"/>
      <protection/>
    </xf>
    <xf numFmtId="0" fontId="86" fillId="0" borderId="56" xfId="0" applyFont="1" applyBorder="1" applyAlignment="1">
      <alignment wrapText="1"/>
    </xf>
    <xf numFmtId="3" fontId="86" fillId="0" borderId="56" xfId="0" applyNumberFormat="1" applyFont="1" applyBorder="1" applyAlignment="1">
      <alignment/>
    </xf>
    <xf numFmtId="0" fontId="86" fillId="0" borderId="0" xfId="0" applyFont="1" applyAlignment="1">
      <alignment/>
    </xf>
    <xf numFmtId="0" fontId="83" fillId="0" borderId="0" xfId="104" applyFont="1" applyFill="1" applyAlignment="1">
      <alignment/>
      <protection/>
    </xf>
    <xf numFmtId="0" fontId="83" fillId="0" borderId="0" xfId="104" applyFont="1" applyFill="1" applyAlignment="1">
      <alignment horizontal="right"/>
      <protection/>
    </xf>
    <xf numFmtId="0" fontId="83" fillId="0" borderId="0" xfId="104" applyFont="1" applyFill="1" applyAlignment="1">
      <alignment horizontal="justify"/>
      <protection/>
    </xf>
    <xf numFmtId="0" fontId="83" fillId="0" borderId="0" xfId="104" applyFont="1" applyFill="1" applyBorder="1" applyAlignment="1">
      <alignment horizontal="justify" vertical="center"/>
      <protection/>
    </xf>
    <xf numFmtId="3" fontId="83" fillId="0" borderId="0" xfId="104" applyNumberFormat="1" applyFont="1" applyFill="1" applyBorder="1" applyAlignment="1">
      <alignment vertical="center"/>
      <protection/>
    </xf>
    <xf numFmtId="0" fontId="88" fillId="0" borderId="0" xfId="104" applyFont="1" applyFill="1" applyAlignment="1">
      <alignment/>
      <protection/>
    </xf>
    <xf numFmtId="0" fontId="9" fillId="0" borderId="0" xfId="104" applyFont="1" applyFill="1" applyAlignment="1">
      <alignment/>
      <protection/>
    </xf>
    <xf numFmtId="3" fontId="83" fillId="0" borderId="0" xfId="104" applyNumberFormat="1" applyFont="1" applyFill="1" applyAlignment="1">
      <alignment horizontal="center"/>
      <protection/>
    </xf>
    <xf numFmtId="0" fontId="88" fillId="0" borderId="56" xfId="104" applyFont="1" applyFill="1" applyBorder="1" applyAlignment="1">
      <alignment horizontal="center" vertical="center"/>
      <protection/>
    </xf>
    <xf numFmtId="0" fontId="88" fillId="0" borderId="56" xfId="104" applyFont="1" applyFill="1" applyBorder="1" applyAlignment="1">
      <alignment horizontal="center" vertical="center" wrapText="1"/>
      <protection/>
    </xf>
    <xf numFmtId="0" fontId="88" fillId="0" borderId="56" xfId="104" applyFont="1" applyFill="1" applyBorder="1" applyAlignment="1">
      <alignment horizontal="center"/>
      <protection/>
    </xf>
    <xf numFmtId="0" fontId="83" fillId="0" borderId="56" xfId="104" applyFont="1" applyFill="1" applyBorder="1" applyAlignment="1">
      <alignment vertical="center"/>
      <protection/>
    </xf>
    <xf numFmtId="0" fontId="83" fillId="0" borderId="56" xfId="104" applyFont="1" applyFill="1" applyBorder="1" applyAlignment="1">
      <alignment horizontal="center" vertical="center"/>
      <protection/>
    </xf>
    <xf numFmtId="0" fontId="88" fillId="0" borderId="56" xfId="104" applyFont="1" applyFill="1" applyBorder="1" applyAlignment="1">
      <alignment vertical="center"/>
      <protection/>
    </xf>
    <xf numFmtId="3" fontId="88" fillId="0" borderId="56" xfId="104" applyNumberFormat="1" applyFont="1" applyFill="1" applyBorder="1" applyAlignment="1">
      <alignment vertical="center"/>
      <protection/>
    </xf>
    <xf numFmtId="0" fontId="83" fillId="0" borderId="56" xfId="104" applyFont="1" applyFill="1" applyBorder="1" applyAlignment="1">
      <alignment horizontal="left" vertical="center"/>
      <protection/>
    </xf>
    <xf numFmtId="3" fontId="82" fillId="0" borderId="56" xfId="104" applyNumberFormat="1" applyFont="1" applyFill="1" applyBorder="1" applyAlignment="1">
      <alignment vertical="center"/>
      <protection/>
    </xf>
    <xf numFmtId="3" fontId="83" fillId="0" borderId="56" xfId="104" applyNumberFormat="1" applyFont="1" applyFill="1" applyBorder="1" applyAlignment="1">
      <alignment vertical="center"/>
      <protection/>
    </xf>
    <xf numFmtId="3" fontId="83" fillId="0" borderId="56" xfId="104" applyNumberFormat="1" applyFont="1" applyFill="1" applyBorder="1" applyAlignment="1">
      <alignment horizontal="right" vertical="center"/>
      <protection/>
    </xf>
    <xf numFmtId="0" fontId="83" fillId="0" borderId="56" xfId="104" applyFont="1" applyFill="1" applyBorder="1" applyAlignment="1">
      <alignment horizontal="left" vertical="center" wrapText="1"/>
      <protection/>
    </xf>
    <xf numFmtId="0" fontId="88" fillId="0" borderId="56" xfId="104" applyFont="1" applyFill="1" applyBorder="1" applyAlignment="1">
      <alignment horizontal="justify" vertical="center"/>
      <protection/>
    </xf>
    <xf numFmtId="3" fontId="88" fillId="0" borderId="56" xfId="104" applyNumberFormat="1" applyFont="1" applyFill="1" applyBorder="1" applyAlignment="1">
      <alignment horizontal="right" vertical="center"/>
      <protection/>
    </xf>
    <xf numFmtId="0" fontId="83" fillId="0" borderId="56" xfId="104" applyFont="1" applyFill="1" applyBorder="1" applyAlignment="1">
      <alignment horizontal="justify" vertical="center"/>
      <protection/>
    </xf>
    <xf numFmtId="0" fontId="44" fillId="0" borderId="0" xfId="93" applyFont="1">
      <alignment/>
      <protection/>
    </xf>
    <xf numFmtId="0" fontId="44" fillId="0" borderId="0" xfId="93" applyFont="1" applyBorder="1">
      <alignment/>
      <protection/>
    </xf>
    <xf numFmtId="0" fontId="44" fillId="0" borderId="0" xfId="93" applyFont="1" applyFill="1">
      <alignment/>
      <protection/>
    </xf>
    <xf numFmtId="0" fontId="44" fillId="0" borderId="0" xfId="93" applyFont="1" applyFill="1" applyAlignment="1">
      <alignment/>
      <protection/>
    </xf>
    <xf numFmtId="0" fontId="43" fillId="0" borderId="0" xfId="93" applyFont="1">
      <alignment/>
      <protection/>
    </xf>
    <xf numFmtId="0" fontId="43" fillId="0" borderId="0" xfId="93" applyFont="1" applyBorder="1">
      <alignment/>
      <protection/>
    </xf>
    <xf numFmtId="0" fontId="43" fillId="0" borderId="85" xfId="93" applyFont="1" applyBorder="1">
      <alignment/>
      <protection/>
    </xf>
    <xf numFmtId="3" fontId="17" fillId="0" borderId="41" xfId="106" applyNumberFormat="1" applyFont="1" applyFill="1" applyBorder="1" applyAlignment="1">
      <alignment horizontal="right" vertical="center"/>
      <protection/>
    </xf>
    <xf numFmtId="3" fontId="0" fillId="0" borderId="56" xfId="0" applyNumberFormat="1" applyFont="1" applyBorder="1" applyAlignment="1">
      <alignment/>
    </xf>
    <xf numFmtId="3" fontId="18" fillId="0" borderId="70" xfId="106" applyNumberFormat="1" applyFont="1" applyFill="1" applyBorder="1" applyAlignment="1">
      <alignment horizontal="left" vertical="center" wrapText="1"/>
      <protection/>
    </xf>
    <xf numFmtId="3" fontId="17" fillId="0" borderId="70" xfId="106" applyNumberFormat="1" applyFont="1" applyFill="1" applyBorder="1" applyAlignment="1">
      <alignment horizontal="right" vertical="center"/>
      <protection/>
    </xf>
    <xf numFmtId="4" fontId="18" fillId="0" borderId="91" xfId="106" applyNumberFormat="1" applyFont="1" applyFill="1" applyBorder="1" applyAlignment="1">
      <alignment horizontal="right" vertical="center"/>
      <protection/>
    </xf>
    <xf numFmtId="4" fontId="18" fillId="0" borderId="91" xfId="106" applyNumberFormat="1" applyFont="1" applyFill="1" applyBorder="1" applyAlignment="1">
      <alignment vertical="center"/>
      <protection/>
    </xf>
    <xf numFmtId="4" fontId="18" fillId="0" borderId="50" xfId="106" applyNumberFormat="1" applyFont="1" applyFill="1" applyBorder="1" applyAlignment="1">
      <alignment horizontal="right" vertical="center"/>
      <protection/>
    </xf>
    <xf numFmtId="4" fontId="18" fillId="0" borderId="106" xfId="106" applyNumberFormat="1" applyFont="1" applyFill="1" applyBorder="1" applyAlignment="1">
      <alignment horizontal="right" vertical="center"/>
      <protection/>
    </xf>
    <xf numFmtId="0" fontId="36" fillId="0" borderId="0" xfId="0" applyFont="1" applyFill="1" applyAlignment="1">
      <alignment horizontal="right" shrinkToFit="1"/>
    </xf>
    <xf numFmtId="3" fontId="17" fillId="0" borderId="22" xfId="0" applyNumberFormat="1" applyFont="1" applyFill="1" applyBorder="1" applyAlignment="1">
      <alignment horizontal="right" vertical="center" shrinkToFit="1"/>
    </xf>
    <xf numFmtId="2" fontId="17" fillId="0" borderId="34" xfId="0" applyNumberFormat="1" applyFont="1" applyFill="1" applyBorder="1" applyAlignment="1">
      <alignment horizontal="left" shrinkToFit="1"/>
    </xf>
    <xf numFmtId="2" fontId="17" fillId="0" borderId="0" xfId="0" applyNumberFormat="1" applyFont="1" applyFill="1" applyBorder="1" applyAlignment="1">
      <alignment vertical="center" wrapText="1"/>
    </xf>
    <xf numFmtId="2" fontId="17" fillId="0" borderId="40" xfId="0" applyNumberFormat="1" applyFont="1" applyFill="1" applyBorder="1" applyAlignment="1">
      <alignment vertical="center" wrapText="1"/>
    </xf>
    <xf numFmtId="3" fontId="17" fillId="0" borderId="19" xfId="0" applyNumberFormat="1" applyFont="1" applyFill="1" applyBorder="1" applyAlignment="1">
      <alignment vertical="center" wrapText="1"/>
    </xf>
    <xf numFmtId="3" fontId="17" fillId="0" borderId="21" xfId="0" applyNumberFormat="1" applyFont="1" applyFill="1" applyBorder="1" applyAlignment="1">
      <alignment horizontal="right" vertical="center" shrinkToFit="1"/>
    </xf>
    <xf numFmtId="2" fontId="18" fillId="0" borderId="52" xfId="0" applyNumberFormat="1" applyFont="1" applyFill="1" applyBorder="1" applyAlignment="1">
      <alignment shrinkToFit="1"/>
    </xf>
    <xf numFmtId="3" fontId="36" fillId="0" borderId="0" xfId="0" applyNumberFormat="1" applyFont="1" applyFill="1" applyAlignment="1">
      <alignment horizontal="justify" shrinkToFit="1"/>
    </xf>
    <xf numFmtId="3" fontId="4" fillId="0" borderId="0" xfId="0" applyNumberFormat="1" applyFont="1" applyFill="1" applyAlignment="1">
      <alignment shrinkToFit="1"/>
    </xf>
    <xf numFmtId="3" fontId="36" fillId="0" borderId="0" xfId="0" applyNumberFormat="1" applyFont="1" applyFill="1" applyAlignment="1">
      <alignment horizontal="right" shrinkToFit="1"/>
    </xf>
    <xf numFmtId="3" fontId="37" fillId="0" borderId="0" xfId="0" applyNumberFormat="1" applyFont="1" applyFill="1" applyAlignment="1">
      <alignment horizontal="justify" shrinkToFit="1"/>
    </xf>
    <xf numFmtId="0" fontId="153" fillId="0" borderId="0" xfId="0" applyFont="1" applyAlignment="1">
      <alignment/>
    </xf>
    <xf numFmtId="3" fontId="5" fillId="0" borderId="0" xfId="0" applyNumberFormat="1" applyFont="1" applyFill="1" applyAlignment="1">
      <alignment vertical="center" shrinkToFit="1"/>
    </xf>
    <xf numFmtId="0" fontId="0" fillId="0" borderId="0" xfId="0" applyFill="1" applyBorder="1" applyAlignment="1">
      <alignment wrapText="1"/>
    </xf>
    <xf numFmtId="0" fontId="57" fillId="0" borderId="19" xfId="102" applyFont="1" applyFill="1" applyBorder="1" applyAlignment="1">
      <alignment wrapText="1"/>
      <protection/>
    </xf>
    <xf numFmtId="0" fontId="57" fillId="0" borderId="20" xfId="102" applyFont="1" applyBorder="1">
      <alignment/>
      <protection/>
    </xf>
    <xf numFmtId="0" fontId="57" fillId="0" borderId="19" xfId="102" applyFont="1" applyBorder="1">
      <alignment/>
      <protection/>
    </xf>
    <xf numFmtId="0" fontId="57" fillId="0" borderId="0" xfId="102" applyFont="1" applyAlignment="1">
      <alignment horizontal="center"/>
      <protection/>
    </xf>
    <xf numFmtId="0" fontId="57" fillId="0" borderId="0" xfId="102" applyFont="1">
      <alignment/>
      <protection/>
    </xf>
    <xf numFmtId="3" fontId="17" fillId="0" borderId="81" xfId="106" applyNumberFormat="1" applyFont="1" applyFill="1" applyBorder="1" applyAlignment="1">
      <alignment horizontal="right" vertical="center"/>
      <protection/>
    </xf>
    <xf numFmtId="4" fontId="18" fillId="0" borderId="56" xfId="106" applyNumberFormat="1" applyFont="1" applyFill="1" applyBorder="1" applyAlignment="1">
      <alignment horizontal="right" vertical="center"/>
      <protection/>
    </xf>
    <xf numFmtId="3" fontId="18" fillId="0" borderId="46" xfId="106" applyNumberFormat="1" applyFont="1" applyFill="1" applyBorder="1" applyAlignment="1">
      <alignment horizontal="right" vertical="center"/>
      <protection/>
    </xf>
    <xf numFmtId="0" fontId="91" fillId="0" borderId="0" xfId="0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left" vertical="center" indent="1" shrinkToFit="1"/>
    </xf>
    <xf numFmtId="49" fontId="17" fillId="0" borderId="20" xfId="0" applyNumberFormat="1" applyFont="1" applyFill="1" applyBorder="1" applyAlignment="1">
      <alignment horizontal="left" vertical="center" wrapText="1"/>
    </xf>
    <xf numFmtId="3" fontId="17" fillId="0" borderId="44" xfId="106" applyNumberFormat="1" applyFont="1" applyFill="1" applyBorder="1" applyAlignment="1" quotePrefix="1">
      <alignment vertical="center" wrapText="1"/>
      <protection/>
    </xf>
    <xf numFmtId="3" fontId="17" fillId="0" borderId="20" xfId="106" applyNumberFormat="1" applyFont="1" applyFill="1" applyBorder="1" applyAlignment="1" quotePrefix="1">
      <alignment vertical="center" wrapText="1"/>
      <protection/>
    </xf>
    <xf numFmtId="3" fontId="17" fillId="47" borderId="99" xfId="106" applyNumberFormat="1" applyFont="1" applyFill="1" applyBorder="1" applyAlignment="1" quotePrefix="1">
      <alignment vertical="center" wrapText="1"/>
      <protection/>
    </xf>
    <xf numFmtId="3" fontId="17" fillId="0" borderId="46" xfId="0" applyNumberFormat="1" applyFont="1" applyFill="1" applyBorder="1" applyAlignment="1">
      <alignment vertical="center"/>
    </xf>
    <xf numFmtId="3" fontId="17" fillId="0" borderId="99" xfId="0" applyNumberFormat="1" applyFont="1" applyFill="1" applyBorder="1" applyAlignment="1">
      <alignment horizontal="left" vertical="top" wrapText="1"/>
    </xf>
    <xf numFmtId="3" fontId="17" fillId="0" borderId="44" xfId="0" applyNumberFormat="1" applyFont="1" applyFill="1" applyBorder="1" applyAlignment="1">
      <alignment vertical="center" wrapText="1"/>
    </xf>
    <xf numFmtId="3" fontId="11" fillId="0" borderId="46" xfId="0" applyNumberFormat="1" applyFont="1" applyFill="1" applyBorder="1" applyAlignment="1">
      <alignment vertical="center"/>
    </xf>
    <xf numFmtId="3" fontId="11" fillId="0" borderId="92" xfId="0" applyNumberFormat="1" applyFont="1" applyFill="1" applyBorder="1" applyAlignment="1">
      <alignment horizontal="center" vertical="center"/>
    </xf>
    <xf numFmtId="3" fontId="11" fillId="0" borderId="128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left" vertical="top" wrapText="1"/>
    </xf>
    <xf numFmtId="2" fontId="18" fillId="0" borderId="172" xfId="0" applyNumberFormat="1" applyFont="1" applyFill="1" applyBorder="1" applyAlignment="1">
      <alignment horizontal="center" shrinkToFit="1"/>
    </xf>
    <xf numFmtId="3" fontId="18" fillId="47" borderId="45" xfId="0" applyNumberFormat="1" applyFont="1" applyFill="1" applyBorder="1" applyAlignment="1">
      <alignment horizontal="right" shrinkToFit="1"/>
    </xf>
    <xf numFmtId="3" fontId="18" fillId="0" borderId="146" xfId="0" applyNumberFormat="1" applyFont="1" applyFill="1" applyBorder="1" applyAlignment="1">
      <alignment horizontal="right" shrinkToFit="1"/>
    </xf>
    <xf numFmtId="0" fontId="18" fillId="0" borderId="26" xfId="0" applyFont="1" applyFill="1" applyBorder="1" applyAlignment="1">
      <alignment horizontal="center" vertical="center" shrinkToFit="1"/>
    </xf>
    <xf numFmtId="2" fontId="18" fillId="0" borderId="33" xfId="0" applyNumberFormat="1" applyFont="1" applyFill="1" applyBorder="1" applyAlignment="1">
      <alignment vertical="center" shrinkToFit="1"/>
    </xf>
    <xf numFmtId="3" fontId="17" fillId="47" borderId="33" xfId="0" applyNumberFormat="1" applyFont="1" applyFill="1" applyBorder="1" applyAlignment="1">
      <alignment horizontal="right" vertical="center" shrinkToFit="1"/>
    </xf>
    <xf numFmtId="2" fontId="18" fillId="0" borderId="30" xfId="0" applyNumberFormat="1" applyFont="1" applyFill="1" applyBorder="1" applyAlignment="1">
      <alignment horizontal="center" vertical="center" shrinkToFit="1"/>
    </xf>
    <xf numFmtId="3" fontId="18" fillId="0" borderId="32" xfId="0" applyNumberFormat="1" applyFont="1" applyFill="1" applyBorder="1" applyAlignment="1">
      <alignment horizontal="right" vertical="center" shrinkToFit="1"/>
    </xf>
    <xf numFmtId="2" fontId="18" fillId="0" borderId="26" xfId="0" applyNumberFormat="1" applyFont="1" applyFill="1" applyBorder="1" applyAlignment="1">
      <alignment horizontal="center" vertical="center" shrinkToFit="1"/>
    </xf>
    <xf numFmtId="2" fontId="18" fillId="0" borderId="22" xfId="0" applyNumberFormat="1" applyFont="1" applyFill="1" applyBorder="1" applyAlignment="1">
      <alignment vertical="center" shrinkToFit="1"/>
    </xf>
    <xf numFmtId="3" fontId="18" fillId="0" borderId="22" xfId="0" applyNumberFormat="1" applyFont="1" applyFill="1" applyBorder="1" applyAlignment="1">
      <alignment horizontal="right" vertical="center" shrinkToFit="1"/>
    </xf>
    <xf numFmtId="3" fontId="18" fillId="0" borderId="28" xfId="0" applyNumberFormat="1" applyFont="1" applyFill="1" applyBorder="1" applyAlignment="1">
      <alignment horizontal="right" vertical="center" shrinkToFit="1"/>
    </xf>
    <xf numFmtId="3" fontId="17" fillId="0" borderId="20" xfId="0" applyNumberFormat="1" applyFont="1" applyFill="1" applyBorder="1" applyAlignment="1">
      <alignment horizontal="right" vertical="top" wrapText="1"/>
    </xf>
    <xf numFmtId="3" fontId="17" fillId="0" borderId="38" xfId="0" applyNumberFormat="1" applyFont="1" applyFill="1" applyBorder="1" applyAlignment="1">
      <alignment horizontal="right" vertical="top" wrapText="1"/>
    </xf>
    <xf numFmtId="3" fontId="18" fillId="0" borderId="38" xfId="0" applyNumberFormat="1" applyFont="1" applyFill="1" applyBorder="1" applyAlignment="1">
      <alignment horizontal="right" vertical="top" wrapText="1"/>
    </xf>
    <xf numFmtId="3" fontId="17" fillId="47" borderId="20" xfId="0" applyNumberFormat="1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75" xfId="0" applyNumberFormat="1" applyFont="1" applyFill="1" applyBorder="1" applyAlignment="1">
      <alignment horizontal="center" vertical="center"/>
    </xf>
    <xf numFmtId="3" fontId="22" fillId="0" borderId="7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41" fillId="0" borderId="56" xfId="95" applyNumberFormat="1" applyFont="1" applyBorder="1" applyAlignment="1">
      <alignment horizontal="right" vertical="center"/>
      <protection/>
    </xf>
    <xf numFmtId="3" fontId="41" fillId="0" borderId="56" xfId="95" applyNumberFormat="1" applyFont="1" applyBorder="1" applyAlignment="1">
      <alignment horizontal="right" vertical="center" wrapText="1"/>
      <protection/>
    </xf>
    <xf numFmtId="3" fontId="42" fillId="0" borderId="56" xfId="95" applyNumberFormat="1" applyFont="1" applyBorder="1" applyAlignment="1">
      <alignment horizontal="right" vertical="center" wrapText="1"/>
      <protection/>
    </xf>
    <xf numFmtId="3" fontId="41" fillId="0" borderId="56" xfId="95" applyNumberFormat="1" applyFont="1" applyBorder="1" applyAlignment="1" quotePrefix="1">
      <alignment horizontal="right" vertical="center" wrapText="1"/>
      <protection/>
    </xf>
    <xf numFmtId="3" fontId="42" fillId="0" borderId="56" xfId="95" applyNumberFormat="1" applyFont="1" applyBorder="1" applyAlignment="1">
      <alignment horizontal="right" vertical="center"/>
      <protection/>
    </xf>
    <xf numFmtId="3" fontId="41" fillId="0" borderId="56" xfId="95" applyNumberFormat="1" applyFont="1" applyFill="1" applyBorder="1" applyAlignment="1">
      <alignment horizontal="right" vertical="center" wrapText="1"/>
      <protection/>
    </xf>
    <xf numFmtId="3" fontId="81" fillId="0" borderId="56" xfId="95" applyNumberFormat="1" applyFont="1" applyFill="1" applyBorder="1" applyAlignment="1">
      <alignment horizontal="right" vertical="center" wrapText="1"/>
      <protection/>
    </xf>
    <xf numFmtId="3" fontId="41" fillId="48" borderId="56" xfId="95" applyNumberFormat="1" applyFont="1" applyFill="1" applyBorder="1" applyAlignment="1">
      <alignment horizontal="right" vertical="center" wrapText="1"/>
      <protection/>
    </xf>
    <xf numFmtId="3" fontId="42" fillId="48" borderId="56" xfId="95" applyNumberFormat="1" applyFont="1" applyFill="1" applyBorder="1" applyAlignment="1">
      <alignment horizontal="right" vertical="center" wrapText="1"/>
      <protection/>
    </xf>
    <xf numFmtId="3" fontId="42" fillId="0" borderId="56" xfId="95" applyNumberFormat="1" applyFont="1" applyFill="1" applyBorder="1" applyAlignment="1">
      <alignment horizontal="right" vertical="center" wrapText="1"/>
      <protection/>
    </xf>
    <xf numFmtId="3" fontId="41" fillId="0" borderId="0" xfId="95" applyNumberFormat="1" applyFont="1" applyFill="1" applyAlignment="1">
      <alignment horizontal="right"/>
      <protection/>
    </xf>
    <xf numFmtId="3" fontId="41" fillId="0" borderId="0" xfId="95" applyNumberFormat="1" applyFont="1" applyAlignment="1">
      <alignment horizontal="right"/>
      <protection/>
    </xf>
    <xf numFmtId="0" fontId="154" fillId="0" borderId="0" xfId="93" applyFont="1">
      <alignment/>
      <protection/>
    </xf>
    <xf numFmtId="0" fontId="0" fillId="0" borderId="0" xfId="0" applyFont="1" applyAlignment="1">
      <alignment/>
    </xf>
    <xf numFmtId="3" fontId="110" fillId="0" borderId="56" xfId="0" applyNumberFormat="1" applyFont="1" applyBorder="1" applyAlignment="1">
      <alignment/>
    </xf>
    <xf numFmtId="3" fontId="111" fillId="0" borderId="5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6" xfId="0" applyNumberFormat="1" applyFont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right" vertical="center" shrinkToFit="1"/>
    </xf>
    <xf numFmtId="3" fontId="17" fillId="0" borderId="36" xfId="0" applyNumberFormat="1" applyFont="1" applyFill="1" applyBorder="1" applyAlignment="1">
      <alignment horizontal="right" vertical="center" shrinkToFit="1"/>
    </xf>
    <xf numFmtId="3" fontId="17" fillId="0" borderId="35" xfId="0" applyNumberFormat="1" applyFont="1" applyFill="1" applyBorder="1" applyAlignment="1">
      <alignment horizontal="right" vertical="center" shrinkToFit="1"/>
    </xf>
    <xf numFmtId="3" fontId="18" fillId="0" borderId="42" xfId="0" applyNumberFormat="1" applyFont="1" applyFill="1" applyBorder="1" applyAlignment="1">
      <alignment horizontal="right" vertical="center" shrinkToFit="1"/>
    </xf>
    <xf numFmtId="3" fontId="17" fillId="0" borderId="35" xfId="0" applyNumberFormat="1" applyFont="1" applyFill="1" applyBorder="1" applyAlignment="1">
      <alignment horizontal="right" shrinkToFit="1"/>
    </xf>
    <xf numFmtId="3" fontId="18" fillId="0" borderId="136" xfId="0" applyNumberFormat="1" applyFont="1" applyFill="1" applyBorder="1" applyAlignment="1">
      <alignment horizontal="right" shrinkToFit="1"/>
    </xf>
    <xf numFmtId="0" fontId="8" fillId="0" borderId="0" xfId="104" applyFont="1" applyFill="1" applyAlignment="1">
      <alignment/>
      <protection/>
    </xf>
    <xf numFmtId="0" fontId="83" fillId="0" borderId="56" xfId="104" applyFont="1" applyFill="1" applyBorder="1" applyAlignment="1" applyProtection="1">
      <alignment/>
      <protection locked="0"/>
    </xf>
    <xf numFmtId="0" fontId="88" fillId="0" borderId="56" xfId="104" applyFont="1" applyFill="1" applyBorder="1" applyAlignment="1" applyProtection="1">
      <alignment/>
      <protection locked="0"/>
    </xf>
    <xf numFmtId="0" fontId="83" fillId="0" borderId="56" xfId="104" applyFont="1" applyFill="1" applyBorder="1" applyAlignment="1">
      <alignment horizontal="left" indent="6"/>
      <protection/>
    </xf>
    <xf numFmtId="0" fontId="88" fillId="0" borderId="56" xfId="104" applyFont="1" applyFill="1" applyBorder="1" applyAlignment="1" applyProtection="1">
      <alignment horizontal="justify"/>
      <protection locked="0"/>
    </xf>
    <xf numFmtId="0" fontId="35" fillId="0" borderId="56" xfId="0" applyFont="1" applyBorder="1" applyAlignment="1">
      <alignment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86" fillId="0" borderId="56" xfId="0" applyFont="1" applyBorder="1" applyAlignment="1">
      <alignment horizontal="center" vertical="center"/>
    </xf>
    <xf numFmtId="0" fontId="57" fillId="0" borderId="56" xfId="102" applyFont="1" applyBorder="1" applyAlignment="1">
      <alignment horizontal="center"/>
      <protection/>
    </xf>
    <xf numFmtId="0" fontId="57" fillId="0" borderId="91" xfId="102" applyFont="1" applyBorder="1" applyAlignment="1">
      <alignment horizontal="center"/>
      <protection/>
    </xf>
    <xf numFmtId="0" fontId="57" fillId="0" borderId="51" xfId="102" applyFont="1" applyBorder="1" applyAlignment="1" quotePrefix="1">
      <alignment horizontal="right"/>
      <protection/>
    </xf>
    <xf numFmtId="3" fontId="57" fillId="0" borderId="48" xfId="102" applyNumberFormat="1" applyFont="1" applyBorder="1" applyAlignment="1" quotePrefix="1">
      <alignment horizontal="right"/>
      <protection/>
    </xf>
    <xf numFmtId="3" fontId="57" fillId="0" borderId="20" xfId="102" applyNumberFormat="1" applyFont="1" applyBorder="1" applyAlignment="1" quotePrefix="1">
      <alignment horizontal="right"/>
      <protection/>
    </xf>
    <xf numFmtId="3" fontId="57" fillId="0" borderId="38" xfId="102" applyNumberFormat="1" applyFont="1" applyBorder="1" applyAlignment="1" quotePrefix="1">
      <alignment horizontal="right"/>
      <protection/>
    </xf>
    <xf numFmtId="3" fontId="57" fillId="0" borderId="20" xfId="102" applyNumberFormat="1" applyFont="1" applyBorder="1" applyAlignment="1">
      <alignment horizontal="right"/>
      <protection/>
    </xf>
    <xf numFmtId="3" fontId="57" fillId="0" borderId="38" xfId="102" applyNumberFormat="1" applyFont="1" applyBorder="1" applyAlignment="1">
      <alignment horizontal="right"/>
      <protection/>
    </xf>
    <xf numFmtId="3" fontId="58" fillId="0" borderId="56" xfId="102" applyNumberFormat="1" applyFont="1" applyBorder="1" applyAlignment="1">
      <alignment horizontal="right"/>
      <protection/>
    </xf>
    <xf numFmtId="3" fontId="58" fillId="0" borderId="91" xfId="102" applyNumberFormat="1" applyFont="1" applyBorder="1" applyAlignment="1">
      <alignment horizontal="right"/>
      <protection/>
    </xf>
    <xf numFmtId="3" fontId="57" fillId="0" borderId="104" xfId="102" applyNumberFormat="1" applyFont="1" applyBorder="1" applyAlignment="1">
      <alignment horizontal="right"/>
      <protection/>
    </xf>
    <xf numFmtId="3" fontId="57" fillId="0" borderId="131" xfId="102" applyNumberFormat="1" applyFont="1" applyBorder="1" applyAlignment="1">
      <alignment horizontal="right"/>
      <protection/>
    </xf>
    <xf numFmtId="3" fontId="61" fillId="0" borderId="34" xfId="102" applyNumberFormat="1" applyFont="1" applyBorder="1" applyAlignment="1">
      <alignment horizontal="right"/>
      <protection/>
    </xf>
    <xf numFmtId="3" fontId="61" fillId="0" borderId="49" xfId="102" applyNumberFormat="1" applyFont="1" applyBorder="1" applyAlignment="1">
      <alignment horizontal="right"/>
      <protection/>
    </xf>
    <xf numFmtId="3" fontId="58" fillId="0" borderId="102" xfId="102" applyNumberFormat="1" applyFont="1" applyBorder="1" applyAlignment="1">
      <alignment horizontal="right"/>
      <protection/>
    </xf>
    <xf numFmtId="3" fontId="58" fillId="0" borderId="119" xfId="102" applyNumberFormat="1" applyFont="1" applyBorder="1" applyAlignment="1">
      <alignment horizontal="right"/>
      <protection/>
    </xf>
    <xf numFmtId="3" fontId="57" fillId="0" borderId="19" xfId="102" applyNumberFormat="1" applyFont="1" applyBorder="1" applyAlignment="1">
      <alignment horizontal="right"/>
      <protection/>
    </xf>
    <xf numFmtId="3" fontId="57" fillId="0" borderId="130" xfId="102" applyNumberFormat="1" applyFont="1" applyBorder="1" applyAlignment="1">
      <alignment horizontal="right"/>
      <protection/>
    </xf>
    <xf numFmtId="3" fontId="58" fillId="0" borderId="21" xfId="102" applyNumberFormat="1" applyFont="1" applyBorder="1" applyAlignment="1">
      <alignment horizontal="right"/>
      <protection/>
    </xf>
    <xf numFmtId="3" fontId="58" fillId="0" borderId="50" xfId="102" applyNumberFormat="1" applyFont="1" applyBorder="1" applyAlignment="1">
      <alignment horizontal="right"/>
      <protection/>
    </xf>
    <xf numFmtId="0" fontId="57" fillId="0" borderId="56" xfId="102" applyFont="1" applyBorder="1" applyAlignment="1">
      <alignment horizontal="right" wrapText="1"/>
      <protection/>
    </xf>
    <xf numFmtId="0" fontId="57" fillId="0" borderId="91" xfId="102" applyFont="1" applyBorder="1" applyAlignment="1">
      <alignment horizontal="right" wrapText="1"/>
      <protection/>
    </xf>
    <xf numFmtId="0" fontId="57" fillId="0" borderId="56" xfId="102" applyFont="1" applyBorder="1" applyAlignment="1">
      <alignment horizontal="center" vertical="center" wrapText="1"/>
      <protection/>
    </xf>
    <xf numFmtId="0" fontId="57" fillId="0" borderId="91" xfId="102" applyFont="1" applyBorder="1" applyAlignment="1">
      <alignment horizontal="center" vertical="center" wrapText="1"/>
      <protection/>
    </xf>
    <xf numFmtId="0" fontId="58" fillId="0" borderId="56" xfId="102" applyFont="1" applyBorder="1" applyAlignment="1">
      <alignment horizontal="right" wrapText="1"/>
      <protection/>
    </xf>
    <xf numFmtId="3" fontId="58" fillId="0" borderId="91" xfId="102" applyNumberFormat="1" applyFont="1" applyBorder="1" applyAlignment="1">
      <alignment horizontal="right" wrapText="1"/>
      <protection/>
    </xf>
    <xf numFmtId="0" fontId="57" fillId="0" borderId="20" xfId="102" applyFont="1" applyBorder="1" applyAlignment="1">
      <alignment horizontal="right" wrapText="1"/>
      <protection/>
    </xf>
    <xf numFmtId="3" fontId="57" fillId="0" borderId="38" xfId="102" applyNumberFormat="1" applyFont="1" applyBorder="1" applyAlignment="1">
      <alignment horizontal="right" wrapText="1"/>
      <protection/>
    </xf>
    <xf numFmtId="0" fontId="57" fillId="0" borderId="21" xfId="102" applyFont="1" applyBorder="1" applyAlignment="1">
      <alignment horizontal="right" wrapText="1"/>
      <protection/>
    </xf>
    <xf numFmtId="3" fontId="57" fillId="0" borderId="50" xfId="102" applyNumberFormat="1" applyFont="1" applyBorder="1" applyAlignment="1">
      <alignment horizontal="right" wrapText="1"/>
      <protection/>
    </xf>
    <xf numFmtId="3" fontId="35" fillId="0" borderId="56" xfId="0" applyNumberFormat="1" applyFont="1" applyBorder="1" applyAlignment="1">
      <alignment horizontal="right"/>
    </xf>
    <xf numFmtId="3" fontId="34" fillId="0" borderId="56" xfId="0" applyNumberFormat="1" applyFont="1" applyBorder="1" applyAlignment="1">
      <alignment horizontal="right"/>
    </xf>
    <xf numFmtId="0" fontId="39" fillId="0" borderId="81" xfId="0" applyFont="1" applyBorder="1" applyAlignment="1">
      <alignment wrapText="1"/>
    </xf>
    <xf numFmtId="0" fontId="53" fillId="0" borderId="84" xfId="0" applyFont="1" applyBorder="1" applyAlignment="1">
      <alignment horizontal="center"/>
    </xf>
    <xf numFmtId="0" fontId="39" fillId="0" borderId="56" xfId="0" applyFont="1" applyBorder="1" applyAlignment="1">
      <alignment/>
    </xf>
    <xf numFmtId="0" fontId="39" fillId="0" borderId="51" xfId="0" applyFont="1" applyBorder="1" applyAlignment="1">
      <alignment/>
    </xf>
    <xf numFmtId="0" fontId="55" fillId="0" borderId="0" xfId="0" applyFont="1" applyAlignment="1">
      <alignment horizontal="left" vertical="center"/>
    </xf>
    <xf numFmtId="16" fontId="92" fillId="0" borderId="0" xfId="0" applyNumberFormat="1" applyFont="1" applyAlignment="1" quotePrefix="1">
      <alignment horizontal="center" vertical="top"/>
    </xf>
    <xf numFmtId="0" fontId="39" fillId="0" borderId="56" xfId="0" applyFont="1" applyBorder="1" applyAlignment="1">
      <alignment horizontal="left" wrapText="1"/>
    </xf>
    <xf numFmtId="0" fontId="50" fillId="0" borderId="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7" fillId="0" borderId="56" xfId="102" applyFont="1" applyBorder="1" applyAlignment="1">
      <alignment horizontal="left" wrapText="1"/>
      <protection/>
    </xf>
    <xf numFmtId="0" fontId="57" fillId="0" borderId="56" xfId="102" applyFont="1" applyBorder="1" applyAlignment="1">
      <alignment wrapText="1"/>
      <protection/>
    </xf>
    <xf numFmtId="0" fontId="61" fillId="0" borderId="102" xfId="102" applyFont="1" applyBorder="1">
      <alignment/>
      <protection/>
    </xf>
    <xf numFmtId="0" fontId="57" fillId="0" borderId="104" xfId="102" applyFont="1" applyFill="1" applyBorder="1" applyAlignment="1">
      <alignment wrapText="1"/>
      <protection/>
    </xf>
    <xf numFmtId="3" fontId="11" fillId="0" borderId="47" xfId="0" applyNumberFormat="1" applyFont="1" applyFill="1" applyBorder="1" applyAlignment="1">
      <alignment horizontal="center" vertical="center"/>
    </xf>
    <xf numFmtId="3" fontId="18" fillId="0" borderId="20" xfId="106" applyNumberFormat="1" applyFont="1" applyFill="1" applyBorder="1" applyAlignment="1" quotePrefix="1">
      <alignment horizontal="left" vertical="center"/>
      <protection/>
    </xf>
    <xf numFmtId="3" fontId="24" fillId="0" borderId="44" xfId="106" applyNumberFormat="1" applyFont="1" applyFill="1" applyBorder="1" applyAlignment="1">
      <alignment horizontal="left" vertical="center"/>
      <protection/>
    </xf>
    <xf numFmtId="3" fontId="11" fillId="0" borderId="0" xfId="0" applyNumberFormat="1" applyFont="1" applyFill="1" applyBorder="1" applyAlignment="1">
      <alignment horizontal="left" vertical="center"/>
    </xf>
    <xf numFmtId="3" fontId="17" fillId="0" borderId="44" xfId="0" applyNumberFormat="1" applyFont="1" applyFill="1" applyBorder="1" applyAlignment="1">
      <alignment vertical="top" wrapText="1"/>
    </xf>
    <xf numFmtId="3" fontId="17" fillId="47" borderId="20" xfId="0" applyNumberFormat="1" applyFont="1" applyFill="1" applyBorder="1" applyAlignment="1">
      <alignment vertical="top" wrapText="1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1" fillId="0" borderId="99" xfId="0" applyNumberFormat="1" applyFont="1" applyFill="1" applyBorder="1" applyAlignment="1">
      <alignment horizontal="left" vertical="center"/>
    </xf>
    <xf numFmtId="3" fontId="17" fillId="0" borderId="21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>
      <alignment vertical="center" wrapText="1"/>
      <protection/>
    </xf>
    <xf numFmtId="3" fontId="17" fillId="0" borderId="81" xfId="106" applyNumberFormat="1" applyFont="1" applyFill="1" applyBorder="1" applyAlignment="1">
      <alignment vertical="center" wrapText="1"/>
      <protection/>
    </xf>
    <xf numFmtId="4" fontId="18" fillId="0" borderId="90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>
      <alignment vertical="top" wrapText="1"/>
      <protection/>
    </xf>
    <xf numFmtId="3" fontId="17" fillId="0" borderId="81" xfId="106" applyNumberFormat="1" applyFont="1" applyFill="1" applyBorder="1" applyAlignment="1">
      <alignment vertical="top" wrapText="1"/>
      <protection/>
    </xf>
    <xf numFmtId="3" fontId="17" fillId="0" borderId="56" xfId="106" applyNumberFormat="1" applyFont="1" applyFill="1" applyBorder="1" applyAlignment="1">
      <alignment vertical="top" wrapText="1"/>
      <protection/>
    </xf>
    <xf numFmtId="2" fontId="29" fillId="0" borderId="106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>
      <alignment vertical="center" wrapText="1"/>
      <protection/>
    </xf>
    <xf numFmtId="3" fontId="18" fillId="0" borderId="55" xfId="106" applyNumberFormat="1" applyFont="1" applyFill="1" applyBorder="1" applyAlignment="1">
      <alignment horizontal="left" vertical="center"/>
      <protection/>
    </xf>
    <xf numFmtId="2" fontId="18" fillId="0" borderId="91" xfId="106" applyNumberFormat="1" applyFont="1" applyFill="1" applyBorder="1" applyAlignment="1">
      <alignment horizontal="left" vertical="center"/>
      <protection/>
    </xf>
    <xf numFmtId="3" fontId="11" fillId="0" borderId="0" xfId="106" applyNumberFormat="1" applyFont="1" applyFill="1" applyAlignment="1">
      <alignment horizontal="left" vertical="center"/>
      <protection/>
    </xf>
    <xf numFmtId="3" fontId="28" fillId="0" borderId="51" xfId="106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horizontal="right" vertical="center" shrinkToFit="1"/>
    </xf>
    <xf numFmtId="3" fontId="17" fillId="0" borderId="88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horizontal="center" vertical="center" shrinkToFit="1"/>
    </xf>
    <xf numFmtId="49" fontId="18" fillId="0" borderId="22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horizontal="justify" vertical="center" shrinkToFit="1"/>
    </xf>
    <xf numFmtId="3" fontId="17" fillId="0" borderId="130" xfId="0" applyNumberFormat="1" applyFont="1" applyFill="1" applyBorder="1" applyAlignment="1">
      <alignment horizontal="right" vertical="center" shrinkToFit="1"/>
    </xf>
    <xf numFmtId="3" fontId="17" fillId="0" borderId="38" xfId="0" applyNumberFormat="1" applyFont="1" applyFill="1" applyBorder="1" applyAlignment="1">
      <alignment horizontal="right" vertical="center" shrinkToFit="1"/>
    </xf>
    <xf numFmtId="3" fontId="17" fillId="0" borderId="50" xfId="0" applyNumberFormat="1" applyFont="1" applyFill="1" applyBorder="1" applyAlignment="1">
      <alignment horizontal="right" vertical="center" shrinkToFit="1"/>
    </xf>
    <xf numFmtId="0" fontId="95" fillId="0" borderId="29" xfId="0" applyFont="1" applyFill="1" applyBorder="1" applyAlignment="1">
      <alignment vertical="center" shrinkToFit="1"/>
    </xf>
    <xf numFmtId="3" fontId="24" fillId="0" borderId="38" xfId="0" applyNumberFormat="1" applyFont="1" applyFill="1" applyBorder="1" applyAlignment="1">
      <alignment horizontal="right" vertical="center" shrinkToFit="1"/>
    </xf>
    <xf numFmtId="0" fontId="96" fillId="0" borderId="0" xfId="0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3" fontId="18" fillId="0" borderId="49" xfId="0" applyNumberFormat="1" applyFont="1" applyFill="1" applyBorder="1" applyAlignment="1">
      <alignment horizontal="right" vertical="center" shrinkToFit="1"/>
    </xf>
    <xf numFmtId="3" fontId="5" fillId="0" borderId="60" xfId="0" applyNumberFormat="1" applyFont="1" applyFill="1" applyBorder="1" applyAlignment="1">
      <alignment horizontal="right" vertical="center" shrinkToFit="1"/>
    </xf>
    <xf numFmtId="3" fontId="15" fillId="0" borderId="5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vertical="center" shrinkToFit="1"/>
    </xf>
    <xf numFmtId="3" fontId="18" fillId="0" borderId="50" xfId="0" applyNumberFormat="1" applyFont="1" applyFill="1" applyBorder="1" applyAlignment="1">
      <alignment horizontal="right" vertical="center" shrinkToFit="1"/>
    </xf>
    <xf numFmtId="49" fontId="17" fillId="0" borderId="40" xfId="0" applyNumberFormat="1" applyFont="1" applyFill="1" applyBorder="1" applyAlignment="1">
      <alignment horizontal="justify" vertical="center" shrinkToFit="1"/>
    </xf>
    <xf numFmtId="0" fontId="4" fillId="0" borderId="173" xfId="0" applyFont="1" applyFill="1" applyBorder="1" applyAlignment="1">
      <alignment vertical="center" shrinkToFit="1"/>
    </xf>
    <xf numFmtId="3" fontId="5" fillId="0" borderId="116" xfId="0" applyNumberFormat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0" fontId="17" fillId="0" borderId="129" xfId="0" applyFont="1" applyBorder="1" applyAlignment="1">
      <alignment/>
    </xf>
    <xf numFmtId="49" fontId="17" fillId="0" borderId="129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left" vertical="center" indent="1" shrinkToFit="1"/>
    </xf>
    <xf numFmtId="3" fontId="18" fillId="0" borderId="120" xfId="0" applyNumberFormat="1" applyFont="1" applyFill="1" applyBorder="1" applyAlignment="1">
      <alignment vertical="center" shrinkToFit="1"/>
    </xf>
    <xf numFmtId="3" fontId="18" fillId="0" borderId="95" xfId="0" applyNumberFormat="1" applyFont="1" applyFill="1" applyBorder="1" applyAlignment="1">
      <alignment vertical="center" shrinkToFit="1"/>
    </xf>
    <xf numFmtId="3" fontId="17" fillId="0" borderId="19" xfId="0" applyNumberFormat="1" applyFont="1" applyFill="1" applyBorder="1" applyAlignment="1">
      <alignment horizontal="right" vertical="center" shrinkToFit="1"/>
    </xf>
    <xf numFmtId="3" fontId="5" fillId="0" borderId="59" xfId="0" applyNumberFormat="1" applyFont="1" applyFill="1" applyBorder="1" applyAlignment="1">
      <alignment horizontal="right" vertical="center" shrinkToFit="1"/>
    </xf>
    <xf numFmtId="3" fontId="18" fillId="0" borderId="92" xfId="0" applyNumberFormat="1" applyFont="1" applyFill="1" applyBorder="1" applyAlignment="1">
      <alignment vertical="center" shrinkToFit="1"/>
    </xf>
    <xf numFmtId="3" fontId="17" fillId="0" borderId="40" xfId="0" applyNumberFormat="1" applyFont="1" applyFill="1" applyBorder="1" applyAlignment="1">
      <alignment horizontal="right" vertical="center" shrinkToFit="1"/>
    </xf>
    <xf numFmtId="3" fontId="18" fillId="0" borderId="128" xfId="0" applyNumberFormat="1" applyFont="1" applyFill="1" applyBorder="1" applyAlignment="1">
      <alignment horizontal="right" vertical="center" shrinkToFit="1"/>
    </xf>
    <xf numFmtId="3" fontId="18" fillId="0" borderId="34" xfId="0" applyNumberFormat="1" applyFont="1" applyFill="1" applyBorder="1" applyAlignment="1">
      <alignment horizontal="right" vertical="center" shrinkToFit="1"/>
    </xf>
    <xf numFmtId="3" fontId="17" fillId="0" borderId="44" xfId="0" applyNumberFormat="1" applyFont="1" applyFill="1" applyBorder="1" applyAlignment="1">
      <alignment horizontal="right" vertical="center" shrinkToFit="1"/>
    </xf>
    <xf numFmtId="3" fontId="17" fillId="0" borderId="129" xfId="0" applyNumberFormat="1" applyFont="1" applyFill="1" applyBorder="1" applyAlignment="1">
      <alignment horizontal="right" vertical="center" shrinkToFit="1"/>
    </xf>
    <xf numFmtId="3" fontId="17" fillId="0" borderId="142" xfId="0" applyNumberFormat="1" applyFont="1" applyFill="1" applyBorder="1" applyAlignment="1">
      <alignment horizontal="right" vertical="center" shrinkToFit="1"/>
    </xf>
    <xf numFmtId="3" fontId="17" fillId="0" borderId="129" xfId="0" applyNumberFormat="1" applyFont="1" applyFill="1" applyBorder="1" applyAlignment="1">
      <alignment horizontal="right" vertical="center" wrapText="1"/>
    </xf>
    <xf numFmtId="3" fontId="17" fillId="0" borderId="44" xfId="0" applyNumberFormat="1" applyFont="1" applyFill="1" applyBorder="1" applyAlignment="1">
      <alignment horizontal="right" vertical="center" wrapText="1"/>
    </xf>
    <xf numFmtId="0" fontId="11" fillId="0" borderId="174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shrinkToFit="1"/>
    </xf>
    <xf numFmtId="2" fontId="18" fillId="0" borderId="33" xfId="0" applyNumberFormat="1" applyFont="1" applyFill="1" applyBorder="1" applyAlignment="1">
      <alignment shrinkToFit="1"/>
    </xf>
    <xf numFmtId="3" fontId="18" fillId="0" borderId="33" xfId="0" applyNumberFormat="1" applyFont="1" applyFill="1" applyBorder="1" applyAlignment="1">
      <alignment horizontal="right" shrinkToFit="1"/>
    </xf>
    <xf numFmtId="3" fontId="18" fillId="0" borderId="134" xfId="0" applyNumberFormat="1" applyFont="1" applyFill="1" applyBorder="1" applyAlignment="1">
      <alignment horizontal="right" shrinkToFit="1"/>
    </xf>
    <xf numFmtId="3" fontId="28" fillId="0" borderId="72" xfId="106" applyNumberFormat="1" applyFont="1" applyFill="1" applyBorder="1" applyAlignment="1">
      <alignment horizontal="right" vertical="center"/>
      <protection/>
    </xf>
    <xf numFmtId="3" fontId="17" fillId="0" borderId="56" xfId="0" applyNumberFormat="1" applyFont="1" applyBorder="1" applyAlignment="1">
      <alignment vertical="center"/>
    </xf>
    <xf numFmtId="0" fontId="44" fillId="0" borderId="0" xfId="95" applyFont="1" applyFill="1" applyAlignment="1">
      <alignment/>
      <protection/>
    </xf>
    <xf numFmtId="0" fontId="43" fillId="0" borderId="0" xfId="95" applyFont="1">
      <alignment/>
      <protection/>
    </xf>
    <xf numFmtId="3" fontId="17" fillId="0" borderId="20" xfId="0" applyNumberFormat="1" applyFont="1" applyFill="1" applyBorder="1" applyAlignment="1">
      <alignment horizontal="right" vertical="center" wrapText="1"/>
    </xf>
    <xf numFmtId="3" fontId="8" fillId="0" borderId="0" xfId="104" applyNumberFormat="1" applyFont="1" applyFill="1" applyAlignment="1">
      <alignment/>
      <protection/>
    </xf>
    <xf numFmtId="3" fontId="14" fillId="0" borderId="0" xfId="0" applyNumberFormat="1" applyFont="1" applyFill="1" applyBorder="1" applyAlignment="1">
      <alignment vertical="center" shrinkToFit="1"/>
    </xf>
    <xf numFmtId="0" fontId="27" fillId="0" borderId="0" xfId="0" applyFont="1" applyAlignment="1">
      <alignment horizontal="right" vertical="center" wrapText="1"/>
    </xf>
    <xf numFmtId="3" fontId="97" fillId="0" borderId="93" xfId="103" applyNumberFormat="1" applyFont="1" applyBorder="1">
      <alignment/>
      <protection/>
    </xf>
    <xf numFmtId="3" fontId="97" fillId="0" borderId="93" xfId="0" applyNumberFormat="1" applyFont="1" applyFill="1" applyBorder="1" applyAlignment="1">
      <alignment/>
    </xf>
    <xf numFmtId="3" fontId="97" fillId="0" borderId="93" xfId="0" applyNumberFormat="1" applyFont="1" applyBorder="1" applyAlignment="1">
      <alignment/>
    </xf>
    <xf numFmtId="3" fontId="97" fillId="0" borderId="93" xfId="103" applyNumberFormat="1" applyFont="1" applyFill="1" applyBorder="1">
      <alignment/>
      <protection/>
    </xf>
    <xf numFmtId="3" fontId="98" fillId="0" borderId="93" xfId="103" applyNumberFormat="1" applyFont="1" applyBorder="1" applyAlignment="1">
      <alignment horizontal="center" vertical="center"/>
      <protection/>
    </xf>
    <xf numFmtId="4" fontId="29" fillId="0" borderId="96" xfId="106" applyNumberFormat="1" applyFont="1" applyFill="1" applyBorder="1" applyAlignment="1">
      <alignment horizontal="right" vertical="center"/>
      <protection/>
    </xf>
    <xf numFmtId="4" fontId="18" fillId="0" borderId="107" xfId="106" applyNumberFormat="1" applyFont="1" applyFill="1" applyBorder="1" applyAlignment="1">
      <alignment horizontal="right" vertical="center"/>
      <protection/>
    </xf>
    <xf numFmtId="4" fontId="29" fillId="0" borderId="95" xfId="106" applyNumberFormat="1" applyFont="1" applyFill="1" applyBorder="1" applyAlignment="1">
      <alignment horizontal="right" vertical="center"/>
      <protection/>
    </xf>
    <xf numFmtId="4" fontId="18" fillId="0" borderId="109" xfId="106" applyNumberFormat="1" applyFont="1" applyFill="1" applyBorder="1" applyAlignment="1">
      <alignment horizontal="right" vertical="center"/>
      <protection/>
    </xf>
    <xf numFmtId="0" fontId="43" fillId="0" borderId="0" xfId="95" applyFont="1" applyFill="1">
      <alignment/>
      <protection/>
    </xf>
    <xf numFmtId="0" fontId="99" fillId="0" borderId="57" xfId="99" applyFont="1" applyBorder="1" applyAlignment="1">
      <alignment horizontal="left"/>
      <protection/>
    </xf>
    <xf numFmtId="0" fontId="99" fillId="0" borderId="56" xfId="99" applyFont="1" applyBorder="1" applyAlignment="1">
      <alignment/>
      <protection/>
    </xf>
    <xf numFmtId="3" fontId="99" fillId="0" borderId="56" xfId="99" applyNumberFormat="1" applyFont="1" applyBorder="1" applyAlignment="1">
      <alignment/>
      <protection/>
    </xf>
    <xf numFmtId="0" fontId="99" fillId="0" borderId="149" xfId="99" applyFont="1" applyBorder="1" applyAlignment="1">
      <alignment/>
      <protection/>
    </xf>
    <xf numFmtId="0" fontId="99" fillId="0" borderId="84" xfId="99" applyFont="1" applyBorder="1" applyAlignment="1">
      <alignment horizontal="left" vertical="center" wrapText="1"/>
      <protection/>
    </xf>
    <xf numFmtId="0" fontId="99" fillId="0" borderId="91" xfId="99" applyFont="1" applyBorder="1" applyAlignment="1">
      <alignment/>
      <protection/>
    </xf>
    <xf numFmtId="0" fontId="99" fillId="0" borderId="84" xfId="99" applyFont="1" applyBorder="1" applyAlignment="1" quotePrefix="1">
      <alignment horizontal="left" vertical="center" indent="2"/>
      <protection/>
    </xf>
    <xf numFmtId="0" fontId="99" fillId="0" borderId="84" xfId="99" applyFont="1" applyBorder="1" applyAlignment="1">
      <alignment horizontal="left" vertical="center"/>
      <protection/>
    </xf>
    <xf numFmtId="0" fontId="99" fillId="0" borderId="84" xfId="99" applyFont="1" applyBorder="1" applyAlignment="1">
      <alignment horizontal="left"/>
      <protection/>
    </xf>
    <xf numFmtId="0" fontId="99" fillId="0" borderId="56" xfId="99" applyFont="1" applyBorder="1" applyAlignment="1">
      <alignment horizontal="right"/>
      <protection/>
    </xf>
    <xf numFmtId="3" fontId="99" fillId="0" borderId="56" xfId="99" applyNumberFormat="1" applyFont="1" applyBorder="1" applyAlignment="1">
      <alignment horizontal="right"/>
      <protection/>
    </xf>
    <xf numFmtId="0" fontId="99" fillId="0" borderId="110" xfId="99" applyFont="1" applyBorder="1" applyAlignment="1">
      <alignment wrapText="1"/>
      <protection/>
    </xf>
    <xf numFmtId="0" fontId="99" fillId="0" borderId="72" xfId="99" applyFont="1" applyBorder="1" applyAlignment="1">
      <alignment horizontal="right"/>
      <protection/>
    </xf>
    <xf numFmtId="3" fontId="99" fillId="0" borderId="72" xfId="99" applyNumberFormat="1" applyFont="1" applyBorder="1" applyAlignment="1">
      <alignment horizontal="right"/>
      <protection/>
    </xf>
    <xf numFmtId="3" fontId="52" fillId="0" borderId="0" xfId="99" applyNumberFormat="1" applyFont="1" applyAlignment="1">
      <alignment wrapText="1"/>
      <protection/>
    </xf>
    <xf numFmtId="0" fontId="45" fillId="0" borderId="0" xfId="0" applyFont="1" applyFill="1" applyAlignment="1">
      <alignment vertical="center" wrapText="1" shrinkToFit="1"/>
    </xf>
    <xf numFmtId="2" fontId="63" fillId="0" borderId="0" xfId="102" applyNumberFormat="1" applyFont="1" applyAlignment="1">
      <alignment vertical="top" wrapText="1"/>
      <protection/>
    </xf>
    <xf numFmtId="0" fontId="57" fillId="0" borderId="104" xfId="102" applyFont="1" applyBorder="1" applyAlignment="1">
      <alignment horizontal="center"/>
      <protection/>
    </xf>
    <xf numFmtId="0" fontId="57" fillId="0" borderId="131" xfId="102" applyFont="1" applyBorder="1" applyAlignment="1">
      <alignment horizontal="center"/>
      <protection/>
    </xf>
    <xf numFmtId="0" fontId="57" fillId="0" borderId="20" xfId="102" applyFont="1" applyBorder="1" applyAlignment="1">
      <alignment horizontal="right"/>
      <protection/>
    </xf>
    <xf numFmtId="3" fontId="57" fillId="0" borderId="38" xfId="102" applyNumberFormat="1" applyFont="1" applyBorder="1" applyAlignment="1">
      <alignment horizontal="right" vertical="center"/>
      <protection/>
    </xf>
    <xf numFmtId="3" fontId="24" fillId="0" borderId="99" xfId="0" applyNumberFormat="1" applyFont="1" applyBorder="1" applyAlignment="1">
      <alignment vertical="center" wrapText="1"/>
    </xf>
    <xf numFmtId="3" fontId="24" fillId="0" borderId="20" xfId="106" applyNumberFormat="1" applyFont="1" applyFill="1" applyBorder="1" applyAlignment="1" quotePrefix="1">
      <alignment horizontal="left" vertical="top"/>
      <protection/>
    </xf>
    <xf numFmtId="3" fontId="17" fillId="0" borderId="99" xfId="0" applyNumberFormat="1" applyFont="1" applyFill="1" applyBorder="1" applyAlignment="1" quotePrefix="1">
      <alignment vertical="center" wrapText="1"/>
    </xf>
    <xf numFmtId="3" fontId="17" fillId="0" borderId="44" xfId="0" applyNumberFormat="1" applyFont="1" applyFill="1" applyBorder="1" applyAlignment="1" quotePrefix="1">
      <alignment vertical="center" wrapText="1"/>
    </xf>
    <xf numFmtId="3" fontId="17" fillId="0" borderId="44" xfId="106" applyNumberFormat="1" applyFont="1" applyFill="1" applyBorder="1" applyAlignment="1" quotePrefix="1">
      <alignment horizontal="left" vertical="center"/>
      <protection/>
    </xf>
    <xf numFmtId="49" fontId="17" fillId="0" borderId="34" xfId="0" applyNumberFormat="1" applyFont="1" applyFill="1" applyBorder="1" applyAlignment="1">
      <alignment vertical="center" shrinkToFit="1"/>
    </xf>
    <xf numFmtId="3" fontId="17" fillId="0" borderId="42" xfId="0" applyNumberFormat="1" applyFont="1" applyFill="1" applyBorder="1" applyAlignment="1">
      <alignment horizontal="right" vertical="center" shrinkToFit="1"/>
    </xf>
    <xf numFmtId="3" fontId="17" fillId="0" borderId="147" xfId="0" applyNumberFormat="1" applyFont="1" applyFill="1" applyBorder="1" applyAlignment="1">
      <alignment horizontal="right" vertical="center" shrinkToFit="1"/>
    </xf>
    <xf numFmtId="3" fontId="17" fillId="0" borderId="124" xfId="0" applyNumberFormat="1" applyFont="1" applyFill="1" applyBorder="1" applyAlignment="1">
      <alignment horizontal="right" vertical="center" shrinkToFit="1"/>
    </xf>
    <xf numFmtId="3" fontId="17" fillId="0" borderId="99" xfId="0" applyNumberFormat="1" applyFont="1" applyFill="1" applyBorder="1" applyAlignment="1">
      <alignment horizontal="right" vertical="center" shrinkToFit="1"/>
    </xf>
    <xf numFmtId="3" fontId="17" fillId="0" borderId="46" xfId="0" applyNumberFormat="1" applyFont="1" applyFill="1" applyBorder="1" applyAlignment="1">
      <alignment horizontal="right" vertical="center" shrinkToFit="1"/>
    </xf>
    <xf numFmtId="3" fontId="24" fillId="0" borderId="99" xfId="0" applyNumberFormat="1" applyFont="1" applyFill="1" applyBorder="1" applyAlignment="1">
      <alignment horizontal="right" vertical="center" shrinkToFit="1"/>
    </xf>
    <xf numFmtId="3" fontId="17" fillId="0" borderId="126" xfId="0" applyNumberFormat="1" applyFont="1" applyFill="1" applyBorder="1" applyAlignment="1">
      <alignment horizontal="right" vertical="center" shrinkToFit="1"/>
    </xf>
    <xf numFmtId="0" fontId="17" fillId="0" borderId="19" xfId="0" applyFont="1" applyBorder="1" applyAlignment="1">
      <alignment wrapText="1"/>
    </xf>
    <xf numFmtId="3" fontId="17" fillId="0" borderId="140" xfId="0" applyNumberFormat="1" applyFont="1" applyFill="1" applyBorder="1" applyAlignment="1">
      <alignment horizontal="right" vertical="center" shrinkToFit="1"/>
    </xf>
    <xf numFmtId="0" fontId="27" fillId="0" borderId="51" xfId="0" applyFont="1" applyBorder="1" applyAlignment="1">
      <alignment vertical="center" wrapText="1"/>
    </xf>
    <xf numFmtId="0" fontId="27" fillId="0" borderId="56" xfId="0" applyFont="1" applyBorder="1" applyAlignment="1">
      <alignment vertical="center" wrapText="1"/>
    </xf>
    <xf numFmtId="3" fontId="17" fillId="0" borderId="79" xfId="106" applyNumberFormat="1" applyFont="1" applyFill="1" applyBorder="1" applyAlignment="1" quotePrefix="1">
      <alignment horizontal="left" vertical="center" wrapText="1" indent="1"/>
      <protection/>
    </xf>
    <xf numFmtId="3" fontId="17" fillId="0" borderId="175" xfId="106" applyNumberFormat="1" applyFont="1" applyFill="1" applyBorder="1" applyAlignment="1">
      <alignment horizontal="left" vertical="center" wrapText="1" indent="1"/>
      <protection/>
    </xf>
    <xf numFmtId="3" fontId="18" fillId="0" borderId="56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 quotePrefix="1">
      <alignment horizontal="left" vertical="top" indent="1"/>
      <protection/>
    </xf>
    <xf numFmtId="1" fontId="17" fillId="0" borderId="55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 quotePrefix="1">
      <alignment horizontal="left" vertical="center" indent="1"/>
      <protection/>
    </xf>
    <xf numFmtId="3" fontId="17" fillId="0" borderId="55" xfId="106" applyNumberFormat="1" applyFont="1" applyFill="1" applyBorder="1" applyAlignment="1" quotePrefix="1">
      <alignment horizontal="left" vertical="center" indent="1"/>
      <protection/>
    </xf>
    <xf numFmtId="3" fontId="17" fillId="0" borderId="175" xfId="106" applyNumberFormat="1" applyFont="1" applyFill="1" applyBorder="1" applyAlignment="1">
      <alignment vertical="center" wrapText="1"/>
      <protection/>
    </xf>
    <xf numFmtId="0" fontId="17" fillId="0" borderId="0" xfId="99" applyFont="1">
      <alignment/>
      <protection/>
    </xf>
    <xf numFmtId="0" fontId="35" fillId="0" borderId="0" xfId="0" applyFont="1" applyBorder="1" applyAlignment="1">
      <alignment vertical="center"/>
    </xf>
    <xf numFmtId="0" fontId="17" fillId="0" borderId="0" xfId="99" applyFont="1" applyAlignment="1">
      <alignment horizontal="right"/>
      <protection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48" borderId="56" xfId="105" applyFont="1" applyFill="1" applyBorder="1" applyAlignment="1">
      <alignment horizontal="right" wrapText="1" shrinkToFit="1"/>
      <protection/>
    </xf>
    <xf numFmtId="3" fontId="17" fillId="0" borderId="56" xfId="0" applyNumberFormat="1" applyFont="1" applyBorder="1" applyAlignment="1">
      <alignment/>
    </xf>
    <xf numFmtId="3" fontId="17" fillId="0" borderId="56" xfId="0" applyNumberFormat="1" applyFont="1" applyBorder="1" applyAlignment="1">
      <alignment horizontal="right"/>
    </xf>
    <xf numFmtId="3" fontId="17" fillId="0" borderId="56" xfId="99" applyNumberFormat="1" applyFont="1" applyBorder="1">
      <alignment/>
      <protection/>
    </xf>
    <xf numFmtId="0" fontId="17" fillId="0" borderId="55" xfId="0" applyFont="1" applyBorder="1" applyAlignment="1">
      <alignment horizontal="center" vertical="center"/>
    </xf>
    <xf numFmtId="0" fontId="17" fillId="48" borderId="56" xfId="105" applyFont="1" applyFill="1" applyBorder="1" applyAlignment="1">
      <alignment vertical="center" wrapText="1" shrinkToFit="1"/>
      <protection/>
    </xf>
    <xf numFmtId="0" fontId="17" fillId="49" borderId="56" xfId="105" applyFont="1" applyFill="1" applyBorder="1" applyAlignment="1">
      <alignment horizontal="center" vertical="center" wrapText="1" shrinkToFit="1"/>
      <protection/>
    </xf>
    <xf numFmtId="0" fontId="17" fillId="0" borderId="56" xfId="0" applyFont="1" applyBorder="1" applyAlignment="1">
      <alignment horizontal="right" wrapText="1"/>
    </xf>
    <xf numFmtId="0" fontId="17" fillId="49" borderId="56" xfId="0" applyFont="1" applyFill="1" applyBorder="1" applyAlignment="1">
      <alignment horizontal="center" vertical="center" wrapText="1"/>
    </xf>
    <xf numFmtId="0" fontId="17" fillId="0" borderId="56" xfId="99" applyFont="1" applyBorder="1">
      <alignment/>
      <protection/>
    </xf>
    <xf numFmtId="0" fontId="17" fillId="0" borderId="56" xfId="105" applyFont="1" applyBorder="1" applyAlignment="1">
      <alignment horizontal="center" vertical="center" wrapText="1" shrinkToFit="1"/>
      <protection/>
    </xf>
    <xf numFmtId="0" fontId="17" fillId="0" borderId="55" xfId="105" applyFont="1" applyBorder="1" applyAlignment="1">
      <alignment horizontal="center" vertical="center" wrapText="1" shrinkToFit="1"/>
      <protection/>
    </xf>
    <xf numFmtId="3" fontId="101" fillId="0" borderId="56" xfId="99" applyNumberFormat="1" applyFont="1" applyBorder="1">
      <alignment/>
      <protection/>
    </xf>
    <xf numFmtId="0" fontId="101" fillId="0" borderId="0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3" fontId="101" fillId="0" borderId="0" xfId="99" applyNumberFormat="1" applyFont="1" applyBorder="1">
      <alignment/>
      <protection/>
    </xf>
    <xf numFmtId="3" fontId="17" fillId="0" borderId="0" xfId="99" applyNumberFormat="1" applyFont="1" applyBorder="1" applyAlignment="1">
      <alignment horizontal="right"/>
      <protection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99" applyFont="1" applyBorder="1">
      <alignment/>
      <protection/>
    </xf>
    <xf numFmtId="3" fontId="17" fillId="0" borderId="0" xfId="99" applyNumberFormat="1" applyFont="1" applyBorder="1">
      <alignment/>
      <protection/>
    </xf>
    <xf numFmtId="0" fontId="17" fillId="0" borderId="56" xfId="99" applyFont="1" applyBorder="1" applyAlignment="1">
      <alignment horizontal="center" vertical="center" wrapText="1"/>
      <protection/>
    </xf>
    <xf numFmtId="0" fontId="17" fillId="0" borderId="56" xfId="99" applyFont="1" applyBorder="1" applyAlignment="1">
      <alignment horizontal="left" vertical="center" wrapText="1"/>
      <protection/>
    </xf>
    <xf numFmtId="0" fontId="54" fillId="0" borderId="0" xfId="0" applyFont="1" applyAlignment="1">
      <alignment horizontal="right"/>
    </xf>
    <xf numFmtId="0" fontId="39" fillId="0" borderId="70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17" fillId="0" borderId="93" xfId="0" applyFont="1" applyBorder="1" applyAlignment="1">
      <alignment/>
    </xf>
    <xf numFmtId="0" fontId="18" fillId="0" borderId="93" xfId="103" applyFont="1" applyBorder="1" applyAlignment="1">
      <alignment wrapText="1"/>
      <protection/>
    </xf>
    <xf numFmtId="3" fontId="18" fillId="0" borderId="93" xfId="103" applyNumberFormat="1" applyFont="1" applyBorder="1" applyAlignment="1">
      <alignment wrapText="1"/>
      <protection/>
    </xf>
    <xf numFmtId="0" fontId="17" fillId="0" borderId="93" xfId="103" applyFont="1" applyBorder="1">
      <alignment/>
      <protection/>
    </xf>
    <xf numFmtId="0" fontId="17" fillId="0" borderId="93" xfId="103" applyFont="1" applyBorder="1" applyAlignment="1">
      <alignment wrapText="1"/>
      <protection/>
    </xf>
    <xf numFmtId="0" fontId="18" fillId="0" borderId="93" xfId="103" applyFont="1" applyBorder="1">
      <alignment/>
      <protection/>
    </xf>
    <xf numFmtId="3" fontId="98" fillId="0" borderId="93" xfId="103" applyNumberFormat="1" applyFont="1" applyBorder="1">
      <alignment/>
      <protection/>
    </xf>
    <xf numFmtId="3" fontId="98" fillId="0" borderId="93" xfId="0" applyNumberFormat="1" applyFont="1" applyFill="1" applyBorder="1" applyAlignment="1">
      <alignment/>
    </xf>
    <xf numFmtId="0" fontId="103" fillId="0" borderId="0" xfId="0" applyFont="1" applyAlignment="1">
      <alignment/>
    </xf>
    <xf numFmtId="0" fontId="17" fillId="0" borderId="93" xfId="103" applyFont="1" applyFill="1" applyBorder="1" applyAlignment="1">
      <alignment wrapText="1"/>
      <protection/>
    </xf>
    <xf numFmtId="0" fontId="17" fillId="0" borderId="93" xfId="103" applyFont="1" applyFill="1" applyBorder="1">
      <alignment/>
      <protection/>
    </xf>
    <xf numFmtId="0" fontId="155" fillId="0" borderId="0" xfId="0" applyFont="1" applyAlignment="1">
      <alignment/>
    </xf>
    <xf numFmtId="0" fontId="0" fillId="0" borderId="56" xfId="0" applyFont="1" applyBorder="1" applyAlignment="1">
      <alignment wrapText="1"/>
    </xf>
    <xf numFmtId="3" fontId="24" fillId="0" borderId="55" xfId="106" applyNumberFormat="1" applyFont="1" applyFill="1" applyBorder="1" applyAlignment="1" quotePrefix="1">
      <alignment horizontal="center" vertical="center" wrapText="1"/>
      <protection/>
    </xf>
    <xf numFmtId="3" fontId="150" fillId="47" borderId="21" xfId="0" applyNumberFormat="1" applyFont="1" applyFill="1" applyBorder="1" applyAlignment="1">
      <alignment horizontal="right" vertical="center"/>
    </xf>
    <xf numFmtId="3" fontId="17" fillId="0" borderId="55" xfId="0" applyNumberFormat="1" applyFont="1" applyFill="1" applyBorder="1" applyAlignment="1">
      <alignment horizontal="center" vertical="center"/>
    </xf>
    <xf numFmtId="0" fontId="156" fillId="0" borderId="0" xfId="99" applyFont="1">
      <alignment/>
      <protection/>
    </xf>
    <xf numFmtId="3" fontId="149" fillId="0" borderId="56" xfId="99" applyNumberFormat="1" applyFont="1" applyBorder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7" fillId="0" borderId="0" xfId="99" applyNumberFormat="1" applyFont="1">
      <alignment/>
      <protection/>
    </xf>
    <xf numFmtId="0" fontId="0" fillId="0" borderId="0" xfId="0" applyFont="1" applyBorder="1" applyAlignment="1">
      <alignment/>
    </xf>
    <xf numFmtId="0" fontId="157" fillId="0" borderId="0" xfId="0" applyFont="1" applyAlignment="1">
      <alignment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0" fontId="17" fillId="0" borderId="56" xfId="99" applyFont="1" applyBorder="1" applyAlignment="1">
      <alignment horizontal="right"/>
      <protection/>
    </xf>
    <xf numFmtId="3" fontId="17" fillId="0" borderId="56" xfId="106" applyNumberFormat="1" applyFont="1" applyFill="1" applyBorder="1" applyAlignment="1">
      <alignment horizontal="right" vertical="center" wrapText="1"/>
      <protection/>
    </xf>
    <xf numFmtId="3" fontId="17" fillId="0" borderId="175" xfId="106" applyNumberFormat="1" applyFont="1" applyFill="1" applyBorder="1" applyAlignment="1">
      <alignment horizontal="right" vertical="center" wrapText="1"/>
      <protection/>
    </xf>
    <xf numFmtId="0" fontId="17" fillId="0" borderId="56" xfId="105" applyFont="1" applyBorder="1" applyAlignment="1">
      <alignment horizontal="right" wrapText="1" shrinkToFit="1"/>
      <protection/>
    </xf>
    <xf numFmtId="3" fontId="160" fillId="0" borderId="56" xfId="95" applyNumberFormat="1" applyFont="1" applyBorder="1" applyAlignment="1">
      <alignment horizontal="right" vertical="center"/>
      <protection/>
    </xf>
    <xf numFmtId="3" fontId="160" fillId="0" borderId="56" xfId="95" applyNumberFormat="1" applyFont="1" applyBorder="1" applyAlignment="1">
      <alignment horizontal="right" vertical="center" wrapText="1"/>
      <protection/>
    </xf>
    <xf numFmtId="3" fontId="161" fillId="0" borderId="56" xfId="95" applyNumberFormat="1" applyFont="1" applyBorder="1" applyAlignment="1">
      <alignment horizontal="right" vertical="center" wrapText="1"/>
      <protection/>
    </xf>
    <xf numFmtId="3" fontId="160" fillId="0" borderId="56" xfId="95" applyNumberFormat="1" applyFont="1" applyBorder="1" applyAlignment="1" quotePrefix="1">
      <alignment horizontal="right" vertical="center" wrapText="1"/>
      <protection/>
    </xf>
    <xf numFmtId="3" fontId="161" fillId="0" borderId="56" xfId="95" applyNumberFormat="1" applyFont="1" applyBorder="1" applyAlignment="1">
      <alignment horizontal="right" vertical="center"/>
      <protection/>
    </xf>
    <xf numFmtId="3" fontId="160" fillId="0" borderId="56" xfId="95" applyNumberFormat="1" applyFont="1" applyFill="1" applyBorder="1" applyAlignment="1">
      <alignment horizontal="right" vertical="center" wrapText="1"/>
      <protection/>
    </xf>
    <xf numFmtId="3" fontId="162" fillId="0" borderId="56" xfId="95" applyNumberFormat="1" applyFont="1" applyFill="1" applyBorder="1" applyAlignment="1">
      <alignment horizontal="right" vertical="center" wrapText="1"/>
      <protection/>
    </xf>
    <xf numFmtId="3" fontId="160" fillId="48" borderId="56" xfId="95" applyNumberFormat="1" applyFont="1" applyFill="1" applyBorder="1" applyAlignment="1">
      <alignment horizontal="right" vertical="center" wrapText="1"/>
      <protection/>
    </xf>
    <xf numFmtId="3" fontId="161" fillId="48" borderId="56" xfId="95" applyNumberFormat="1" applyFont="1" applyFill="1" applyBorder="1" applyAlignment="1">
      <alignment horizontal="right" vertical="center" wrapText="1"/>
      <protection/>
    </xf>
    <xf numFmtId="3" fontId="161" fillId="0" borderId="56" xfId="95" applyNumberFormat="1" applyFont="1" applyFill="1" applyBorder="1" applyAlignment="1">
      <alignment horizontal="right" vertical="center" wrapText="1"/>
      <protection/>
    </xf>
    <xf numFmtId="3" fontId="160" fillId="0" borderId="0" xfId="95" applyNumberFormat="1" applyFont="1" applyFill="1" applyAlignment="1">
      <alignment horizontal="right"/>
      <protection/>
    </xf>
    <xf numFmtId="3" fontId="160" fillId="0" borderId="0" xfId="95" applyNumberFormat="1" applyFont="1" applyAlignment="1">
      <alignment horizontal="right"/>
      <protection/>
    </xf>
    <xf numFmtId="3" fontId="103" fillId="0" borderId="0" xfId="0" applyNumberFormat="1" applyFont="1" applyFill="1" applyAlignment="1">
      <alignment vertical="center" shrinkToFit="1"/>
    </xf>
    <xf numFmtId="3" fontId="163" fillId="0" borderId="0" xfId="0" applyNumberFormat="1" applyFont="1" applyFill="1" applyAlignment="1">
      <alignment horizontal="justify" shrinkToFit="1"/>
    </xf>
    <xf numFmtId="0" fontId="104" fillId="0" borderId="0" xfId="0" applyFont="1" applyFill="1" applyAlignment="1">
      <alignment horizontal="justify" shrinkToFit="1"/>
    </xf>
    <xf numFmtId="3" fontId="4" fillId="0" borderId="0" xfId="0" applyNumberFormat="1" applyFont="1" applyFill="1" applyAlignment="1">
      <alignment horizontal="center" shrinkToFit="1"/>
    </xf>
    <xf numFmtId="3" fontId="163" fillId="0" borderId="0" xfId="0" applyNumberFormat="1" applyFont="1" applyFill="1" applyAlignment="1">
      <alignment horizontal="center" shrinkToFit="1"/>
    </xf>
    <xf numFmtId="176" fontId="8" fillId="0" borderId="0" xfId="0" applyNumberFormat="1" applyFont="1" applyFill="1" applyAlignment="1">
      <alignment vertical="center"/>
    </xf>
    <xf numFmtId="175" fontId="21" fillId="0" borderId="0" xfId="0" applyNumberFormat="1" applyFont="1" applyFill="1" applyAlignment="1">
      <alignment vertical="center"/>
    </xf>
    <xf numFmtId="0" fontId="17" fillId="0" borderId="175" xfId="0" applyFont="1" applyBorder="1" applyAlignment="1">
      <alignment horizontal="center" vertical="center"/>
    </xf>
    <xf numFmtId="0" fontId="17" fillId="0" borderId="81" xfId="99" applyFont="1" applyBorder="1">
      <alignment/>
      <protection/>
    </xf>
    <xf numFmtId="3" fontId="17" fillId="0" borderId="56" xfId="0" applyNumberFormat="1" applyFont="1" applyBorder="1" applyAlignment="1">
      <alignment horizontal="right" vertical="center" wrapText="1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122" xfId="0" applyNumberFormat="1" applyFont="1" applyFill="1" applyBorder="1" applyAlignment="1">
      <alignment horizontal="center" vertical="center"/>
    </xf>
    <xf numFmtId="3" fontId="12" fillId="0" borderId="76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12" fillId="0" borderId="175" xfId="0" applyNumberFormat="1" applyFont="1" applyFill="1" applyBorder="1" applyAlignment="1">
      <alignment horizontal="center" vertical="center"/>
    </xf>
    <xf numFmtId="3" fontId="18" fillId="47" borderId="55" xfId="0" applyNumberFormat="1" applyFont="1" applyFill="1" applyBorder="1" applyAlignment="1">
      <alignment horizontal="right" vertical="center"/>
    </xf>
    <xf numFmtId="3" fontId="17" fillId="0" borderId="89" xfId="0" applyNumberFormat="1" applyFont="1" applyFill="1" applyBorder="1" applyAlignment="1">
      <alignment horizontal="right" vertical="center"/>
    </xf>
    <xf numFmtId="3" fontId="18" fillId="0" borderId="90" xfId="0" applyNumberFormat="1" applyFont="1" applyFill="1" applyBorder="1" applyAlignment="1">
      <alignment horizontal="right" vertical="center"/>
    </xf>
    <xf numFmtId="0" fontId="18" fillId="0" borderId="93" xfId="0" applyFont="1" applyBorder="1" applyAlignment="1">
      <alignment wrapText="1"/>
    </xf>
    <xf numFmtId="0" fontId="27" fillId="0" borderId="0" xfId="0" applyFont="1" applyAlignment="1">
      <alignment/>
    </xf>
    <xf numFmtId="3" fontId="97" fillId="0" borderId="93" xfId="0" applyNumberFormat="1" applyFont="1" applyBorder="1" applyAlignment="1">
      <alignment/>
    </xf>
    <xf numFmtId="0" fontId="98" fillId="0" borderId="93" xfId="0" applyFont="1" applyBorder="1" applyAlignment="1">
      <alignment horizontal="right"/>
    </xf>
    <xf numFmtId="3" fontId="98" fillId="0" borderId="93" xfId="0" applyNumberFormat="1" applyFont="1" applyBorder="1" applyAlignment="1">
      <alignment/>
    </xf>
    <xf numFmtId="0" fontId="98" fillId="0" borderId="93" xfId="0" applyFont="1" applyBorder="1" applyAlignment="1">
      <alignment/>
    </xf>
    <xf numFmtId="3" fontId="97" fillId="0" borderId="0" xfId="0" applyNumberFormat="1" applyFont="1" applyAlignment="1">
      <alignment/>
    </xf>
    <xf numFmtId="0" fontId="98" fillId="0" borderId="0" xfId="0" applyFont="1" applyAlignment="1">
      <alignment/>
    </xf>
    <xf numFmtId="0" fontId="97" fillId="0" borderId="93" xfId="0" applyFont="1" applyBorder="1" applyAlignment="1">
      <alignment horizontal="right"/>
    </xf>
    <xf numFmtId="3" fontId="98" fillId="0" borderId="93" xfId="91" applyNumberFormat="1" applyFont="1" applyBorder="1" applyAlignment="1">
      <alignment horizontal="center" vertical="center"/>
    </xf>
    <xf numFmtId="3" fontId="53" fillId="0" borderId="0" xfId="0" applyNumberFormat="1" applyFont="1" applyAlignment="1">
      <alignment/>
    </xf>
    <xf numFmtId="3" fontId="53" fillId="0" borderId="141" xfId="0" applyNumberFormat="1" applyFont="1" applyBorder="1" applyAlignment="1">
      <alignment/>
    </xf>
    <xf numFmtId="3" fontId="53" fillId="0" borderId="56" xfId="0" applyNumberFormat="1" applyFont="1" applyBorder="1" applyAlignment="1">
      <alignment/>
    </xf>
    <xf numFmtId="3" fontId="54" fillId="0" borderId="176" xfId="0" applyNumberFormat="1" applyFont="1" applyBorder="1" applyAlignment="1">
      <alignment/>
    </xf>
    <xf numFmtId="3" fontId="53" fillId="0" borderId="79" xfId="0" applyNumberFormat="1" applyFont="1" applyBorder="1" applyAlignment="1">
      <alignment/>
    </xf>
    <xf numFmtId="3" fontId="50" fillId="0" borderId="72" xfId="0" applyNumberFormat="1" applyFont="1" applyBorder="1" applyAlignment="1">
      <alignment vertical="center"/>
    </xf>
    <xf numFmtId="3" fontId="50" fillId="0" borderId="72" xfId="0" applyNumberFormat="1" applyFont="1" applyBorder="1" applyAlignment="1">
      <alignment horizontal="right" vertical="center"/>
    </xf>
    <xf numFmtId="3" fontId="54" fillId="0" borderId="106" xfId="0" applyNumberFormat="1" applyFont="1" applyBorder="1" applyAlignment="1">
      <alignment vertical="center"/>
    </xf>
    <xf numFmtId="3" fontId="50" fillId="0" borderId="51" xfId="0" applyNumberFormat="1" applyFont="1" applyBorder="1" applyAlignment="1">
      <alignment/>
    </xf>
    <xf numFmtId="3" fontId="39" fillId="0" borderId="72" xfId="0" applyNumberFormat="1" applyFont="1" applyBorder="1" applyAlignment="1">
      <alignment/>
    </xf>
    <xf numFmtId="3" fontId="50" fillId="0" borderId="91" xfId="0" applyNumberFormat="1" applyFont="1" applyBorder="1" applyAlignment="1">
      <alignment horizontal="right"/>
    </xf>
    <xf numFmtId="3" fontId="50" fillId="0" borderId="106" xfId="0" applyNumberFormat="1" applyFont="1" applyBorder="1" applyAlignment="1">
      <alignment horizontal="right"/>
    </xf>
    <xf numFmtId="3" fontId="39" fillId="0" borderId="56" xfId="0" applyNumberFormat="1" applyFont="1" applyBorder="1" applyAlignment="1">
      <alignment horizontal="right"/>
    </xf>
    <xf numFmtId="0" fontId="99" fillId="0" borderId="84" xfId="99" applyFont="1" applyBorder="1" applyAlignment="1" quotePrefix="1">
      <alignment horizontal="left" vertical="center"/>
      <protection/>
    </xf>
    <xf numFmtId="0" fontId="99" fillId="0" borderId="110" xfId="99" applyFont="1" applyBorder="1" applyAlignment="1">
      <alignment/>
      <protection/>
    </xf>
    <xf numFmtId="0" fontId="99" fillId="0" borderId="71" xfId="99" applyFont="1" applyBorder="1" applyAlignment="1">
      <alignment horizontal="left"/>
      <protection/>
    </xf>
    <xf numFmtId="0" fontId="99" fillId="0" borderId="106" xfId="99" applyFont="1" applyBorder="1" applyAlignment="1">
      <alignment horizontal="left"/>
      <protection/>
    </xf>
    <xf numFmtId="3" fontId="39" fillId="0" borderId="51" xfId="0" applyNumberFormat="1" applyFont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3" fontId="54" fillId="0" borderId="177" xfId="0" applyNumberFormat="1" applyFont="1" applyBorder="1" applyAlignment="1">
      <alignment vertical="center"/>
    </xf>
    <xf numFmtId="2" fontId="164" fillId="0" borderId="0" xfId="102" applyNumberFormat="1" applyFont="1" applyAlignment="1">
      <alignment vertical="top" wrapText="1"/>
      <protection/>
    </xf>
    <xf numFmtId="0" fontId="165" fillId="0" borderId="0" xfId="102" applyFont="1" applyAlignment="1">
      <alignment horizontal="right"/>
      <protection/>
    </xf>
    <xf numFmtId="2" fontId="17" fillId="0" borderId="20" xfId="0" applyNumberFormat="1" applyFont="1" applyFill="1" applyBorder="1" applyAlignment="1">
      <alignment vertical="center" wrapText="1"/>
    </xf>
    <xf numFmtId="10" fontId="6" fillId="0" borderId="0" xfId="0" applyNumberFormat="1" applyFont="1" applyFill="1" applyAlignment="1">
      <alignment vertical="center" shrinkToFit="1"/>
    </xf>
    <xf numFmtId="0" fontId="0" fillId="0" borderId="56" xfId="0" applyFont="1" applyBorder="1" applyAlignment="1">
      <alignment horizontal="left" wrapText="1"/>
    </xf>
    <xf numFmtId="3" fontId="166" fillId="0" borderId="19" xfId="102" applyNumberFormat="1" applyFont="1" applyBorder="1" applyAlignment="1">
      <alignment horizontal="right"/>
      <protection/>
    </xf>
    <xf numFmtId="3" fontId="166" fillId="0" borderId="130" xfId="102" applyNumberFormat="1" applyFont="1" applyBorder="1" applyAlignment="1">
      <alignment horizontal="right"/>
      <protection/>
    </xf>
    <xf numFmtId="3" fontId="167" fillId="0" borderId="102" xfId="102" applyNumberFormat="1" applyFont="1" applyBorder="1" applyAlignment="1" quotePrefix="1">
      <alignment horizontal="right"/>
      <protection/>
    </xf>
    <xf numFmtId="3" fontId="167" fillId="0" borderId="119" xfId="102" applyNumberFormat="1" applyFont="1" applyBorder="1" applyAlignment="1">
      <alignment horizontal="right"/>
      <protection/>
    </xf>
    <xf numFmtId="0" fontId="168" fillId="0" borderId="159" xfId="102" applyFont="1" applyBorder="1" applyAlignment="1">
      <alignment horizontal="center"/>
      <protection/>
    </xf>
    <xf numFmtId="0" fontId="168" fillId="0" borderId="19" xfId="102" applyFont="1" applyBorder="1" applyAlignment="1">
      <alignment wrapText="1"/>
      <protection/>
    </xf>
    <xf numFmtId="3" fontId="166" fillId="0" borderId="19" xfId="102" applyNumberFormat="1" applyFont="1" applyBorder="1" applyAlignment="1" quotePrefix="1">
      <alignment horizontal="right"/>
      <protection/>
    </xf>
    <xf numFmtId="3" fontId="166" fillId="0" borderId="130" xfId="102" applyNumberFormat="1" applyFont="1" applyBorder="1" applyAlignment="1" quotePrefix="1">
      <alignment horizontal="right"/>
      <protection/>
    </xf>
    <xf numFmtId="0" fontId="166" fillId="0" borderId="159" xfId="102" applyFont="1" applyBorder="1" applyAlignment="1">
      <alignment horizontal="center"/>
      <protection/>
    </xf>
    <xf numFmtId="0" fontId="166" fillId="0" borderId="19" xfId="102" applyFont="1" applyBorder="1" applyAlignment="1">
      <alignment wrapText="1"/>
      <protection/>
    </xf>
    <xf numFmtId="3" fontId="168" fillId="0" borderId="19" xfId="102" applyNumberFormat="1" applyFont="1" applyBorder="1" applyAlignment="1" quotePrefix="1">
      <alignment horizontal="right"/>
      <protection/>
    </xf>
    <xf numFmtId="3" fontId="168" fillId="0" borderId="130" xfId="102" applyNumberFormat="1" applyFont="1" applyBorder="1" applyAlignment="1" quotePrefix="1">
      <alignment horizontal="right"/>
      <protection/>
    </xf>
    <xf numFmtId="164" fontId="166" fillId="0" borderId="19" xfId="102" applyNumberFormat="1" applyFont="1" applyBorder="1" applyAlignment="1" quotePrefix="1">
      <alignment horizontal="right"/>
      <protection/>
    </xf>
    <xf numFmtId="0" fontId="169" fillId="0" borderId="171" xfId="102" applyFont="1" applyBorder="1" applyAlignment="1">
      <alignment horizontal="center"/>
      <protection/>
    </xf>
    <xf numFmtId="0" fontId="168" fillId="0" borderId="102" xfId="102" applyFont="1" applyBorder="1" applyAlignment="1">
      <alignment wrapText="1"/>
      <protection/>
    </xf>
    <xf numFmtId="3" fontId="167" fillId="0" borderId="119" xfId="102" applyNumberFormat="1" applyFont="1" applyBorder="1" applyAlignment="1" quotePrefix="1">
      <alignment horizontal="right"/>
      <protection/>
    </xf>
    <xf numFmtId="3" fontId="167" fillId="0" borderId="72" xfId="102" applyNumberFormat="1" applyFont="1" applyBorder="1" applyAlignment="1">
      <alignment horizontal="right"/>
      <protection/>
    </xf>
    <xf numFmtId="3" fontId="167" fillId="0" borderId="106" xfId="102" applyNumberFormat="1" applyFont="1" applyBorder="1" applyAlignment="1">
      <alignment horizontal="right"/>
      <protection/>
    </xf>
    <xf numFmtId="0" fontId="170" fillId="0" borderId="0" xfId="102" applyFont="1">
      <alignment/>
      <protection/>
    </xf>
    <xf numFmtId="0" fontId="171" fillId="0" borderId="0" xfId="102" applyFont="1">
      <alignment/>
      <protection/>
    </xf>
    <xf numFmtId="0" fontId="171" fillId="0" borderId="0" xfId="102" applyFont="1" applyAlignment="1">
      <alignment horizontal="right"/>
      <protection/>
    </xf>
    <xf numFmtId="4" fontId="8" fillId="0" borderId="0" xfId="0" applyNumberFormat="1" applyFont="1" applyFill="1" applyAlignment="1">
      <alignment vertical="center"/>
    </xf>
    <xf numFmtId="0" fontId="19" fillId="0" borderId="178" xfId="0" applyFont="1" applyFill="1" applyBorder="1" applyAlignment="1">
      <alignment horizontal="center" shrinkToFit="1"/>
    </xf>
    <xf numFmtId="0" fontId="19" fillId="0" borderId="174" xfId="0" applyFont="1" applyFill="1" applyBorder="1" applyAlignment="1">
      <alignment horizontal="center" shrinkToFit="1"/>
    </xf>
    <xf numFmtId="0" fontId="19" fillId="0" borderId="94" xfId="0" applyFont="1" applyFill="1" applyBorder="1" applyAlignment="1">
      <alignment horizontal="center" shrinkToFit="1"/>
    </xf>
    <xf numFmtId="0" fontId="19" fillId="0" borderId="179" xfId="0" applyFont="1" applyFill="1" applyBorder="1" applyAlignment="1">
      <alignment horizontal="left" vertical="center"/>
    </xf>
    <xf numFmtId="0" fontId="19" fillId="0" borderId="180" xfId="0" applyFont="1" applyFill="1" applyBorder="1" applyAlignment="1">
      <alignment horizontal="left" vertical="center"/>
    </xf>
    <xf numFmtId="0" fontId="19" fillId="0" borderId="181" xfId="0" applyFont="1" applyFill="1" applyBorder="1" applyAlignment="1">
      <alignment horizontal="left" vertical="center" shrinkToFit="1"/>
    </xf>
    <xf numFmtId="0" fontId="19" fillId="0" borderId="155" xfId="0" applyFont="1" applyFill="1" applyBorder="1" applyAlignment="1">
      <alignment horizontal="left" vertical="center" shrinkToFit="1"/>
    </xf>
    <xf numFmtId="3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horizontal="center" vertical="center" shrinkToFit="1"/>
    </xf>
    <xf numFmtId="3" fontId="45" fillId="0" borderId="0" xfId="0" applyNumberFormat="1" applyFont="1" applyFill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2" fontId="18" fillId="0" borderId="179" xfId="0" applyNumberFormat="1" applyFont="1" applyFill="1" applyBorder="1" applyAlignment="1">
      <alignment horizontal="center" shrinkToFit="1"/>
    </xf>
    <xf numFmtId="2" fontId="18" fillId="0" borderId="182" xfId="0" applyNumberFormat="1" applyFont="1" applyFill="1" applyBorder="1" applyAlignment="1">
      <alignment horizontal="center" shrinkToFit="1"/>
    </xf>
    <xf numFmtId="2" fontId="18" fillId="0" borderId="181" xfId="0" applyNumberFormat="1" applyFont="1" applyFill="1" applyBorder="1" applyAlignment="1">
      <alignment horizontal="center" vertical="center" shrinkToFit="1"/>
    </xf>
    <xf numFmtId="2" fontId="18" fillId="0" borderId="97" xfId="0" applyNumberFormat="1" applyFont="1" applyFill="1" applyBorder="1" applyAlignment="1">
      <alignment horizontal="center" vertical="center" shrinkToFit="1"/>
    </xf>
    <xf numFmtId="2" fontId="18" fillId="0" borderId="179" xfId="0" applyNumberFormat="1" applyFont="1" applyFill="1" applyBorder="1" applyAlignment="1">
      <alignment horizontal="center" vertical="center" shrinkToFit="1"/>
    </xf>
    <xf numFmtId="2" fontId="18" fillId="0" borderId="182" xfId="0" applyNumberFormat="1" applyFont="1" applyFill="1" applyBorder="1" applyAlignment="1">
      <alignment horizontal="center" vertical="center" shrinkToFit="1"/>
    </xf>
    <xf numFmtId="0" fontId="18" fillId="0" borderId="179" xfId="0" applyFont="1" applyFill="1" applyBorder="1" applyAlignment="1">
      <alignment horizontal="center" vertical="center" shrinkToFit="1"/>
    </xf>
    <xf numFmtId="0" fontId="18" fillId="0" borderId="182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47" borderId="178" xfId="0" applyFont="1" applyFill="1" applyBorder="1" applyAlignment="1">
      <alignment horizontal="center" vertical="center" shrinkToFit="1"/>
    </xf>
    <xf numFmtId="0" fontId="18" fillId="47" borderId="174" xfId="0" applyFont="1" applyFill="1" applyBorder="1" applyAlignment="1">
      <alignment horizontal="center" vertical="center" shrinkToFit="1"/>
    </xf>
    <xf numFmtId="0" fontId="18" fillId="47" borderId="94" xfId="0" applyFont="1" applyFill="1" applyBorder="1" applyAlignment="1">
      <alignment horizontal="center" vertical="center" shrinkToFit="1"/>
    </xf>
    <xf numFmtId="2" fontId="17" fillId="0" borderId="128" xfId="0" applyNumberFormat="1" applyFont="1" applyFill="1" applyBorder="1" applyAlignment="1">
      <alignment horizontal="left" vertical="top" wrapText="1"/>
    </xf>
    <xf numFmtId="2" fontId="17" fillId="0" borderId="122" xfId="0" applyNumberFormat="1" applyFont="1" applyFill="1" applyBorder="1" applyAlignment="1">
      <alignment horizontal="left" vertical="top" wrapText="1"/>
    </xf>
    <xf numFmtId="2" fontId="17" fillId="0" borderId="35" xfId="0" applyNumberFormat="1" applyFont="1" applyFill="1" applyBorder="1" applyAlignment="1">
      <alignment horizontal="left" vertical="top" wrapText="1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132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2" fillId="43" borderId="178" xfId="0" applyNumberFormat="1" applyFont="1" applyFill="1" applyBorder="1" applyAlignment="1">
      <alignment horizontal="center" vertical="center"/>
    </xf>
    <xf numFmtId="3" fontId="12" fillId="43" borderId="174" xfId="0" applyNumberFormat="1" applyFont="1" applyFill="1" applyBorder="1" applyAlignment="1">
      <alignment horizontal="center" vertical="center"/>
    </xf>
    <xf numFmtId="3" fontId="12" fillId="43" borderId="94" xfId="0" applyNumberFormat="1" applyFont="1" applyFill="1" applyBorder="1" applyAlignment="1">
      <alignment horizontal="center" vertical="center"/>
    </xf>
    <xf numFmtId="0" fontId="18" fillId="0" borderId="183" xfId="0" applyFont="1" applyBorder="1" applyAlignment="1">
      <alignment horizontal="center" vertical="center" wrapText="1"/>
    </xf>
    <xf numFmtId="0" fontId="18" fillId="0" borderId="184" xfId="0" applyFont="1" applyBorder="1" applyAlignment="1">
      <alignment horizontal="center" vertical="center" wrapText="1"/>
    </xf>
    <xf numFmtId="0" fontId="18" fillId="0" borderId="185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17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86" xfId="0" applyFont="1" applyBorder="1" applyAlignment="1">
      <alignment horizontal="center" vertical="center" wrapText="1"/>
    </xf>
    <xf numFmtId="3" fontId="24" fillId="0" borderId="29" xfId="106" applyNumberFormat="1" applyFont="1" applyFill="1" applyBorder="1" applyAlignment="1" quotePrefix="1">
      <alignment horizontal="center" vertical="center"/>
      <protection/>
    </xf>
    <xf numFmtId="3" fontId="24" fillId="0" borderId="0" xfId="106" applyNumberFormat="1" applyFont="1" applyFill="1" applyBorder="1" applyAlignment="1" quotePrefix="1">
      <alignment horizontal="center" vertical="center"/>
      <protection/>
    </xf>
    <xf numFmtId="3" fontId="24" fillId="0" borderId="46" xfId="106" applyNumberFormat="1" applyFont="1" applyFill="1" applyBorder="1" applyAlignment="1" quotePrefix="1">
      <alignment horizontal="center" vertical="center"/>
      <protection/>
    </xf>
    <xf numFmtId="3" fontId="18" fillId="0" borderId="179" xfId="0" applyNumberFormat="1" applyFont="1" applyFill="1" applyBorder="1" applyAlignment="1">
      <alignment horizontal="center" vertical="center"/>
    </xf>
    <xf numFmtId="3" fontId="18" fillId="0" borderId="173" xfId="0" applyNumberFormat="1" applyFont="1" applyFill="1" applyBorder="1" applyAlignment="1">
      <alignment horizontal="center" vertical="center"/>
    </xf>
    <xf numFmtId="3" fontId="18" fillId="0" borderId="182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Fill="1" applyBorder="1" applyAlignment="1" quotePrefix="1">
      <alignment horizontal="center" vertical="center"/>
    </xf>
    <xf numFmtId="3" fontId="24" fillId="0" borderId="122" xfId="0" applyNumberFormat="1" applyFont="1" applyFill="1" applyBorder="1" applyAlignment="1" quotePrefix="1">
      <alignment horizontal="center" vertical="center"/>
    </xf>
    <xf numFmtId="3" fontId="24" fillId="0" borderId="143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99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2" fillId="0" borderId="178" xfId="0" applyNumberFormat="1" applyFont="1" applyFill="1" applyBorder="1" applyAlignment="1">
      <alignment horizontal="center" vertical="center"/>
    </xf>
    <xf numFmtId="3" fontId="12" fillId="0" borderId="174" xfId="0" applyNumberFormat="1" applyFont="1" applyFill="1" applyBorder="1" applyAlignment="1">
      <alignment horizontal="center" vertical="center"/>
    </xf>
    <xf numFmtId="3" fontId="12" fillId="0" borderId="101" xfId="0" applyNumberFormat="1" applyFont="1" applyFill="1" applyBorder="1" applyAlignment="1">
      <alignment horizontal="center" vertical="center"/>
    </xf>
    <xf numFmtId="3" fontId="12" fillId="0" borderId="123" xfId="0" applyNumberFormat="1" applyFont="1" applyFill="1" applyBorder="1" applyAlignment="1">
      <alignment horizontal="center" vertical="center"/>
    </xf>
    <xf numFmtId="3" fontId="12" fillId="0" borderId="132" xfId="0" applyNumberFormat="1" applyFont="1" applyFill="1" applyBorder="1" applyAlignment="1">
      <alignment horizontal="center" vertical="center"/>
    </xf>
    <xf numFmtId="3" fontId="12" fillId="0" borderId="143" xfId="0" applyNumberFormat="1" applyFont="1" applyFill="1" applyBorder="1" applyAlignment="1">
      <alignment horizontal="center" vertical="center"/>
    </xf>
    <xf numFmtId="3" fontId="12" fillId="0" borderId="9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left" vertical="center" wrapText="1"/>
    </xf>
    <xf numFmtId="3" fontId="11" fillId="0" borderId="143" xfId="0" applyNumberFormat="1" applyFont="1" applyFill="1" applyBorder="1" applyAlignment="1">
      <alignment horizontal="left" vertical="center" wrapText="1"/>
    </xf>
    <xf numFmtId="3" fontId="11" fillId="0" borderId="99" xfId="0" applyNumberFormat="1" applyFont="1" applyFill="1" applyBorder="1" applyAlignment="1">
      <alignment horizontal="left" vertical="center" wrapText="1"/>
    </xf>
    <xf numFmtId="3" fontId="12" fillId="0" borderId="126" xfId="0" applyNumberFormat="1" applyFont="1" applyFill="1" applyBorder="1" applyAlignment="1">
      <alignment horizontal="center" vertical="center"/>
    </xf>
    <xf numFmtId="3" fontId="22" fillId="0" borderId="124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2" fillId="0" borderId="144" xfId="0" applyNumberFormat="1" applyFont="1" applyFill="1" applyBorder="1" applyAlignment="1">
      <alignment horizontal="left" vertical="center"/>
    </xf>
    <xf numFmtId="3" fontId="12" fillId="0" borderId="143" xfId="0" applyNumberFormat="1" applyFont="1" applyFill="1" applyBorder="1" applyAlignment="1">
      <alignment horizontal="left" vertical="center"/>
    </xf>
    <xf numFmtId="3" fontId="12" fillId="0" borderId="99" xfId="0" applyNumberFormat="1" applyFont="1" applyFill="1" applyBorder="1" applyAlignment="1">
      <alignment horizontal="left" vertical="center"/>
    </xf>
    <xf numFmtId="3" fontId="12" fillId="0" borderId="123" xfId="0" applyNumberFormat="1" applyFont="1" applyFill="1" applyBorder="1" applyAlignment="1">
      <alignment horizontal="left" vertical="center"/>
    </xf>
    <xf numFmtId="3" fontId="12" fillId="0" borderId="132" xfId="0" applyNumberFormat="1" applyFont="1" applyFill="1" applyBorder="1" applyAlignment="1">
      <alignment horizontal="left" vertical="center"/>
    </xf>
    <xf numFmtId="3" fontId="12" fillId="0" borderId="124" xfId="0" applyNumberFormat="1" applyFont="1" applyFill="1" applyBorder="1" applyAlignment="1">
      <alignment horizontal="left" vertical="center"/>
    </xf>
    <xf numFmtId="3" fontId="17" fillId="0" borderId="44" xfId="107" applyNumberFormat="1" applyFont="1" applyFill="1" applyBorder="1" applyAlignment="1" quotePrefix="1">
      <alignment horizontal="left" vertical="center" wrapText="1"/>
      <protection/>
    </xf>
    <xf numFmtId="3" fontId="17" fillId="0" borderId="99" xfId="107" applyNumberFormat="1" applyFont="1" applyFill="1" applyBorder="1" applyAlignment="1">
      <alignment horizontal="left" vertical="center" wrapText="1"/>
      <protection/>
    </xf>
    <xf numFmtId="3" fontId="24" fillId="0" borderId="129" xfId="0" applyNumberFormat="1" applyFont="1" applyFill="1" applyBorder="1" applyAlignment="1">
      <alignment horizontal="left" vertical="center"/>
    </xf>
    <xf numFmtId="3" fontId="24" fillId="0" borderId="132" xfId="0" applyNumberFormat="1" applyFont="1" applyFill="1" applyBorder="1" applyAlignment="1">
      <alignment horizontal="left" vertical="center"/>
    </xf>
    <xf numFmtId="3" fontId="24" fillId="0" borderId="124" xfId="0" applyNumberFormat="1" applyFont="1" applyFill="1" applyBorder="1" applyAlignment="1">
      <alignment horizontal="left" vertical="center"/>
    </xf>
    <xf numFmtId="3" fontId="18" fillId="0" borderId="123" xfId="0" applyNumberFormat="1" applyFont="1" applyFill="1" applyBorder="1" applyAlignment="1">
      <alignment horizontal="center" vertical="center"/>
    </xf>
    <xf numFmtId="3" fontId="18" fillId="0" borderId="132" xfId="0" applyNumberFormat="1" applyFont="1" applyFill="1" applyBorder="1" applyAlignment="1">
      <alignment horizontal="center" vertical="center"/>
    </xf>
    <xf numFmtId="3" fontId="18" fillId="0" borderId="99" xfId="0" applyNumberFormat="1" applyFont="1" applyFill="1" applyBorder="1" applyAlignment="1">
      <alignment horizontal="center" vertical="center"/>
    </xf>
    <xf numFmtId="3" fontId="18" fillId="0" borderId="95" xfId="0" applyNumberFormat="1" applyFont="1" applyFill="1" applyBorder="1" applyAlignment="1">
      <alignment horizontal="center" vertical="center" wrapText="1"/>
    </xf>
    <xf numFmtId="3" fontId="18" fillId="0" borderId="10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42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23" xfId="0" applyNumberFormat="1" applyFont="1" applyFill="1" applyBorder="1" applyAlignment="1">
      <alignment horizontal="left" vertical="center"/>
    </xf>
    <xf numFmtId="3" fontId="18" fillId="0" borderId="132" xfId="0" applyNumberFormat="1" applyFont="1" applyFill="1" applyBorder="1" applyAlignment="1">
      <alignment horizontal="left" vertical="center"/>
    </xf>
    <xf numFmtId="3" fontId="18" fillId="0" borderId="143" xfId="0" applyNumberFormat="1" applyFont="1" applyFill="1" applyBorder="1" applyAlignment="1">
      <alignment horizontal="left" vertical="center"/>
    </xf>
    <xf numFmtId="3" fontId="18" fillId="0" borderId="99" xfId="0" applyNumberFormat="1" applyFont="1" applyFill="1" applyBorder="1" applyAlignment="1">
      <alignment horizontal="left" vertical="center"/>
    </xf>
    <xf numFmtId="3" fontId="24" fillId="0" borderId="19" xfId="0" applyNumberFormat="1" applyFont="1" applyFill="1" applyBorder="1" applyAlignment="1">
      <alignment horizontal="left" vertical="center"/>
    </xf>
    <xf numFmtId="3" fontId="12" fillId="0" borderId="84" xfId="0" applyNumberFormat="1" applyFont="1" applyFill="1" applyBorder="1" applyAlignment="1">
      <alignment horizontal="center" vertical="center"/>
    </xf>
    <xf numFmtId="3" fontId="12" fillId="0" borderId="85" xfId="0" applyNumberFormat="1" applyFont="1" applyFill="1" applyBorder="1" applyAlignment="1">
      <alignment horizontal="center" vertical="center"/>
    </xf>
    <xf numFmtId="3" fontId="12" fillId="0" borderId="187" xfId="0" applyNumberFormat="1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 vertical="center" wrapText="1"/>
    </xf>
    <xf numFmtId="3" fontId="17" fillId="0" borderId="99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horizontal="right" vertical="top"/>
    </xf>
    <xf numFmtId="3" fontId="11" fillId="0" borderId="22" xfId="0" applyNumberFormat="1" applyFont="1" applyFill="1" applyBorder="1" applyAlignment="1">
      <alignment horizontal="center" vertical="center" textRotation="1"/>
    </xf>
    <xf numFmtId="0" fontId="0" fillId="0" borderId="23" xfId="0" applyFont="1" applyBorder="1" applyAlignment="1">
      <alignment horizontal="center" vertical="center" textRotation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2" fillId="0" borderId="125" xfId="0" applyNumberFormat="1" applyFont="1" applyFill="1" applyBorder="1" applyAlignment="1">
      <alignment horizontal="center" vertical="center"/>
    </xf>
    <xf numFmtId="3" fontId="12" fillId="0" borderId="122" xfId="0" applyNumberFormat="1" applyFont="1" applyFill="1" applyBorder="1" applyAlignment="1">
      <alignment horizontal="center" vertical="center"/>
    </xf>
    <xf numFmtId="3" fontId="12" fillId="0" borderId="126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8" fillId="0" borderId="84" xfId="0" applyNumberFormat="1" applyFont="1" applyFill="1" applyBorder="1" applyAlignment="1">
      <alignment horizontal="center" vertical="center"/>
    </xf>
    <xf numFmtId="3" fontId="18" fillId="0" borderId="85" xfId="0" applyNumberFormat="1" applyFont="1" applyFill="1" applyBorder="1" applyAlignment="1">
      <alignment horizontal="center" vertical="center"/>
    </xf>
    <xf numFmtId="3" fontId="18" fillId="0" borderId="187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horizontal="left" vertical="center"/>
    </xf>
    <xf numFmtId="0" fontId="17" fillId="0" borderId="44" xfId="0" applyFont="1" applyBorder="1" applyAlignment="1">
      <alignment horizontal="left" vertical="center" wrapText="1"/>
    </xf>
    <xf numFmtId="0" fontId="17" fillId="0" borderId="143" xfId="0" applyFont="1" applyBorder="1" applyAlignment="1">
      <alignment horizontal="left" vertical="center" wrapText="1"/>
    </xf>
    <xf numFmtId="0" fontId="17" fillId="0" borderId="99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120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 quotePrefix="1">
      <alignment horizontal="center" vertical="center" wrapText="1"/>
    </xf>
    <xf numFmtId="0" fontId="18" fillId="0" borderId="21" xfId="0" applyFont="1" applyBorder="1" applyAlignment="1" quotePrefix="1">
      <alignment horizontal="center" vertical="center" wrapText="1"/>
    </xf>
    <xf numFmtId="0" fontId="18" fillId="0" borderId="23" xfId="0" applyFont="1" applyBorder="1" applyAlignment="1" quotePrefix="1">
      <alignment horizontal="center" vertical="center" wrapText="1"/>
    </xf>
    <xf numFmtId="0" fontId="17" fillId="0" borderId="188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99" xfId="0" applyFont="1" applyBorder="1" applyAlignment="1">
      <alignment horizontal="left" vertical="center" wrapText="1"/>
    </xf>
    <xf numFmtId="1" fontId="16" fillId="0" borderId="22" xfId="106" applyNumberFormat="1" applyFont="1" applyFill="1" applyBorder="1" applyAlignment="1">
      <alignment horizontal="center" vertical="center" wrapText="1"/>
      <protection/>
    </xf>
    <xf numFmtId="1" fontId="16" fillId="0" borderId="21" xfId="106" applyNumberFormat="1" applyFont="1" applyFill="1" applyBorder="1" applyAlignment="1">
      <alignment horizontal="center" vertical="center" wrapText="1"/>
      <protection/>
    </xf>
    <xf numFmtId="1" fontId="16" fillId="0" borderId="23" xfId="106" applyNumberFormat="1" applyFont="1" applyFill="1" applyBorder="1" applyAlignment="1">
      <alignment horizontal="center" vertical="center" wrapText="1"/>
      <protection/>
    </xf>
    <xf numFmtId="0" fontId="18" fillId="0" borderId="189" xfId="0" applyFont="1" applyBorder="1" applyAlignment="1">
      <alignment horizontal="center" vertical="center" wrapText="1"/>
    </xf>
    <xf numFmtId="0" fontId="18" fillId="0" borderId="19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41" xfId="0" applyFont="1" applyBorder="1" applyAlignment="1">
      <alignment horizontal="center" vertical="center" wrapText="1"/>
    </xf>
    <xf numFmtId="3" fontId="32" fillId="0" borderId="77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 quotePrefix="1">
      <alignment horizontal="left" vertical="top" wrapText="1" indent="1"/>
      <protection/>
    </xf>
    <xf numFmtId="3" fontId="17" fillId="0" borderId="69" xfId="106" applyNumberFormat="1" applyFont="1" applyFill="1" applyBorder="1" applyAlignment="1" quotePrefix="1">
      <alignment horizontal="left" vertical="top" wrapText="1" indent="1"/>
      <protection/>
    </xf>
    <xf numFmtId="3" fontId="17" fillId="0" borderId="81" xfId="106" applyNumberFormat="1" applyFont="1" applyFill="1" applyBorder="1" applyAlignment="1" quotePrefix="1">
      <alignment horizontal="left" vertical="top" wrapText="1" indent="1"/>
      <protection/>
    </xf>
    <xf numFmtId="3" fontId="17" fillId="0" borderId="79" xfId="106" applyNumberFormat="1" applyFont="1" applyFill="1" applyBorder="1" applyAlignment="1">
      <alignment horizontal="left" vertical="center" wrapText="1" indent="1"/>
      <protection/>
    </xf>
    <xf numFmtId="3" fontId="17" fillId="0" borderId="69" xfId="106" applyNumberFormat="1" applyFont="1" applyFill="1" applyBorder="1" applyAlignment="1">
      <alignment horizontal="left" vertical="center" wrapText="1" indent="1"/>
      <protection/>
    </xf>
    <xf numFmtId="3" fontId="17" fillId="0" borderId="81" xfId="106" applyNumberFormat="1" applyFont="1" applyFill="1" applyBorder="1" applyAlignment="1">
      <alignment horizontal="left" vertical="center" wrapText="1" indent="1"/>
      <protection/>
    </xf>
    <xf numFmtId="3" fontId="17" fillId="0" borderId="79" xfId="106" applyNumberFormat="1" applyFont="1" applyFill="1" applyBorder="1" applyAlignment="1">
      <alignment horizontal="left" vertical="center" indent="1" shrinkToFit="1"/>
      <protection/>
    </xf>
    <xf numFmtId="3" fontId="17" fillId="0" borderId="69" xfId="106" applyNumberFormat="1" applyFont="1" applyFill="1" applyBorder="1" applyAlignment="1">
      <alignment horizontal="left" vertical="center" indent="1" shrinkToFit="1"/>
      <protection/>
    </xf>
    <xf numFmtId="3" fontId="17" fillId="0" borderId="81" xfId="106" applyNumberFormat="1" applyFont="1" applyFill="1" applyBorder="1" applyAlignment="1">
      <alignment horizontal="left" vertical="center" indent="1" shrinkToFit="1"/>
      <protection/>
    </xf>
    <xf numFmtId="3" fontId="17" fillId="0" borderId="79" xfId="106" applyNumberFormat="1" applyFont="1" applyFill="1" applyBorder="1" applyAlignment="1">
      <alignment horizontal="left" vertical="center" indent="1"/>
      <protection/>
    </xf>
    <xf numFmtId="3" fontId="17" fillId="0" borderId="81" xfId="106" applyNumberFormat="1" applyFont="1" applyFill="1" applyBorder="1" applyAlignment="1">
      <alignment horizontal="left" vertical="center" indent="1"/>
      <protection/>
    </xf>
    <xf numFmtId="3" fontId="17" fillId="0" borderId="79" xfId="106" applyNumberFormat="1" applyFont="1" applyFill="1" applyBorder="1" applyAlignment="1">
      <alignment horizontal="left" vertical="center" wrapText="1"/>
      <protection/>
    </xf>
    <xf numFmtId="3" fontId="17" fillId="0" borderId="69" xfId="106" applyNumberFormat="1" applyFont="1" applyFill="1" applyBorder="1" applyAlignment="1">
      <alignment horizontal="left" vertical="center" wrapText="1"/>
      <protection/>
    </xf>
    <xf numFmtId="3" fontId="17" fillId="0" borderId="81" xfId="106" applyNumberFormat="1" applyFont="1" applyFill="1" applyBorder="1" applyAlignment="1">
      <alignment horizontal="left" vertical="center" wrapText="1"/>
      <protection/>
    </xf>
    <xf numFmtId="3" fontId="17" fillId="0" borderId="79" xfId="106" applyNumberFormat="1" applyFont="1" applyFill="1" applyBorder="1" applyAlignment="1">
      <alignment horizontal="left" vertical="top" wrapText="1" indent="1"/>
      <protection/>
    </xf>
    <xf numFmtId="3" fontId="17" fillId="0" borderId="69" xfId="106" applyNumberFormat="1" applyFont="1" applyFill="1" applyBorder="1" applyAlignment="1">
      <alignment horizontal="left" vertical="top" wrapText="1" indent="1"/>
      <protection/>
    </xf>
    <xf numFmtId="3" fontId="17" fillId="0" borderId="81" xfId="106" applyNumberFormat="1" applyFont="1" applyFill="1" applyBorder="1" applyAlignment="1">
      <alignment horizontal="left" vertical="top" wrapText="1" indent="1"/>
      <protection/>
    </xf>
    <xf numFmtId="3" fontId="18" fillId="0" borderId="26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center" vertical="center"/>
      <protection/>
    </xf>
    <xf numFmtId="3" fontId="18" fillId="0" borderId="27" xfId="106" applyNumberFormat="1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horizontal="left" indent="1"/>
    </xf>
    <xf numFmtId="0" fontId="0" fillId="0" borderId="81" xfId="0" applyFont="1" applyBorder="1" applyAlignment="1">
      <alignment horizontal="left" indent="1"/>
    </xf>
    <xf numFmtId="3" fontId="16" fillId="0" borderId="51" xfId="106" applyNumberFormat="1" applyFont="1" applyFill="1" applyBorder="1" applyAlignment="1">
      <alignment horizontal="center" vertical="center" wrapText="1"/>
      <protection/>
    </xf>
    <xf numFmtId="3" fontId="16" fillId="0" borderId="23" xfId="106" applyNumberFormat="1" applyFont="1" applyFill="1" applyBorder="1" applyAlignment="1">
      <alignment horizontal="center" vertical="center" wrapText="1"/>
      <protection/>
    </xf>
    <xf numFmtId="3" fontId="18" fillId="0" borderId="191" xfId="106" applyNumberFormat="1" applyFont="1" applyFill="1" applyBorder="1" applyAlignment="1">
      <alignment horizontal="center" vertical="center"/>
      <protection/>
    </xf>
    <xf numFmtId="3" fontId="18" fillId="0" borderId="192" xfId="106" applyNumberFormat="1" applyFont="1" applyFill="1" applyBorder="1" applyAlignment="1">
      <alignment horizontal="center" vertical="center"/>
      <protection/>
    </xf>
    <xf numFmtId="3" fontId="18" fillId="0" borderId="193" xfId="106" applyNumberFormat="1" applyFont="1" applyFill="1" applyBorder="1" applyAlignment="1">
      <alignment horizontal="center" vertical="center"/>
      <protection/>
    </xf>
    <xf numFmtId="3" fontId="16" fillId="0" borderId="120" xfId="106" applyNumberFormat="1" applyFont="1" applyFill="1" applyBorder="1" applyAlignment="1">
      <alignment horizontal="center" vertical="center" wrapText="1"/>
      <protection/>
    </xf>
    <xf numFmtId="3" fontId="16" fillId="0" borderId="67" xfId="106" applyNumberFormat="1" applyFont="1" applyFill="1" applyBorder="1" applyAlignment="1">
      <alignment horizontal="center" vertical="center" wrapText="1"/>
      <protection/>
    </xf>
    <xf numFmtId="3" fontId="16" fillId="0" borderId="27" xfId="106" applyNumberFormat="1" applyFont="1" applyFill="1" applyBorder="1" applyAlignment="1">
      <alignment horizontal="center" vertical="center" wrapText="1"/>
      <protection/>
    </xf>
    <xf numFmtId="3" fontId="15" fillId="0" borderId="23" xfId="0" applyNumberFormat="1" applyFont="1" applyBorder="1" applyAlignment="1">
      <alignment horizontal="center" vertical="center"/>
    </xf>
    <xf numFmtId="3" fontId="17" fillId="0" borderId="79" xfId="106" applyNumberFormat="1" applyFont="1" applyFill="1" applyBorder="1" applyAlignment="1" quotePrefix="1">
      <alignment horizontal="left" vertical="center" wrapText="1" indent="1"/>
      <protection/>
    </xf>
    <xf numFmtId="3" fontId="17" fillId="0" borderId="69" xfId="106" applyNumberFormat="1" applyFont="1" applyFill="1" applyBorder="1" applyAlignment="1" quotePrefix="1">
      <alignment horizontal="left" vertical="center" wrapText="1" indent="1"/>
      <protection/>
    </xf>
    <xf numFmtId="3" fontId="17" fillId="0" borderId="81" xfId="106" applyNumberFormat="1" applyFont="1" applyFill="1" applyBorder="1" applyAlignment="1" quotePrefix="1">
      <alignment horizontal="left" vertical="center" wrapText="1" indent="1"/>
      <protection/>
    </xf>
    <xf numFmtId="3" fontId="18" fillId="0" borderId="181" xfId="106" applyNumberFormat="1" applyFont="1" applyFill="1" applyBorder="1" applyAlignment="1">
      <alignment horizontal="center" vertical="center"/>
      <protection/>
    </xf>
    <xf numFmtId="3" fontId="18" fillId="0" borderId="155" xfId="106" applyNumberFormat="1" applyFont="1" applyFill="1" applyBorder="1" applyAlignment="1">
      <alignment horizontal="center" vertical="center"/>
      <protection/>
    </xf>
    <xf numFmtId="3" fontId="18" fillId="0" borderId="97" xfId="106" applyNumberFormat="1" applyFont="1" applyFill="1" applyBorder="1" applyAlignment="1">
      <alignment horizontal="center" vertical="center"/>
      <protection/>
    </xf>
    <xf numFmtId="3" fontId="18" fillId="0" borderId="77" xfId="106" applyNumberFormat="1" applyFont="1" applyFill="1" applyBorder="1" applyAlignment="1">
      <alignment horizontal="center" vertical="center"/>
      <protection/>
    </xf>
    <xf numFmtId="3" fontId="16" fillId="0" borderId="26" xfId="106" applyNumberFormat="1" applyFont="1" applyFill="1" applyBorder="1" applyAlignment="1">
      <alignment horizontal="center" vertical="center"/>
      <protection/>
    </xf>
    <xf numFmtId="3" fontId="16" fillId="0" borderId="27" xfId="106" applyNumberFormat="1" applyFont="1" applyFill="1" applyBorder="1" applyAlignment="1">
      <alignment horizontal="center" vertical="center"/>
      <protection/>
    </xf>
    <xf numFmtId="3" fontId="16" fillId="0" borderId="29" xfId="106" applyNumberFormat="1" applyFont="1" applyFill="1" applyBorder="1" applyAlignment="1">
      <alignment horizontal="center" vertical="center"/>
      <protection/>
    </xf>
    <xf numFmtId="3" fontId="16" fillId="0" borderId="46" xfId="106" applyNumberFormat="1" applyFont="1" applyFill="1" applyBorder="1" applyAlignment="1">
      <alignment horizontal="center" vertical="center"/>
      <protection/>
    </xf>
    <xf numFmtId="3" fontId="16" fillId="0" borderId="30" xfId="106" applyNumberFormat="1" applyFont="1" applyFill="1" applyBorder="1" applyAlignment="1">
      <alignment horizontal="center" vertical="center"/>
      <protection/>
    </xf>
    <xf numFmtId="3" fontId="16" fillId="0" borderId="31" xfId="106" applyNumberFormat="1" applyFont="1" applyFill="1" applyBorder="1" applyAlignment="1">
      <alignment horizontal="center" vertical="center"/>
      <protection/>
    </xf>
    <xf numFmtId="3" fontId="18" fillId="0" borderId="103" xfId="106" applyNumberFormat="1" applyFont="1" applyFill="1" applyBorder="1" applyAlignment="1">
      <alignment horizontal="left" vertical="center"/>
      <protection/>
    </xf>
    <xf numFmtId="0" fontId="17" fillId="0" borderId="194" xfId="0" applyFont="1" applyBorder="1" applyAlignment="1">
      <alignment horizontal="left" vertical="center"/>
    </xf>
    <xf numFmtId="0" fontId="17" fillId="0" borderId="195" xfId="0" applyFont="1" applyBorder="1" applyAlignment="1">
      <alignment horizontal="left" vertical="center"/>
    </xf>
    <xf numFmtId="3" fontId="18" fillId="0" borderId="178" xfId="106" applyNumberFormat="1" applyFont="1" applyFill="1" applyBorder="1" applyAlignment="1">
      <alignment horizontal="center" vertical="center"/>
      <protection/>
    </xf>
    <xf numFmtId="3" fontId="18" fillId="0" borderId="174" xfId="106" applyNumberFormat="1" applyFont="1" applyFill="1" applyBorder="1" applyAlignment="1">
      <alignment horizontal="center" vertical="center"/>
      <protection/>
    </xf>
    <xf numFmtId="3" fontId="18" fillId="0" borderId="101" xfId="106" applyNumberFormat="1" applyFont="1" applyFill="1" applyBorder="1" applyAlignment="1">
      <alignment horizontal="center" vertical="center"/>
      <protection/>
    </xf>
    <xf numFmtId="3" fontId="16" fillId="0" borderId="21" xfId="106" applyNumberFormat="1" applyFont="1" applyFill="1" applyBorder="1" applyAlignment="1">
      <alignment horizontal="center" vertical="center" wrapText="1"/>
      <protection/>
    </xf>
    <xf numFmtId="3" fontId="18" fillId="0" borderId="103" xfId="106" applyNumberFormat="1" applyFont="1" applyFill="1" applyBorder="1" applyAlignment="1">
      <alignment horizontal="center" vertical="center"/>
      <protection/>
    </xf>
    <xf numFmtId="3" fontId="18" fillId="0" borderId="194" xfId="106" applyNumberFormat="1" applyFont="1" applyFill="1" applyBorder="1" applyAlignment="1">
      <alignment horizontal="center" vertical="center"/>
      <protection/>
    </xf>
    <xf numFmtId="3" fontId="18" fillId="0" borderId="190" xfId="106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right" vertical="center" shrinkToFit="1"/>
    </xf>
    <xf numFmtId="3" fontId="16" fillId="0" borderId="189" xfId="106" applyNumberFormat="1" applyFont="1" applyFill="1" applyBorder="1" applyAlignment="1">
      <alignment horizontal="center" vertical="center" wrapText="1"/>
      <protection/>
    </xf>
    <xf numFmtId="3" fontId="16" fillId="0" borderId="194" xfId="106" applyNumberFormat="1" applyFont="1" applyFill="1" applyBorder="1" applyAlignment="1">
      <alignment horizontal="center" vertical="center" wrapText="1"/>
      <protection/>
    </xf>
    <xf numFmtId="3" fontId="16" fillId="0" borderId="190" xfId="106" applyNumberFormat="1" applyFont="1" applyFill="1" applyBorder="1" applyAlignment="1">
      <alignment horizontal="center" vertical="center" wrapText="1"/>
      <protection/>
    </xf>
    <xf numFmtId="3" fontId="32" fillId="0" borderId="103" xfId="106" applyNumberFormat="1" applyFont="1" applyFill="1" applyBorder="1" applyAlignment="1">
      <alignment horizontal="center" vertical="center"/>
      <protection/>
    </xf>
    <xf numFmtId="3" fontId="18" fillId="0" borderId="29" xfId="106" applyNumberFormat="1" applyFont="1" applyFill="1" applyBorder="1" applyAlignment="1">
      <alignment horizontal="center" vertical="center"/>
      <protection/>
    </xf>
    <xf numFmtId="3" fontId="18" fillId="0" borderId="0" xfId="106" applyNumberFormat="1" applyFont="1" applyFill="1" applyBorder="1" applyAlignment="1">
      <alignment horizontal="center" vertical="center"/>
      <protection/>
    </xf>
    <xf numFmtId="3" fontId="18" fillId="0" borderId="46" xfId="106" applyNumberFormat="1" applyFont="1" applyFill="1" applyBorder="1" applyAlignment="1">
      <alignment horizontal="center" vertical="center"/>
      <protection/>
    </xf>
    <xf numFmtId="3" fontId="18" fillId="0" borderId="120" xfId="106" applyNumberFormat="1" applyFont="1" applyFill="1" applyBorder="1" applyAlignment="1">
      <alignment horizontal="left" vertical="center" wrapText="1"/>
      <protection/>
    </xf>
    <xf numFmtId="3" fontId="18" fillId="0" borderId="67" xfId="106" applyNumberFormat="1" applyFont="1" applyFill="1" applyBorder="1" applyAlignment="1">
      <alignment horizontal="left" vertical="center" wrapText="1"/>
      <protection/>
    </xf>
    <xf numFmtId="3" fontId="18" fillId="0" borderId="27" xfId="106" applyNumberFormat="1" applyFont="1" applyFill="1" applyBorder="1" applyAlignment="1">
      <alignment horizontal="left" vertical="center" wrapText="1"/>
      <protection/>
    </xf>
    <xf numFmtId="3" fontId="18" fillId="0" borderId="178" xfId="106" applyNumberFormat="1" applyFont="1" applyFill="1" applyBorder="1" applyAlignment="1">
      <alignment horizontal="center" vertical="center" wrapText="1"/>
      <protection/>
    </xf>
    <xf numFmtId="3" fontId="18" fillId="0" borderId="174" xfId="106" applyNumberFormat="1" applyFont="1" applyFill="1" applyBorder="1" applyAlignment="1">
      <alignment horizontal="center" vertical="center" wrapText="1"/>
      <protection/>
    </xf>
    <xf numFmtId="3" fontId="18" fillId="0" borderId="101" xfId="106" applyNumberFormat="1" applyFont="1" applyFill="1" applyBorder="1" applyAlignment="1">
      <alignment horizontal="center" vertical="center" wrapText="1"/>
      <protection/>
    </xf>
    <xf numFmtId="0" fontId="5" fillId="0" borderId="179" xfId="0" applyFont="1" applyFill="1" applyBorder="1" applyAlignment="1">
      <alignment vertical="center" shrinkToFit="1"/>
    </xf>
    <xf numFmtId="0" fontId="4" fillId="0" borderId="173" xfId="0" applyFont="1" applyFill="1" applyBorder="1" applyAlignment="1">
      <alignment vertical="center" shrinkToFit="1"/>
    </xf>
    <xf numFmtId="0" fontId="4" fillId="0" borderId="182" xfId="0" applyFont="1" applyFill="1" applyBorder="1" applyAlignment="1">
      <alignment vertical="center" shrinkToFit="1"/>
    </xf>
    <xf numFmtId="3" fontId="5" fillId="0" borderId="111" xfId="0" applyNumberFormat="1" applyFont="1" applyFill="1" applyBorder="1" applyAlignment="1">
      <alignment horizontal="center" vertical="center" shrinkToFit="1"/>
    </xf>
    <xf numFmtId="3" fontId="5" fillId="0" borderId="107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94" fillId="0" borderId="178" xfId="0" applyFont="1" applyFill="1" applyBorder="1" applyAlignment="1">
      <alignment horizontal="center" vertical="center" shrinkToFit="1"/>
    </xf>
    <xf numFmtId="0" fontId="94" fillId="0" borderId="174" xfId="0" applyFont="1" applyFill="1" applyBorder="1" applyAlignment="1">
      <alignment horizontal="center" vertical="center" shrinkToFit="1"/>
    </xf>
    <xf numFmtId="0" fontId="94" fillId="0" borderId="101" xfId="0" applyFont="1" applyFill="1" applyBorder="1" applyAlignment="1">
      <alignment horizontal="center" vertical="center" shrinkToFit="1"/>
    </xf>
    <xf numFmtId="0" fontId="5" fillId="0" borderId="181" xfId="0" applyFont="1" applyFill="1" applyBorder="1" applyAlignment="1">
      <alignment horizontal="left" vertical="center" shrinkToFit="1"/>
    </xf>
    <xf numFmtId="0" fontId="5" fillId="0" borderId="155" xfId="0" applyFont="1" applyFill="1" applyBorder="1" applyAlignment="1">
      <alignment horizontal="left" vertical="center" shrinkToFit="1"/>
    </xf>
    <xf numFmtId="0" fontId="5" fillId="0" borderId="97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right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top" wrapText="1"/>
    </xf>
    <xf numFmtId="0" fontId="17" fillId="0" borderId="56" xfId="99" applyFont="1" applyBorder="1" applyAlignment="1">
      <alignment horizontal="right"/>
      <protection/>
    </xf>
    <xf numFmtId="3" fontId="17" fillId="0" borderId="56" xfId="99" applyNumberFormat="1" applyFont="1" applyBorder="1" applyAlignment="1">
      <alignment horizontal="right"/>
      <protection/>
    </xf>
    <xf numFmtId="0" fontId="17" fillId="0" borderId="0" xfId="0" applyFont="1" applyBorder="1" applyAlignment="1">
      <alignment horizontal="right" vertical="center"/>
    </xf>
    <xf numFmtId="0" fontId="18" fillId="0" borderId="0" xfId="99" applyFont="1" applyBorder="1" applyAlignment="1">
      <alignment vertical="center"/>
      <protection/>
    </xf>
    <xf numFmtId="0" fontId="35" fillId="0" borderId="0" xfId="0" applyFont="1" applyBorder="1" applyAlignment="1">
      <alignment/>
    </xf>
    <xf numFmtId="0" fontId="17" fillId="0" borderId="56" xfId="99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17" fillId="0" borderId="141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70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75" xfId="0" applyFont="1" applyBorder="1" applyAlignment="1">
      <alignment horizontal="center" vertical="center"/>
    </xf>
    <xf numFmtId="0" fontId="17" fillId="0" borderId="79" xfId="105" applyFont="1" applyBorder="1" applyAlignment="1">
      <alignment horizontal="left" vertical="center" wrapText="1" shrinkToFit="1"/>
      <protection/>
    </xf>
    <xf numFmtId="0" fontId="17" fillId="0" borderId="81" xfId="105" applyFont="1" applyBorder="1" applyAlignment="1">
      <alignment horizontal="left" vertical="center" wrapText="1" shrinkToFit="1"/>
      <protection/>
    </xf>
    <xf numFmtId="0" fontId="101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horizontal="left" vertical="center"/>
    </xf>
    <xf numFmtId="0" fontId="17" fillId="0" borderId="85" xfId="0" applyFont="1" applyBorder="1" applyAlignment="1">
      <alignment horizontal="right" vertical="top" wrapText="1"/>
    </xf>
    <xf numFmtId="0" fontId="17" fillId="0" borderId="51" xfId="105" applyFont="1" applyBorder="1" applyAlignment="1">
      <alignment horizontal="center" vertical="center" wrapText="1" shrinkToFit="1"/>
      <protection/>
    </xf>
    <xf numFmtId="0" fontId="17" fillId="0" borderId="55" xfId="105" applyFont="1" applyBorder="1" applyAlignment="1">
      <alignment horizontal="center" vertical="center" wrapText="1" shrinkToFit="1"/>
      <protection/>
    </xf>
    <xf numFmtId="0" fontId="17" fillId="0" borderId="79" xfId="105" applyFont="1" applyBorder="1" applyAlignment="1">
      <alignment vertical="center" wrapText="1" shrinkToFit="1"/>
      <protection/>
    </xf>
    <xf numFmtId="0" fontId="17" fillId="0" borderId="81" xfId="105" applyFont="1" applyBorder="1" applyAlignment="1">
      <alignment vertical="center" wrapText="1" shrinkToFit="1"/>
      <protection/>
    </xf>
    <xf numFmtId="0" fontId="17" fillId="0" borderId="5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41" xfId="105" applyFont="1" applyBorder="1" applyAlignment="1">
      <alignment horizontal="left" vertical="center" wrapText="1" shrinkToFit="1"/>
      <protection/>
    </xf>
    <xf numFmtId="0" fontId="17" fillId="0" borderId="170" xfId="105" applyFont="1" applyBorder="1" applyAlignment="1">
      <alignment horizontal="left" vertical="center" wrapText="1" shrinkToFit="1"/>
      <protection/>
    </xf>
    <xf numFmtId="0" fontId="17" fillId="0" borderId="89" xfId="105" applyFont="1" applyBorder="1" applyAlignment="1">
      <alignment horizontal="left" vertical="center" wrapText="1" shrinkToFit="1"/>
      <protection/>
    </xf>
    <xf numFmtId="0" fontId="17" fillId="0" borderId="175" xfId="105" applyFont="1" applyBorder="1" applyAlignment="1">
      <alignment horizontal="left" vertical="center" wrapText="1" shrinkToFit="1"/>
      <protection/>
    </xf>
    <xf numFmtId="0" fontId="17" fillId="0" borderId="79" xfId="0" applyFont="1" applyBorder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0" fontId="17" fillId="0" borderId="141" xfId="105" applyFont="1" applyBorder="1" applyAlignment="1">
      <alignment vertical="center" wrapText="1" shrinkToFit="1"/>
      <protection/>
    </xf>
    <xf numFmtId="0" fontId="17" fillId="0" borderId="170" xfId="105" applyFont="1" applyBorder="1" applyAlignment="1">
      <alignment vertical="center" wrapText="1" shrinkToFit="1"/>
      <protection/>
    </xf>
    <xf numFmtId="0" fontId="17" fillId="0" borderId="89" xfId="105" applyFont="1" applyBorder="1" applyAlignment="1">
      <alignment vertical="center" wrapText="1" shrinkToFit="1"/>
      <protection/>
    </xf>
    <xf numFmtId="0" fontId="17" fillId="0" borderId="175" xfId="105" applyFont="1" applyBorder="1" applyAlignment="1">
      <alignment vertical="center" wrapText="1" shrinkToFit="1"/>
      <protection/>
    </xf>
    <xf numFmtId="0" fontId="17" fillId="48" borderId="79" xfId="105" applyFont="1" applyFill="1" applyBorder="1" applyAlignment="1">
      <alignment vertical="center" wrapText="1" shrinkToFit="1"/>
      <protection/>
    </xf>
    <xf numFmtId="0" fontId="17" fillId="48" borderId="81" xfId="105" applyFont="1" applyFill="1" applyBorder="1" applyAlignment="1">
      <alignment vertical="center" wrapText="1" shrinkToFit="1"/>
      <protection/>
    </xf>
    <xf numFmtId="0" fontId="17" fillId="48" borderId="141" xfId="105" applyFont="1" applyFill="1" applyBorder="1" applyAlignment="1">
      <alignment vertical="center" wrapText="1" shrinkToFit="1"/>
      <protection/>
    </xf>
    <xf numFmtId="0" fontId="17" fillId="48" borderId="170" xfId="105" applyFont="1" applyFill="1" applyBorder="1" applyAlignment="1">
      <alignment vertical="center" wrapText="1" shrinkToFit="1"/>
      <protection/>
    </xf>
    <xf numFmtId="0" fontId="17" fillId="48" borderId="89" xfId="105" applyFont="1" applyFill="1" applyBorder="1" applyAlignment="1">
      <alignment vertical="center" wrapText="1" shrinkToFit="1"/>
      <protection/>
    </xf>
    <xf numFmtId="0" fontId="17" fillId="48" borderId="175" xfId="105" applyFont="1" applyFill="1" applyBorder="1" applyAlignment="1">
      <alignment vertical="center" wrapText="1" shrinkToFit="1"/>
      <protection/>
    </xf>
    <xf numFmtId="0" fontId="17" fillId="49" borderId="56" xfId="105" applyFont="1" applyFill="1" applyBorder="1" applyAlignment="1">
      <alignment horizontal="center" vertical="center" wrapText="1" shrinkToFit="1"/>
      <protection/>
    </xf>
    <xf numFmtId="0" fontId="17" fillId="49" borderId="51" xfId="105" applyFont="1" applyFill="1" applyBorder="1" applyAlignment="1">
      <alignment horizontal="center" vertical="center" wrapText="1" shrinkToFit="1"/>
      <protection/>
    </xf>
    <xf numFmtId="0" fontId="17" fillId="49" borderId="55" xfId="105" applyFont="1" applyFill="1" applyBorder="1" applyAlignment="1">
      <alignment horizontal="center" vertical="center" wrapText="1" shrinkToFit="1"/>
      <protection/>
    </xf>
    <xf numFmtId="0" fontId="17" fillId="0" borderId="56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141" xfId="99" applyFont="1" applyBorder="1" applyAlignment="1">
      <alignment horizontal="left" vertical="center" wrapText="1"/>
      <protection/>
    </xf>
    <xf numFmtId="0" fontId="17" fillId="0" borderId="85" xfId="99" applyFont="1" applyBorder="1" applyAlignment="1">
      <alignment horizontal="left" vertical="center" wrapText="1"/>
      <protection/>
    </xf>
    <xf numFmtId="0" fontId="17" fillId="0" borderId="89" xfId="99" applyFont="1" applyBorder="1" applyAlignment="1">
      <alignment horizontal="left" vertical="center" wrapText="1"/>
      <protection/>
    </xf>
    <xf numFmtId="0" fontId="17" fillId="0" borderId="76" xfId="99" applyFont="1" applyBorder="1" applyAlignment="1">
      <alignment horizontal="left" vertical="center" wrapText="1"/>
      <protection/>
    </xf>
    <xf numFmtId="0" fontId="17" fillId="0" borderId="51" xfId="99" applyFont="1" applyBorder="1" applyAlignment="1">
      <alignment horizontal="center" vertical="center"/>
      <protection/>
    </xf>
    <xf numFmtId="0" fontId="17" fillId="0" borderId="55" xfId="99" applyFont="1" applyBorder="1" applyAlignment="1">
      <alignment horizontal="center" vertical="center"/>
      <protection/>
    </xf>
    <xf numFmtId="0" fontId="17" fillId="0" borderId="51" xfId="99" applyFont="1" applyBorder="1" applyAlignment="1">
      <alignment horizontal="center" vertical="center" wrapText="1"/>
      <protection/>
    </xf>
    <xf numFmtId="0" fontId="17" fillId="0" borderId="55" xfId="99" applyFont="1" applyBorder="1" applyAlignment="1">
      <alignment horizontal="center" vertical="center" wrapText="1"/>
      <protection/>
    </xf>
    <xf numFmtId="3" fontId="17" fillId="0" borderId="79" xfId="0" applyNumberFormat="1" applyFont="1" applyBorder="1" applyAlignment="1">
      <alignment horizontal="right" vertical="center" wrapText="1"/>
    </xf>
    <xf numFmtId="3" fontId="17" fillId="0" borderId="81" xfId="0" applyNumberFormat="1" applyFont="1" applyBorder="1" applyAlignment="1">
      <alignment horizontal="right" vertical="center" wrapText="1"/>
    </xf>
    <xf numFmtId="0" fontId="17" fillId="0" borderId="21" xfId="0" applyFont="1" applyBorder="1" applyAlignment="1">
      <alignment horizontal="center" vertical="center"/>
    </xf>
    <xf numFmtId="0" fontId="17" fillId="48" borderId="51" xfId="105" applyFont="1" applyFill="1" applyBorder="1" applyAlignment="1">
      <alignment horizontal="left" vertical="center" wrapText="1" shrinkToFit="1"/>
      <protection/>
    </xf>
    <xf numFmtId="0" fontId="17" fillId="48" borderId="21" xfId="105" applyFont="1" applyFill="1" applyBorder="1" applyAlignment="1">
      <alignment horizontal="left" vertical="center" wrapText="1" shrinkToFit="1"/>
      <protection/>
    </xf>
    <xf numFmtId="0" fontId="17" fillId="49" borderId="21" xfId="105" applyFont="1" applyFill="1" applyBorder="1" applyAlignment="1">
      <alignment horizontal="center" vertical="center" wrapText="1" shrinkToFit="1"/>
      <protection/>
    </xf>
    <xf numFmtId="0" fontId="18" fillId="0" borderId="76" xfId="99" applyFont="1" applyBorder="1" applyAlignment="1">
      <alignment vertical="center"/>
      <protection/>
    </xf>
    <xf numFmtId="0" fontId="35" fillId="0" borderId="76" xfId="0" applyFont="1" applyBorder="1" applyAlignment="1">
      <alignment vertical="center"/>
    </xf>
    <xf numFmtId="0" fontId="17" fillId="0" borderId="141" xfId="0" applyFont="1" applyBorder="1" applyAlignment="1">
      <alignment horizontal="center" vertical="center" wrapText="1"/>
    </xf>
    <xf numFmtId="0" fontId="17" fillId="0" borderId="170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75" xfId="0" applyFont="1" applyBorder="1" applyAlignment="1">
      <alignment horizontal="center" vertical="center" wrapText="1"/>
    </xf>
    <xf numFmtId="1" fontId="39" fillId="0" borderId="78" xfId="0" applyNumberFormat="1" applyFont="1" applyBorder="1" applyAlignment="1" quotePrefix="1">
      <alignment horizontal="center" vertical="center"/>
    </xf>
    <xf numFmtId="1" fontId="39" fillId="0" borderId="37" xfId="0" applyNumberFormat="1" applyFont="1" applyBorder="1" applyAlignment="1" quotePrefix="1">
      <alignment horizontal="center" vertical="center"/>
    </xf>
    <xf numFmtId="1" fontId="39" fillId="0" borderId="66" xfId="0" applyNumberFormat="1" applyFont="1" applyBorder="1" applyAlignment="1" quotePrefix="1">
      <alignment horizontal="center" vertical="center"/>
    </xf>
    <xf numFmtId="3" fontId="39" fillId="0" borderId="51" xfId="0" applyNumberFormat="1" applyFont="1" applyBorder="1" applyAlignment="1">
      <alignment horizontal="right" vertical="center"/>
    </xf>
    <xf numFmtId="3" fontId="39" fillId="0" borderId="55" xfId="0" applyNumberFormat="1" applyFont="1" applyBorder="1" applyAlignment="1">
      <alignment horizontal="right" vertical="center"/>
    </xf>
    <xf numFmtId="0" fontId="50" fillId="0" borderId="68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0" fontId="39" fillId="0" borderId="0" xfId="0" applyFont="1" applyAlignment="1">
      <alignment horizontal="left" vertical="top" wrapText="1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175" xfId="0" applyFont="1" applyBorder="1" applyAlignment="1">
      <alignment horizontal="center" vertical="center"/>
    </xf>
    <xf numFmtId="0" fontId="39" fillId="0" borderId="189" xfId="0" applyFont="1" applyBorder="1" applyAlignment="1">
      <alignment horizontal="center" vertical="center"/>
    </xf>
    <xf numFmtId="0" fontId="39" fillId="0" borderId="194" xfId="0" applyFont="1" applyBorder="1" applyAlignment="1">
      <alignment horizontal="center" vertical="center"/>
    </xf>
    <xf numFmtId="0" fontId="39" fillId="0" borderId="19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1" fillId="0" borderId="149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196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175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98" fillId="0" borderId="93" xfId="0" applyFont="1" applyBorder="1" applyAlignment="1">
      <alignment horizontal="center" vertical="center"/>
    </xf>
    <xf numFmtId="0" fontId="98" fillId="0" borderId="178" xfId="0" applyFont="1" applyBorder="1" applyAlignment="1">
      <alignment/>
    </xf>
    <xf numFmtId="0" fontId="0" fillId="0" borderId="174" xfId="0" applyBorder="1" applyAlignment="1">
      <alignment/>
    </xf>
    <xf numFmtId="0" fontId="0" fillId="0" borderId="94" xfId="0" applyBorder="1" applyAlignment="1">
      <alignment/>
    </xf>
    <xf numFmtId="0" fontId="98" fillId="0" borderId="178" xfId="103" applyFont="1" applyBorder="1" applyAlignment="1">
      <alignment wrapText="1"/>
      <protection/>
    </xf>
    <xf numFmtId="0" fontId="18" fillId="0" borderId="178" xfId="103" applyFont="1" applyBorder="1" applyAlignment="1">
      <alignment horizontal="center" vertical="center"/>
      <protection/>
    </xf>
    <xf numFmtId="0" fontId="18" fillId="0" borderId="174" xfId="103" applyFont="1" applyBorder="1" applyAlignment="1">
      <alignment horizontal="center" vertical="center"/>
      <protection/>
    </xf>
    <xf numFmtId="0" fontId="0" fillId="0" borderId="94" xfId="0" applyBorder="1" applyAlignment="1">
      <alignment vertical="center"/>
    </xf>
    <xf numFmtId="0" fontId="17" fillId="0" borderId="93" xfId="103" applyFont="1" applyBorder="1" applyAlignment="1">
      <alignment vertical="center" wrapText="1"/>
      <protection/>
    </xf>
    <xf numFmtId="0" fontId="17" fillId="0" borderId="93" xfId="0" applyFont="1" applyBorder="1" applyAlignment="1">
      <alignment/>
    </xf>
    <xf numFmtId="0" fontId="18" fillId="0" borderId="93" xfId="103" applyFont="1" applyBorder="1" applyAlignment="1">
      <alignment horizontal="center" vertical="center"/>
      <protection/>
    </xf>
    <xf numFmtId="0" fontId="18" fillId="0" borderId="93" xfId="103" applyFont="1" applyBorder="1" applyAlignment="1">
      <alignment horizontal="center" vertical="center" wrapText="1"/>
      <protection/>
    </xf>
    <xf numFmtId="0" fontId="17" fillId="0" borderId="93" xfId="0" applyFont="1" applyBorder="1" applyAlignment="1">
      <alignment horizontal="center" vertical="center" wrapText="1"/>
    </xf>
    <xf numFmtId="0" fontId="50" fillId="0" borderId="93" xfId="0" applyFont="1" applyBorder="1" applyAlignment="1">
      <alignment wrapText="1"/>
    </xf>
    <xf numFmtId="0" fontId="145" fillId="0" borderId="56" xfId="0" applyFont="1" applyBorder="1" applyAlignment="1">
      <alignment horizontal="center" vertical="center"/>
    </xf>
    <xf numFmtId="0" fontId="0" fillId="0" borderId="141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0" fillId="0" borderId="79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0" fontId="0" fillId="0" borderId="81" xfId="0" applyFont="1" applyBorder="1" applyAlignment="1">
      <alignment horizontal="left" wrapText="1"/>
    </xf>
    <xf numFmtId="0" fontId="42" fillId="0" borderId="56" xfId="104" applyFont="1" applyFill="1" applyBorder="1" applyAlignment="1">
      <alignment horizontal="left" vertical="center" wrapText="1"/>
      <protection/>
    </xf>
    <xf numFmtId="3" fontId="0" fillId="0" borderId="56" xfId="0" applyNumberFormat="1" applyFont="1" applyBorder="1" applyAlignment="1">
      <alignment horizontal="center" vertical="center" wrapText="1"/>
    </xf>
    <xf numFmtId="3" fontId="145" fillId="0" borderId="56" xfId="0" applyNumberFormat="1" applyFont="1" applyBorder="1" applyAlignment="1">
      <alignment horizontal="center" vertical="center"/>
    </xf>
    <xf numFmtId="0" fontId="83" fillId="0" borderId="0" xfId="104" applyFont="1" applyFill="1" applyBorder="1" applyAlignment="1">
      <alignment horizontal="justify"/>
      <protection/>
    </xf>
    <xf numFmtId="0" fontId="83" fillId="0" borderId="0" xfId="104" applyFont="1" applyFill="1" applyAlignment="1">
      <alignment horizontal="justify"/>
      <protection/>
    </xf>
    <xf numFmtId="0" fontId="87" fillId="0" borderId="0" xfId="104" applyFont="1" applyAlignment="1">
      <alignment horizontal="left" vertical="center"/>
      <protection/>
    </xf>
    <xf numFmtId="0" fontId="88" fillId="0" borderId="56" xfId="104" applyFont="1" applyFill="1" applyBorder="1" applyAlignment="1">
      <alignment horizontal="left" vertical="center" wrapText="1"/>
      <protection/>
    </xf>
    <xf numFmtId="0" fontId="88" fillId="0" borderId="56" xfId="104" applyFont="1" applyFill="1" applyBorder="1" applyAlignment="1">
      <alignment horizontal="center" vertical="center" wrapText="1"/>
      <protection/>
    </xf>
    <xf numFmtId="0" fontId="88" fillId="0" borderId="0" xfId="104" applyFont="1" applyFill="1" applyBorder="1" applyAlignment="1">
      <alignment horizontal="left" vertical="center"/>
      <protection/>
    </xf>
    <xf numFmtId="3" fontId="42" fillId="0" borderId="56" xfId="97" applyNumberFormat="1" applyFont="1" applyFill="1" applyBorder="1" applyAlignment="1">
      <alignment horizontal="right" vertical="center" wrapText="1"/>
      <protection/>
    </xf>
    <xf numFmtId="3" fontId="42" fillId="0" borderId="56" xfId="97" applyNumberFormat="1" applyFont="1" applyFill="1" applyBorder="1" applyAlignment="1">
      <alignment horizontal="right" vertical="center" wrapText="1"/>
      <protection/>
    </xf>
    <xf numFmtId="3" fontId="42" fillId="0" borderId="56" xfId="93" applyNumberFormat="1" applyFont="1" applyFill="1" applyBorder="1" applyAlignment="1">
      <alignment horizontal="right" vertical="center"/>
      <protection/>
    </xf>
    <xf numFmtId="3" fontId="41" fillId="0" borderId="56" xfId="93" applyNumberFormat="1" applyFont="1" applyFill="1" applyBorder="1" applyAlignment="1">
      <alignment horizontal="right" vertical="center"/>
      <protection/>
    </xf>
    <xf numFmtId="49" fontId="44" fillId="0" borderId="56" xfId="93" applyNumberFormat="1" applyFont="1" applyFill="1" applyBorder="1" applyAlignment="1">
      <alignment horizontal="center" vertical="center"/>
      <protection/>
    </xf>
    <xf numFmtId="0" fontId="44" fillId="0" borderId="56" xfId="93" applyFont="1" applyBorder="1" applyAlignment="1">
      <alignment horizontal="left" vertical="center" wrapText="1"/>
      <protection/>
    </xf>
    <xf numFmtId="49" fontId="43" fillId="0" borderId="56" xfId="93" applyNumberFormat="1" applyFont="1" applyFill="1" applyBorder="1" applyAlignment="1">
      <alignment horizontal="center" vertical="center"/>
      <protection/>
    </xf>
    <xf numFmtId="0" fontId="43" fillId="0" borderId="56" xfId="93" applyFont="1" applyFill="1" applyBorder="1" applyAlignment="1">
      <alignment horizontal="left" vertical="center" wrapText="1"/>
      <protection/>
    </xf>
    <xf numFmtId="3" fontId="42" fillId="0" borderId="56" xfId="93" applyNumberFormat="1" applyFont="1" applyFill="1" applyBorder="1" applyAlignment="1">
      <alignment horizontal="right" vertical="center" wrapText="1"/>
      <protection/>
    </xf>
    <xf numFmtId="0" fontId="44" fillId="0" borderId="0" xfId="93" applyFont="1" applyBorder="1" applyAlignment="1">
      <alignment horizontal="center" vertical="center"/>
      <protection/>
    </xf>
    <xf numFmtId="3" fontId="41" fillId="0" borderId="56" xfId="93" applyNumberFormat="1" applyFont="1" applyFill="1" applyBorder="1" applyAlignment="1" quotePrefix="1">
      <alignment horizontal="right" vertical="center"/>
      <protection/>
    </xf>
    <xf numFmtId="0" fontId="44" fillId="0" borderId="0" xfId="93" applyFont="1" applyFill="1" applyBorder="1" applyAlignment="1">
      <alignment horizontal="center" vertical="center"/>
      <protection/>
    </xf>
    <xf numFmtId="0" fontId="44" fillId="0" borderId="56" xfId="93" applyFont="1" applyFill="1" applyBorder="1" applyAlignment="1">
      <alignment horizontal="left" vertical="center" wrapText="1"/>
      <protection/>
    </xf>
    <xf numFmtId="3" fontId="172" fillId="0" borderId="56" xfId="93" applyNumberFormat="1" applyFont="1" applyFill="1" applyBorder="1" applyAlignment="1">
      <alignment horizontal="right" vertical="center"/>
      <protection/>
    </xf>
    <xf numFmtId="0" fontId="43" fillId="0" borderId="0" xfId="93" applyFont="1" applyFill="1" applyBorder="1" applyAlignment="1">
      <alignment horizontal="center" vertical="center"/>
      <protection/>
    </xf>
    <xf numFmtId="3" fontId="172" fillId="0" borderId="56" xfId="93" applyNumberFormat="1" applyFont="1" applyFill="1" applyBorder="1" applyAlignment="1" quotePrefix="1">
      <alignment horizontal="right" vertical="center"/>
      <protection/>
    </xf>
    <xf numFmtId="3" fontId="41" fillId="0" borderId="56" xfId="96" applyNumberFormat="1" applyFont="1" applyFill="1" applyBorder="1" applyAlignment="1">
      <alignment horizontal="right" vertical="center" wrapText="1"/>
      <protection/>
    </xf>
    <xf numFmtId="3" fontId="41" fillId="0" borderId="56" xfId="93" applyNumberFormat="1" applyFont="1" applyFill="1" applyBorder="1" applyAlignment="1">
      <alignment horizontal="right" vertical="center" wrapText="1"/>
      <protection/>
    </xf>
    <xf numFmtId="0" fontId="43" fillId="0" borderId="0" xfId="93" applyFont="1" applyBorder="1" applyAlignment="1">
      <alignment horizontal="center" vertical="center"/>
      <protection/>
    </xf>
    <xf numFmtId="0" fontId="43" fillId="0" borderId="0" xfId="93" applyFont="1" applyFill="1" applyBorder="1" applyAlignment="1" quotePrefix="1">
      <alignment horizontal="center" vertical="center"/>
      <protection/>
    </xf>
    <xf numFmtId="0" fontId="43" fillId="0" borderId="56" xfId="93" applyFont="1" applyBorder="1" applyAlignment="1">
      <alignment horizontal="left" vertical="center" wrapText="1"/>
      <protection/>
    </xf>
    <xf numFmtId="0" fontId="43" fillId="0" borderId="56" xfId="93" applyFont="1" applyFill="1" applyBorder="1" applyAlignment="1">
      <alignment horizontal="left" vertical="center"/>
      <protection/>
    </xf>
    <xf numFmtId="0" fontId="44" fillId="0" borderId="0" xfId="93" applyFont="1" applyFill="1" applyBorder="1" applyAlignment="1" quotePrefix="1">
      <alignment horizontal="center" vertical="center"/>
      <protection/>
    </xf>
    <xf numFmtId="0" fontId="42" fillId="0" borderId="56" xfId="93" applyFont="1" applyFill="1" applyBorder="1" applyAlignment="1">
      <alignment vertical="center"/>
      <protection/>
    </xf>
    <xf numFmtId="0" fontId="41" fillId="0" borderId="56" xfId="93" applyFont="1" applyFill="1" applyBorder="1" applyAlignment="1">
      <alignment vertical="center"/>
      <protection/>
    </xf>
    <xf numFmtId="0" fontId="41" fillId="0" borderId="56" xfId="93" applyFont="1" applyBorder="1" applyAlignment="1">
      <alignment vertical="center"/>
      <protection/>
    </xf>
    <xf numFmtId="0" fontId="42" fillId="0" borderId="56" xfId="93" applyFont="1" applyBorder="1" applyAlignment="1">
      <alignment vertical="center"/>
      <protection/>
    </xf>
    <xf numFmtId="0" fontId="42" fillId="0" borderId="56" xfId="93" applyFont="1" applyBorder="1" applyAlignment="1">
      <alignment horizontal="center" vertical="center" wrapText="1"/>
      <protection/>
    </xf>
    <xf numFmtId="49" fontId="43" fillId="0" borderId="56" xfId="93" applyNumberFormat="1" applyFont="1" applyBorder="1" applyAlignment="1">
      <alignment horizontal="center" vertical="center"/>
      <protection/>
    </xf>
    <xf numFmtId="0" fontId="43" fillId="0" borderId="56" xfId="93" applyFont="1" applyBorder="1" applyAlignment="1">
      <alignment horizontal="left" vertical="center" wrapText="1"/>
      <protection/>
    </xf>
    <xf numFmtId="0" fontId="41" fillId="0" borderId="56" xfId="93" applyFont="1" applyBorder="1" applyAlignment="1">
      <alignment vertical="center" wrapText="1"/>
      <protection/>
    </xf>
    <xf numFmtId="0" fontId="44" fillId="0" borderId="0" xfId="93" applyFont="1" applyFill="1" applyBorder="1" applyAlignment="1">
      <alignment/>
      <protection/>
    </xf>
    <xf numFmtId="0" fontId="41" fillId="0" borderId="0" xfId="93" applyFont="1" applyBorder="1" applyAlignment="1">
      <alignment/>
      <protection/>
    </xf>
    <xf numFmtId="0" fontId="43" fillId="0" borderId="175" xfId="93" applyFont="1" applyFill="1" applyBorder="1" applyAlignment="1">
      <alignment horizontal="right"/>
      <protection/>
    </xf>
    <xf numFmtId="0" fontId="41" fillId="0" borderId="55" xfId="93" applyFont="1" applyBorder="1" applyAlignment="1">
      <alignment/>
      <protection/>
    </xf>
    <xf numFmtId="0" fontId="41" fillId="0" borderId="89" xfId="93" applyFont="1" applyBorder="1" applyAlignment="1">
      <alignment/>
      <protection/>
    </xf>
    <xf numFmtId="0" fontId="43" fillId="0" borderId="56" xfId="93" applyFont="1" applyBorder="1" applyAlignment="1">
      <alignment horizontal="center" vertical="center" wrapText="1"/>
      <protection/>
    </xf>
    <xf numFmtId="3" fontId="43" fillId="0" borderId="0" xfId="93" applyNumberFormat="1" applyFont="1" applyAlignment="1">
      <alignment horizontal="center"/>
      <protection/>
    </xf>
    <xf numFmtId="0" fontId="43" fillId="0" borderId="0" xfId="93" applyFont="1" applyAlignment="1">
      <alignment horizontal="center"/>
      <protection/>
    </xf>
    <xf numFmtId="3" fontId="43" fillId="0" borderId="56" xfId="95" applyNumberFormat="1" applyFont="1" applyFill="1" applyBorder="1" applyAlignment="1">
      <alignment horizontal="right" vertical="center"/>
      <protection/>
    </xf>
    <xf numFmtId="49" fontId="41" fillId="48" borderId="56" xfId="95" applyNumberFormat="1" applyFont="1" applyFill="1" applyBorder="1" applyAlignment="1">
      <alignment horizontal="center" vertical="center"/>
      <protection/>
    </xf>
    <xf numFmtId="0" fontId="44" fillId="48" borderId="56" xfId="95" applyFont="1" applyFill="1" applyBorder="1" applyAlignment="1">
      <alignment horizontal="left" vertical="center" wrapText="1"/>
      <protection/>
    </xf>
    <xf numFmtId="0" fontId="41" fillId="0" borderId="76" xfId="95" applyFont="1" applyBorder="1" applyAlignment="1">
      <alignment horizontal="right"/>
      <protection/>
    </xf>
    <xf numFmtId="3" fontId="43" fillId="0" borderId="141" xfId="95" applyNumberFormat="1" applyFont="1" applyFill="1" applyBorder="1" applyAlignment="1">
      <alignment horizontal="center" vertical="center" wrapText="1"/>
      <protection/>
    </xf>
    <xf numFmtId="3" fontId="43" fillId="0" borderId="85" xfId="95" applyNumberFormat="1" applyFont="1" applyFill="1" applyBorder="1" applyAlignment="1">
      <alignment horizontal="center" vertical="center" wrapText="1"/>
      <protection/>
    </xf>
    <xf numFmtId="3" fontId="43" fillId="0" borderId="170" xfId="95" applyNumberFormat="1" applyFont="1" applyFill="1" applyBorder="1" applyAlignment="1">
      <alignment horizontal="center" vertical="center" wrapText="1"/>
      <protection/>
    </xf>
    <xf numFmtId="3" fontId="43" fillId="0" borderId="89" xfId="95" applyNumberFormat="1" applyFont="1" applyFill="1" applyBorder="1" applyAlignment="1">
      <alignment horizontal="center" vertical="center" wrapText="1"/>
      <protection/>
    </xf>
    <xf numFmtId="3" fontId="43" fillId="0" borderId="76" xfId="95" applyNumberFormat="1" applyFont="1" applyFill="1" applyBorder="1" applyAlignment="1">
      <alignment horizontal="center" vertical="center" wrapText="1"/>
      <protection/>
    </xf>
    <xf numFmtId="3" fontId="43" fillId="0" borderId="175" xfId="95" applyNumberFormat="1" applyFont="1" applyFill="1" applyBorder="1" applyAlignment="1">
      <alignment horizontal="center" vertical="center" wrapText="1"/>
      <protection/>
    </xf>
    <xf numFmtId="49" fontId="41" fillId="0" borderId="56" xfId="95" applyNumberFormat="1" applyFont="1" applyBorder="1" applyAlignment="1">
      <alignment horizontal="center" vertical="center"/>
      <protection/>
    </xf>
    <xf numFmtId="0" fontId="44" fillId="0" borderId="56" xfId="95" applyFont="1" applyBorder="1" applyAlignment="1">
      <alignment horizontal="left" vertical="center"/>
      <protection/>
    </xf>
    <xf numFmtId="0" fontId="44" fillId="0" borderId="56" xfId="95" applyFont="1" applyBorder="1" applyAlignment="1">
      <alignment horizontal="left" vertical="center" wrapText="1"/>
      <protection/>
    </xf>
    <xf numFmtId="49" fontId="42" fillId="0" borderId="56" xfId="95" applyNumberFormat="1" applyFont="1" applyBorder="1" applyAlignment="1">
      <alignment horizontal="center" vertical="center"/>
      <protection/>
    </xf>
    <xf numFmtId="0" fontId="43" fillId="0" borderId="56" xfId="95" applyFont="1" applyBorder="1" applyAlignment="1">
      <alignment horizontal="left" vertical="center" wrapText="1"/>
      <protection/>
    </xf>
    <xf numFmtId="0" fontId="44" fillId="0" borderId="56" xfId="95" applyFont="1" applyBorder="1" applyAlignment="1" quotePrefix="1">
      <alignment horizontal="left" vertical="center" wrapText="1"/>
      <protection/>
    </xf>
    <xf numFmtId="0" fontId="43" fillId="0" borderId="56" xfId="95" applyFont="1" applyBorder="1" applyAlignment="1">
      <alignment horizontal="left" vertical="center"/>
      <protection/>
    </xf>
    <xf numFmtId="0" fontId="44" fillId="0" borderId="79" xfId="95" applyFont="1" applyBorder="1" applyAlignment="1">
      <alignment horizontal="left" vertical="center" wrapText="1"/>
      <protection/>
    </xf>
    <xf numFmtId="0" fontId="44" fillId="0" borderId="69" xfId="95" applyFont="1" applyBorder="1" applyAlignment="1">
      <alignment horizontal="left" vertical="center" wrapText="1"/>
      <protection/>
    </xf>
    <xf numFmtId="0" fontId="44" fillId="0" borderId="81" xfId="95" applyFont="1" applyBorder="1" applyAlignment="1">
      <alignment horizontal="left" vertical="center" wrapText="1"/>
      <protection/>
    </xf>
    <xf numFmtId="49" fontId="41" fillId="0" borderId="79" xfId="95" applyNumberFormat="1" applyFont="1" applyBorder="1" applyAlignment="1">
      <alignment horizontal="center" vertical="center"/>
      <protection/>
    </xf>
    <xf numFmtId="49" fontId="41" fillId="0" borderId="69" xfId="95" applyNumberFormat="1" applyFont="1" applyBorder="1" applyAlignment="1">
      <alignment horizontal="center" vertical="center"/>
      <protection/>
    </xf>
    <xf numFmtId="49" fontId="41" fillId="0" borderId="81" xfId="95" applyNumberFormat="1" applyFont="1" applyBorder="1" applyAlignment="1">
      <alignment horizontal="center" vertical="center"/>
      <protection/>
    </xf>
    <xf numFmtId="0" fontId="44" fillId="0" borderId="56" xfId="95" applyFont="1" applyFill="1" applyBorder="1" applyAlignment="1">
      <alignment horizontal="left" vertical="center" wrapText="1"/>
      <protection/>
    </xf>
    <xf numFmtId="49" fontId="81" fillId="0" borderId="56" xfId="95" applyNumberFormat="1" applyFont="1" applyBorder="1" applyAlignment="1">
      <alignment horizontal="center" vertical="center"/>
      <protection/>
    </xf>
    <xf numFmtId="0" fontId="84" fillId="0" borderId="56" xfId="95" applyFont="1" applyFill="1" applyBorder="1" applyAlignment="1">
      <alignment horizontal="left" vertical="center" wrapText="1"/>
      <protection/>
    </xf>
    <xf numFmtId="3" fontId="84" fillId="0" borderId="56" xfId="95" applyNumberFormat="1" applyFont="1" applyFill="1" applyBorder="1" applyAlignment="1">
      <alignment horizontal="right" vertical="center"/>
      <protection/>
    </xf>
    <xf numFmtId="49" fontId="41" fillId="48" borderId="79" xfId="95" applyNumberFormat="1" applyFont="1" applyFill="1" applyBorder="1" applyAlignment="1">
      <alignment horizontal="center" vertical="center"/>
      <protection/>
    </xf>
    <xf numFmtId="49" fontId="41" fillId="48" borderId="69" xfId="95" applyNumberFormat="1" applyFont="1" applyFill="1" applyBorder="1" applyAlignment="1">
      <alignment horizontal="center" vertical="center"/>
      <protection/>
    </xf>
    <xf numFmtId="49" fontId="41" fillId="48" borderId="81" xfId="95" applyNumberFormat="1" applyFont="1" applyFill="1" applyBorder="1" applyAlignment="1">
      <alignment horizontal="center" vertical="center"/>
      <protection/>
    </xf>
    <xf numFmtId="0" fontId="44" fillId="48" borderId="79" xfId="95" applyFont="1" applyFill="1" applyBorder="1" applyAlignment="1">
      <alignment horizontal="left" vertical="center" wrapText="1"/>
      <protection/>
    </xf>
    <xf numFmtId="0" fontId="44" fillId="48" borderId="69" xfId="95" applyFont="1" applyFill="1" applyBorder="1" applyAlignment="1">
      <alignment horizontal="left" vertical="center" wrapText="1"/>
      <protection/>
    </xf>
    <xf numFmtId="0" fontId="44" fillId="48" borderId="81" xfId="95" applyFont="1" applyFill="1" applyBorder="1" applyAlignment="1">
      <alignment horizontal="left" vertical="center" wrapText="1"/>
      <protection/>
    </xf>
    <xf numFmtId="0" fontId="44" fillId="48" borderId="56" xfId="95" applyFont="1" applyFill="1" applyBorder="1" applyAlignment="1" quotePrefix="1">
      <alignment horizontal="left" vertical="center" wrapText="1"/>
      <protection/>
    </xf>
    <xf numFmtId="0" fontId="43" fillId="0" borderId="56" xfId="95" applyFont="1" applyFill="1" applyBorder="1" applyAlignment="1">
      <alignment horizontal="left" vertical="center" wrapText="1"/>
      <protection/>
    </xf>
    <xf numFmtId="0" fontId="43" fillId="0" borderId="141" xfId="95" applyFont="1" applyBorder="1" applyAlignment="1">
      <alignment horizontal="center" vertical="center" wrapText="1"/>
      <protection/>
    </xf>
    <xf numFmtId="0" fontId="43" fillId="0" borderId="85" xfId="95" applyFont="1" applyBorder="1" applyAlignment="1">
      <alignment horizontal="center" vertical="center" wrapText="1"/>
      <protection/>
    </xf>
    <xf numFmtId="0" fontId="43" fillId="0" borderId="89" xfId="95" applyFont="1" applyBorder="1" applyAlignment="1">
      <alignment horizontal="center" vertical="center" wrapText="1"/>
      <protection/>
    </xf>
    <xf numFmtId="0" fontId="43" fillId="0" borderId="76" xfId="95" applyFont="1" applyBorder="1" applyAlignment="1">
      <alignment horizontal="center" vertical="center" wrapText="1"/>
      <protection/>
    </xf>
    <xf numFmtId="0" fontId="43" fillId="0" borderId="170" xfId="95" applyFont="1" applyBorder="1" applyAlignment="1">
      <alignment horizontal="center" vertical="center" wrapText="1"/>
      <protection/>
    </xf>
    <xf numFmtId="0" fontId="43" fillId="0" borderId="175" xfId="95" applyFont="1" applyBorder="1" applyAlignment="1">
      <alignment horizontal="center" vertical="center" wrapText="1"/>
      <protection/>
    </xf>
    <xf numFmtId="49" fontId="42" fillId="48" borderId="56" xfId="95" applyNumberFormat="1" applyFont="1" applyFill="1" applyBorder="1" applyAlignment="1">
      <alignment horizontal="center" vertical="center"/>
      <protection/>
    </xf>
    <xf numFmtId="0" fontId="43" fillId="48" borderId="56" xfId="95" applyFont="1" applyFill="1" applyBorder="1" applyAlignment="1">
      <alignment horizontal="left" vertical="center" wrapText="1"/>
      <protection/>
    </xf>
    <xf numFmtId="3" fontId="173" fillId="0" borderId="56" xfId="0" applyNumberFormat="1" applyFont="1" applyBorder="1" applyAlignment="1">
      <alignment horizontal="center" vertical="center" wrapText="1"/>
    </xf>
    <xf numFmtId="3" fontId="43" fillId="0" borderId="79" xfId="95" applyNumberFormat="1" applyFont="1" applyFill="1" applyBorder="1" applyAlignment="1">
      <alignment horizontal="center" vertical="center"/>
      <protection/>
    </xf>
    <xf numFmtId="3" fontId="43" fillId="0" borderId="69" xfId="95" applyNumberFormat="1" applyFont="1" applyFill="1" applyBorder="1" applyAlignment="1">
      <alignment horizontal="center" vertical="center"/>
      <protection/>
    </xf>
    <xf numFmtId="3" fontId="43" fillId="0" borderId="81" xfId="95" applyNumberFormat="1" applyFont="1" applyFill="1" applyBorder="1" applyAlignment="1">
      <alignment horizontal="center" vertical="center"/>
      <protection/>
    </xf>
    <xf numFmtId="0" fontId="44" fillId="0" borderId="79" xfId="95" applyFont="1" applyFill="1" applyBorder="1" applyAlignment="1">
      <alignment horizontal="left" vertical="top" wrapText="1"/>
      <protection/>
    </xf>
    <xf numFmtId="0" fontId="44" fillId="0" borderId="69" xfId="95" applyFont="1" applyFill="1" applyBorder="1" applyAlignment="1">
      <alignment horizontal="left" vertical="top" wrapText="1"/>
      <protection/>
    </xf>
    <xf numFmtId="0" fontId="44" fillId="0" borderId="81" xfId="95" applyFont="1" applyFill="1" applyBorder="1" applyAlignment="1">
      <alignment horizontal="left" vertical="top" wrapText="1"/>
      <protection/>
    </xf>
    <xf numFmtId="0" fontId="43" fillId="0" borderId="56" xfId="95" applyFont="1" applyBorder="1" applyAlignment="1">
      <alignment horizontal="center" vertical="center" wrapText="1"/>
      <protection/>
    </xf>
    <xf numFmtId="0" fontId="43" fillId="0" borderId="56" xfId="95" applyFont="1" applyBorder="1" applyAlignment="1">
      <alignment horizontal="right"/>
      <protection/>
    </xf>
    <xf numFmtId="0" fontId="41" fillId="0" borderId="56" xfId="95" applyFont="1" applyBorder="1" applyAlignment="1">
      <alignment horizontal="right"/>
      <protection/>
    </xf>
    <xf numFmtId="0" fontId="43" fillId="0" borderId="56" xfId="95" applyFont="1" applyFill="1" applyBorder="1" applyAlignment="1">
      <alignment horizontal="center" vertical="center" wrapText="1"/>
      <protection/>
    </xf>
    <xf numFmtId="0" fontId="89" fillId="0" borderId="56" xfId="95" applyFont="1" applyFill="1" applyBorder="1" applyAlignment="1">
      <alignment horizontal="center" vertical="center" wrapText="1"/>
      <protection/>
    </xf>
    <xf numFmtId="49" fontId="44" fillId="0" borderId="56" xfId="95" applyNumberFormat="1" applyFont="1" applyBorder="1" applyAlignment="1">
      <alignment horizontal="center" vertical="center" wrapText="1"/>
      <protection/>
    </xf>
    <xf numFmtId="3" fontId="44" fillId="0" borderId="56" xfId="95" applyNumberFormat="1" applyFont="1" applyBorder="1" applyAlignment="1">
      <alignment horizontal="center" vertical="center" wrapText="1"/>
      <protection/>
    </xf>
    <xf numFmtId="49" fontId="44" fillId="0" borderId="79" xfId="95" applyNumberFormat="1" applyFont="1" applyBorder="1" applyAlignment="1">
      <alignment horizontal="center" vertical="center" wrapText="1"/>
      <protection/>
    </xf>
    <xf numFmtId="49" fontId="44" fillId="0" borderId="81" xfId="95" applyNumberFormat="1" applyFont="1" applyBorder="1" applyAlignment="1">
      <alignment horizontal="center" vertical="center" wrapText="1"/>
      <protection/>
    </xf>
    <xf numFmtId="3" fontId="42" fillId="49" borderId="56" xfId="98" applyNumberFormat="1" applyFont="1" applyFill="1" applyBorder="1" applyAlignment="1">
      <alignment horizontal="center" vertical="center" wrapText="1"/>
      <protection/>
    </xf>
    <xf numFmtId="3" fontId="43" fillId="49" borderId="56" xfId="95" applyNumberFormat="1" applyFont="1" applyFill="1" applyBorder="1" applyAlignment="1">
      <alignment horizontal="center" vertical="center" wrapText="1"/>
      <protection/>
    </xf>
    <xf numFmtId="3" fontId="42" fillId="49" borderId="56" xfId="95" applyNumberFormat="1" applyFont="1" applyFill="1" applyBorder="1" applyAlignment="1">
      <alignment horizontal="center" vertical="center" wrapText="1"/>
      <protection/>
    </xf>
    <xf numFmtId="49" fontId="43" fillId="0" borderId="79" xfId="95" applyNumberFormat="1" applyFont="1" applyBorder="1" applyAlignment="1">
      <alignment horizontal="center" vertical="center" wrapText="1"/>
      <protection/>
    </xf>
    <xf numFmtId="49" fontId="43" fillId="0" borderId="81" xfId="95" applyNumberFormat="1" applyFont="1" applyBorder="1" applyAlignment="1">
      <alignment horizontal="center" vertical="center" wrapText="1"/>
      <protection/>
    </xf>
    <xf numFmtId="2" fontId="174" fillId="0" borderId="0" xfId="102" applyNumberFormat="1" applyFont="1" applyAlignment="1">
      <alignment horizontal="justify" vertical="top" wrapText="1"/>
      <protection/>
    </xf>
    <xf numFmtId="2" fontId="171" fillId="0" borderId="0" xfId="102" applyNumberFormat="1" applyFont="1" applyAlignment="1">
      <alignment horizontal="justify" vertical="top" wrapText="1"/>
      <protection/>
    </xf>
    <xf numFmtId="2" fontId="174" fillId="0" borderId="0" xfId="102" applyNumberFormat="1" applyFont="1" applyAlignment="1">
      <alignment horizontal="left" vertical="top" wrapText="1"/>
      <protection/>
    </xf>
    <xf numFmtId="2" fontId="93" fillId="0" borderId="0" xfId="102" applyNumberFormat="1" applyFont="1" applyAlignment="1">
      <alignment horizontal="left" vertical="top" wrapText="1"/>
      <protection/>
    </xf>
    <xf numFmtId="2" fontId="93" fillId="0" borderId="0" xfId="102" applyNumberFormat="1" applyFont="1" applyAlignment="1">
      <alignment horizontal="justify" vertical="top" wrapText="1"/>
      <protection/>
    </xf>
    <xf numFmtId="2" fontId="63" fillId="0" borderId="0" xfId="102" applyNumberFormat="1" applyFont="1" applyAlignment="1">
      <alignment horizontal="justify" vertical="top" wrapText="1"/>
      <protection/>
    </xf>
    <xf numFmtId="0" fontId="63" fillId="0" borderId="0" xfId="101" applyFont="1" applyAlignment="1">
      <alignment horizontal="justify" vertical="top" wrapText="1"/>
      <protection/>
    </xf>
    <xf numFmtId="0" fontId="56" fillId="0" borderId="84" xfId="102" applyFont="1" applyBorder="1" applyAlignment="1">
      <alignment horizontal="center" vertical="center"/>
      <protection/>
    </xf>
    <xf numFmtId="0" fontId="56" fillId="0" borderId="170" xfId="102" applyFont="1" applyBorder="1" applyAlignment="1">
      <alignment horizontal="center" vertical="center"/>
      <protection/>
    </xf>
    <xf numFmtId="0" fontId="57" fillId="0" borderId="75" xfId="102" applyFont="1" applyBorder="1" applyAlignment="1">
      <alignment vertical="center"/>
      <protection/>
    </xf>
    <xf numFmtId="0" fontId="57" fillId="0" borderId="175" xfId="102" applyFont="1" applyBorder="1" applyAlignment="1">
      <alignment vertical="center"/>
      <protection/>
    </xf>
    <xf numFmtId="0" fontId="56" fillId="0" borderId="79" xfId="102" applyFont="1" applyBorder="1" applyAlignment="1">
      <alignment horizontal="center" vertical="center" wrapText="1"/>
      <protection/>
    </xf>
    <xf numFmtId="0" fontId="57" fillId="0" borderId="176" xfId="101" applyFont="1" applyBorder="1" applyAlignment="1">
      <alignment horizontal="center" vertical="center" wrapText="1"/>
      <protection/>
    </xf>
    <xf numFmtId="0" fontId="167" fillId="0" borderId="71" xfId="102" applyFont="1" applyBorder="1" applyAlignment="1">
      <alignment horizontal="center"/>
      <protection/>
    </xf>
    <xf numFmtId="0" fontId="167" fillId="0" borderId="72" xfId="102" applyFont="1" applyBorder="1" applyAlignment="1">
      <alignment/>
      <protection/>
    </xf>
    <xf numFmtId="2" fontId="174" fillId="0" borderId="0" xfId="102" applyNumberFormat="1" applyFont="1" applyAlignment="1">
      <alignment horizontal="justify" wrapText="1"/>
      <protection/>
    </xf>
    <xf numFmtId="2" fontId="171" fillId="0" borderId="0" xfId="101" applyNumberFormat="1" applyFont="1" applyAlignment="1">
      <alignment horizontal="justify" wrapText="1"/>
      <protection/>
    </xf>
    <xf numFmtId="0" fontId="52" fillId="0" borderId="0" xfId="99" applyFont="1" applyAlignment="1">
      <alignment wrapText="1"/>
      <protection/>
    </xf>
    <xf numFmtId="0" fontId="81" fillId="0" borderId="26" xfId="99" applyFont="1" applyBorder="1" applyAlignment="1">
      <alignment horizontal="center" vertical="center"/>
      <protection/>
    </xf>
    <xf numFmtId="0" fontId="99" fillId="0" borderId="30" xfId="99" applyFont="1" applyBorder="1" applyAlignment="1">
      <alignment vertical="center"/>
      <protection/>
    </xf>
    <xf numFmtId="0" fontId="81" fillId="0" borderId="120" xfId="99" applyFont="1" applyBorder="1" applyAlignment="1">
      <alignment horizontal="center" vertical="center" wrapText="1"/>
      <protection/>
    </xf>
    <xf numFmtId="0" fontId="99" fillId="0" borderId="121" xfId="99" applyFont="1" applyBorder="1" applyAlignment="1">
      <alignment horizontal="center" vertical="center" wrapText="1"/>
      <protection/>
    </xf>
    <xf numFmtId="0" fontId="81" fillId="0" borderId="22" xfId="99" applyFont="1" applyBorder="1" applyAlignment="1">
      <alignment horizontal="center" vertical="center" wrapText="1"/>
      <protection/>
    </xf>
    <xf numFmtId="0" fontId="99" fillId="0" borderId="23" xfId="99" applyFont="1" applyBorder="1" applyAlignment="1">
      <alignment horizontal="center" vertical="center" wrapText="1"/>
      <protection/>
    </xf>
    <xf numFmtId="0" fontId="81" fillId="0" borderId="28" xfId="99" applyFont="1" applyBorder="1" applyAlignment="1">
      <alignment horizontal="center" vertical="center" wrapText="1"/>
      <protection/>
    </xf>
    <xf numFmtId="0" fontId="99" fillId="0" borderId="32" xfId="99" applyFont="1" applyBorder="1" applyAlignment="1">
      <alignment horizontal="center" vertical="center" wrapText="1"/>
      <protection/>
    </xf>
    <xf numFmtId="0" fontId="81" fillId="0" borderId="103" xfId="99" applyFont="1" applyBorder="1" applyAlignment="1">
      <alignment horizontal="center" vertical="center"/>
      <protection/>
    </xf>
    <xf numFmtId="0" fontId="99" fillId="0" borderId="194" xfId="99" applyFont="1" applyBorder="1" applyAlignment="1">
      <alignment vertical="center"/>
      <protection/>
    </xf>
    <xf numFmtId="0" fontId="99" fillId="0" borderId="195" xfId="99" applyFont="1" applyBorder="1" applyAlignment="1">
      <alignment vertical="center"/>
      <protection/>
    </xf>
    <xf numFmtId="0" fontId="81" fillId="0" borderId="197" xfId="99" applyFont="1" applyBorder="1" applyAlignment="1">
      <alignment horizontal="center" vertical="center"/>
      <protection/>
    </xf>
    <xf numFmtId="0" fontId="81" fillId="0" borderId="198" xfId="99" applyFont="1" applyBorder="1" applyAlignment="1">
      <alignment vertical="center"/>
      <protection/>
    </xf>
    <xf numFmtId="0" fontId="81" fillId="0" borderId="110" xfId="99" applyFont="1" applyBorder="1" applyAlignment="1">
      <alignment vertical="center"/>
      <protection/>
    </xf>
    <xf numFmtId="0" fontId="63" fillId="0" borderId="0" xfId="99" applyFont="1" applyAlignment="1">
      <alignment wrapText="1"/>
      <protection/>
    </xf>
    <xf numFmtId="0" fontId="63" fillId="0" borderId="0" xfId="99" applyFont="1" applyAlignment="1">
      <alignment horizontal="left" wrapText="1"/>
      <protection/>
    </xf>
    <xf numFmtId="0" fontId="52" fillId="0" borderId="0" xfId="99" applyFont="1" applyAlignment="1">
      <alignment horizontal="left" wrapText="1"/>
      <protection/>
    </xf>
    <xf numFmtId="0" fontId="35" fillId="0" borderId="5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2" fontId="18" fillId="0" borderId="179" xfId="0" applyNumberFormat="1" applyFont="1" applyFill="1" applyBorder="1" applyAlignment="1">
      <alignment horizontal="left" vertical="center" wrapText="1" shrinkToFit="1"/>
    </xf>
    <xf numFmtId="2" fontId="18" fillId="0" borderId="182" xfId="0" applyNumberFormat="1" applyFont="1" applyFill="1" applyBorder="1" applyAlignment="1">
      <alignment horizontal="left" vertical="center" wrapText="1" shrinkToFit="1"/>
    </xf>
    <xf numFmtId="3" fontId="88" fillId="0" borderId="56" xfId="104" applyNumberFormat="1" applyFont="1" applyFill="1" applyBorder="1" applyAlignment="1">
      <alignment horizontal="right"/>
      <protection/>
    </xf>
    <xf numFmtId="3" fontId="83" fillId="0" borderId="56" xfId="104" applyNumberFormat="1" applyFont="1" applyFill="1" applyBorder="1" applyAlignment="1">
      <alignment horizontal="right"/>
      <protection/>
    </xf>
    <xf numFmtId="3" fontId="83" fillId="0" borderId="56" xfId="104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 vertical="center" shrinkToFit="1"/>
    </xf>
    <xf numFmtId="0" fontId="37" fillId="0" borderId="0" xfId="0" applyFont="1" applyFill="1" applyAlignment="1">
      <alignment horizontal="right" shrinkToFit="1"/>
    </xf>
    <xf numFmtId="0" fontId="17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104" applyFont="1" applyFill="1" applyAlignment="1">
      <alignment horizontal="right" vertical="top" wrapText="1"/>
      <protection/>
    </xf>
    <xf numFmtId="0" fontId="83" fillId="0" borderId="0" xfId="104" applyFont="1" applyFill="1" applyAlignment="1">
      <alignment horizontal="right"/>
      <protection/>
    </xf>
    <xf numFmtId="0" fontId="41" fillId="0" borderId="0" xfId="95" applyFont="1" applyBorder="1" applyAlignment="1">
      <alignment horizontal="right" wrapText="1"/>
      <protection/>
    </xf>
    <xf numFmtId="0" fontId="36" fillId="0" borderId="0" xfId="0" applyFont="1" applyFill="1" applyAlignment="1">
      <alignment horizontal="right" shrinkToFit="1"/>
    </xf>
    <xf numFmtId="0" fontId="49" fillId="0" borderId="0" xfId="99" applyFont="1" applyAlignment="1">
      <alignment horizontal="right" vertical="top"/>
      <protection/>
    </xf>
    <xf numFmtId="0" fontId="27" fillId="0" borderId="0" xfId="0" applyFont="1" applyAlignment="1">
      <alignment horizontal="right"/>
    </xf>
    <xf numFmtId="3" fontId="0" fillId="0" borderId="0" xfId="0" applyNumberFormat="1" applyFont="1" applyAlignment="1">
      <alignment horizontal="right" vertical="top"/>
    </xf>
    <xf numFmtId="0" fontId="41" fillId="0" borderId="0" xfId="93" applyFont="1" applyAlignment="1">
      <alignment horizontal="right" vertical="top"/>
      <protection/>
    </xf>
    <xf numFmtId="177" fontId="44" fillId="0" borderId="0" xfId="95" applyNumberFormat="1" applyFont="1" applyFill="1" applyBorder="1" applyAlignment="1">
      <alignment horizontal="right" vertical="center" wrapText="1"/>
      <protection/>
    </xf>
    <xf numFmtId="177" fontId="44" fillId="0" borderId="76" xfId="95" applyNumberFormat="1" applyFont="1" applyFill="1" applyBorder="1" applyAlignment="1">
      <alignment horizontal="right" vertical="center" wrapText="1"/>
      <protection/>
    </xf>
  </cellXfs>
  <cellStyles count="10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ál 2" xfId="93"/>
    <cellStyle name="Normál 3" xfId="94"/>
    <cellStyle name="Normál 4" xfId="95"/>
    <cellStyle name="Normál_12_urlap_Mérleg_MJEL 01R_ABCDEF_2014re_nov19" xfId="96"/>
    <cellStyle name="Normál_12dmelléklet" xfId="97"/>
    <cellStyle name="Normál_12dmelléklet 2" xfId="98"/>
    <cellStyle name="Normál_2009.évi 2" xfId="99"/>
    <cellStyle name="Normal_KARSZJ3" xfId="100"/>
    <cellStyle name="Normál_kimutatások" xfId="101"/>
    <cellStyle name="Normál_közvetett tám" xfId="102"/>
    <cellStyle name="Normál_ktgvetés zárszám mellékletei 2" xfId="103"/>
    <cellStyle name="Normál_Mellékletek rendeleti" xfId="104"/>
    <cellStyle name="Normál_Munka1 2" xfId="105"/>
    <cellStyle name="Normál_végső rend. képv.mód-sal" xfId="106"/>
    <cellStyle name="Normál_végső rend. képv.mód-sal 2" xfId="107"/>
    <cellStyle name="Összesen" xfId="108"/>
    <cellStyle name="Összesen 2" xfId="109"/>
    <cellStyle name="Currency" xfId="110"/>
    <cellStyle name="Currency [0]" xfId="111"/>
    <cellStyle name="Rossz" xfId="112"/>
    <cellStyle name="Rossz 2" xfId="113"/>
    <cellStyle name="Semleges" xfId="114"/>
    <cellStyle name="Semleges 2" xfId="115"/>
    <cellStyle name="Számítás" xfId="116"/>
    <cellStyle name="Számítás 2" xfId="117"/>
    <cellStyle name="Percen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47625</xdr:rowOff>
    </xdr:from>
    <xdr:to>
      <xdr:col>10</xdr:col>
      <xdr:colOff>200025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0" y="47625"/>
          <a:ext cx="543877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melléklet 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2017. évben 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2</xdr:row>
      <xdr:rowOff>123825</xdr:rowOff>
    </xdr:from>
    <xdr:to>
      <xdr:col>7</xdr:col>
      <xdr:colOff>857250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790825" y="409575"/>
          <a:ext cx="7505700" cy="5429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10. melléklet 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Tervezett adósságot keletkeztető ügyletek fejlesztési célok szerint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19050</xdr:rowOff>
    </xdr:from>
    <xdr:to>
      <xdr:col>5</xdr:col>
      <xdr:colOff>476250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971925" y="180975"/>
          <a:ext cx="357187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maradványkimutatás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257175</xdr:rowOff>
    </xdr:from>
    <xdr:to>
      <xdr:col>7</xdr:col>
      <xdr:colOff>857250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57450" y="257175"/>
          <a:ext cx="5724525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maradvány felosztása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38100</xdr:rowOff>
    </xdr:from>
    <xdr:to>
      <xdr:col>3</xdr:col>
      <xdr:colOff>419100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581275" y="38100"/>
          <a:ext cx="4905375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13/B.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mérleg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47625</xdr:rowOff>
    </xdr:from>
    <xdr:to>
      <xdr:col>3</xdr:col>
      <xdr:colOff>304800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733675" y="47625"/>
          <a:ext cx="46196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13/A.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mérleg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19050</xdr:rowOff>
    </xdr:from>
    <xdr:to>
      <xdr:col>0</xdr:col>
      <xdr:colOff>5095875</xdr:colOff>
      <xdr:row>2</xdr:row>
      <xdr:rowOff>200025</xdr:rowOff>
    </xdr:to>
    <xdr:sp>
      <xdr:nvSpPr>
        <xdr:cNvPr id="1" name="Szöveg 1" descr="5%-os"/>
        <xdr:cNvSpPr>
          <a:spLocks/>
        </xdr:cNvSpPr>
      </xdr:nvSpPr>
      <xdr:spPr>
        <a:xfrm>
          <a:off x="647700" y="171450"/>
          <a:ext cx="4438650" cy="40005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13/C. melléklet 
</a:t>
          </a:r>
          <a:r>
            <a:rPr lang="en-US" cap="none" sz="900" b="0" i="0" u="none" baseline="0">
              <a:solidFill>
                <a:srgbClr val="000000"/>
              </a:solidFill>
            </a:rPr>
            <a:t>Önkormányzat vagyonkimutatása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114300</xdr:rowOff>
    </xdr:from>
    <xdr:to>
      <xdr:col>46</xdr:col>
      <xdr:colOff>142875</xdr:colOff>
      <xdr:row>1</xdr:row>
      <xdr:rowOff>38100</xdr:rowOff>
    </xdr:to>
    <xdr:sp>
      <xdr:nvSpPr>
        <xdr:cNvPr id="1" name="Szöveg 1" descr="5%-os"/>
        <xdr:cNvSpPr>
          <a:spLocks/>
        </xdr:cNvSpPr>
      </xdr:nvSpPr>
      <xdr:spPr>
        <a:xfrm>
          <a:off x="1076325" y="114300"/>
          <a:ext cx="8639175" cy="6477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13/D. melléklet
</a:t>
          </a:r>
          <a:r>
            <a:rPr lang="en-US" cap="none" sz="900" b="0" i="0" u="none" baseline="0">
              <a:solidFill>
                <a:srgbClr val="000000"/>
              </a:solidFill>
            </a:rPr>
            <a:t>Kimutatás az immateriális javak, tárgyi eszközök, koncesszióba, vagyonkezelésbe adott eszközök állományának alakulásáról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0</xdr:row>
      <xdr:rowOff>66675</xdr:rowOff>
    </xdr:from>
    <xdr:to>
      <xdr:col>25</xdr:col>
      <xdr:colOff>666750</xdr:colOff>
      <xdr:row>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895850" y="66675"/>
          <a:ext cx="359092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14/A.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eredménykimutatás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0</xdr:row>
      <xdr:rowOff>66675</xdr:rowOff>
    </xdr:from>
    <xdr:to>
      <xdr:col>25</xdr:col>
      <xdr:colOff>666750</xdr:colOff>
      <xdr:row>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895850" y="66675"/>
          <a:ext cx="3581400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14/B.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eredménykimutatás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</xdr:row>
      <xdr:rowOff>28575</xdr:rowOff>
    </xdr:from>
    <xdr:to>
      <xdr:col>37</xdr:col>
      <xdr:colOff>114300</xdr:colOff>
      <xdr:row>1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4238625" y="361950"/>
          <a:ext cx="362902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 Az eszközök értékvesztésének alakulása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</xdr:rowOff>
    </xdr:from>
    <xdr:to>
      <xdr:col>3</xdr:col>
      <xdr:colOff>857250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85800" y="200025"/>
          <a:ext cx="5638800" cy="2762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 melléklet 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2017. ÉVI KÖLTSÉGVETÉSÉNEK ÖSSZEVONT MÉRLEGE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2143125</xdr:colOff>
      <xdr:row>0</xdr:row>
      <xdr:rowOff>0</xdr:rowOff>
    </xdr:from>
    <xdr:to>
      <xdr:col>4</xdr:col>
      <xdr:colOff>371475</xdr:colOff>
      <xdr:row>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400300" y="0"/>
          <a:ext cx="4876800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kimutatás 
</a:t>
          </a:r>
          <a:r>
            <a:rPr lang="en-US" cap="none" sz="1000" b="0" i="0" u="none" baseline="0">
              <a:solidFill>
                <a:srgbClr val="000000"/>
              </a:solidFill>
            </a:rPr>
            <a:t>2017. állami támogatások részletezése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</xdr:row>
      <xdr:rowOff>57150</xdr:rowOff>
    </xdr:from>
    <xdr:to>
      <xdr:col>5</xdr:col>
      <xdr:colOff>885825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23975" y="209550"/>
          <a:ext cx="6600825" cy="228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melléklet  Kiskőrös Város 2017. ÉVI KÖLTSÉGVETÉSI BEVÉTELEI ÉS KIADÁSAI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0</xdr:row>
      <xdr:rowOff>114300</xdr:rowOff>
    </xdr:from>
    <xdr:to>
      <xdr:col>9</xdr:col>
      <xdr:colOff>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57450" y="114300"/>
          <a:ext cx="5953125" cy="3143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melléklet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AZ ÖNKORMÁNYZAT ÁLTAL IRÁNYÍTOTT KÖLTSÉGVETÉSI SZERVEK  2017.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2352675</xdr:colOff>
      <xdr:row>0</xdr:row>
      <xdr:rowOff>47625</xdr:rowOff>
    </xdr:from>
    <xdr:to>
      <xdr:col>12</xdr:col>
      <xdr:colOff>219075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371850" y="47625"/>
          <a:ext cx="703897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 melléklet  2017. ÉVI KÖLTSÉGVETÉSI KIADÁSOK
</a:t>
          </a:r>
          <a:r>
            <a:rPr lang="en-US" cap="none" sz="10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9525</xdr:rowOff>
    </xdr:from>
    <xdr:to>
      <xdr:col>2</xdr:col>
      <xdr:colOff>5200650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161925"/>
          <a:ext cx="5029200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 melléklet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, EGYÉB FELHALMOZÁSI JELLEGŰ KIADÁSOK, FINANSZÍROZÁSI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3</xdr:row>
      <xdr:rowOff>0</xdr:rowOff>
    </xdr:from>
    <xdr:to>
      <xdr:col>4</xdr:col>
      <xdr:colOff>790575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28850" y="485775"/>
          <a:ext cx="5934075" cy="819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7. melléklet 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2017. ÉVI CÉLTARTALÉKA
</a:t>
          </a:r>
          <a:r>
            <a:rPr lang="en-US" cap="none" sz="10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66675</xdr:rowOff>
    </xdr:from>
    <xdr:to>
      <xdr:col>9</xdr:col>
      <xdr:colOff>161925</xdr:colOff>
      <xdr:row>0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09600" y="66675"/>
          <a:ext cx="9686925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  melléklet 
</a:t>
          </a:r>
          <a:r>
            <a:rPr lang="en-US" cap="none" sz="700" b="0" i="0" u="none" baseline="0">
              <a:solidFill>
                <a:srgbClr val="000000"/>
              </a:solidFill>
            </a:rPr>
            <a:t>KISKŐRÖS VÁROS 2017. ÉVI EURÓPAI UNIÓS FORRÁSBÓL FINANSZÍROZOTT TÁMOGATÁSSAL MEGVALÓSULÓ TERVEZETT PROGRAMJAI, PROJEKTJEI, ILLETVE ILYEN PROJEKTEKHEZ TÖRTÉNŐ HOZZÁJÁRULÁSAI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47625</xdr:rowOff>
    </xdr:from>
    <xdr:to>
      <xdr:col>5</xdr:col>
      <xdr:colOff>504825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90600" y="295275"/>
          <a:ext cx="6610350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melléklet 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Több éves kihatással járó döntések (előirányzatai) számszerűsítése évenkénti bontásban és összesítve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lnareva\Documents\2016\k&#246;lts&#233;gvet&#233;s\el&#337;terjeszt&#233;s\el&#337;terj%202016%20ktgvet&#233;s%2002%2005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"/>
      <sheetName val="2.mell"/>
      <sheetName val="3.mell"/>
      <sheetName val="4.mell "/>
      <sheetName val="5.mell"/>
      <sheetName val="6.mell"/>
      <sheetName val="7.mell"/>
      <sheetName val="8.mell"/>
      <sheetName val="9 több év"/>
      <sheetName val="10.mell "/>
      <sheetName val="1.kim"/>
      <sheetName val="2.kim"/>
      <sheetName val="3.kim"/>
    </sheetNames>
    <sheetDataSet>
      <sheetData sheetId="1">
        <row r="12">
          <cell r="C12">
            <v>101714</v>
          </cell>
        </row>
        <row r="13">
          <cell r="C13">
            <v>31905</v>
          </cell>
        </row>
        <row r="15">
          <cell r="C15">
            <v>785678</v>
          </cell>
        </row>
        <row r="16">
          <cell r="D16">
            <v>35526</v>
          </cell>
        </row>
        <row r="17">
          <cell r="C17">
            <v>591500</v>
          </cell>
        </row>
        <row r="18">
          <cell r="C18">
            <v>93362</v>
          </cell>
        </row>
        <row r="19">
          <cell r="D19">
            <v>0</v>
          </cell>
        </row>
        <row r="20">
          <cell r="C20">
            <v>0</v>
          </cell>
        </row>
        <row r="21">
          <cell r="D21">
            <v>2500</v>
          </cell>
        </row>
        <row r="26">
          <cell r="E26">
            <v>1246432</v>
          </cell>
        </row>
        <row r="27">
          <cell r="E27">
            <v>5000000</v>
          </cell>
        </row>
        <row r="34">
          <cell r="C34">
            <v>585068</v>
          </cell>
        </row>
        <row r="35">
          <cell r="C35">
            <v>155518</v>
          </cell>
        </row>
        <row r="36">
          <cell r="C36">
            <v>785713</v>
          </cell>
        </row>
        <row r="37">
          <cell r="C37">
            <v>8450</v>
          </cell>
        </row>
        <row r="38">
          <cell r="C38">
            <v>575046</v>
          </cell>
        </row>
        <row r="41">
          <cell r="D41">
            <v>592184</v>
          </cell>
        </row>
        <row r="42">
          <cell r="D42">
            <v>117159</v>
          </cell>
        </row>
        <row r="43">
          <cell r="D43">
            <v>19267</v>
          </cell>
        </row>
        <row r="47">
          <cell r="E47">
            <v>5018307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36"/>
  <sheetViews>
    <sheetView view="pageBreakPreview" zoomScaleSheetLayoutView="100" zoomScalePageLayoutView="0" workbookViewId="0" topLeftCell="A1">
      <selection activeCell="L1" sqref="L1:O1"/>
    </sheetView>
  </sheetViews>
  <sheetFormatPr defaultColWidth="7.75390625" defaultRowHeight="12.75"/>
  <cols>
    <col min="1" max="1" width="3.125" style="813" customWidth="1"/>
    <col min="2" max="2" width="30.125" style="813" customWidth="1"/>
    <col min="3" max="14" width="11.625" style="813" customWidth="1"/>
    <col min="15" max="15" width="13.375" style="813" customWidth="1"/>
    <col min="16" max="16" width="4.375" style="814" customWidth="1"/>
    <col min="17" max="17" width="7.75390625" style="814" customWidth="1"/>
    <col min="18" max="18" width="11.75390625" style="814" customWidth="1"/>
    <col min="19" max="16384" width="7.75390625" style="814" customWidth="1"/>
  </cols>
  <sheetData>
    <row r="1" spans="12:15" ht="12.75">
      <c r="L1" s="1950" t="s">
        <v>1092</v>
      </c>
      <c r="M1" s="1950"/>
      <c r="N1" s="1950"/>
      <c r="O1" s="1950"/>
    </row>
    <row r="3" ht="19.5" customHeight="1" thickBot="1">
      <c r="O3" s="815" t="s">
        <v>875</v>
      </c>
    </row>
    <row r="4" spans="1:15" ht="17.25" customHeight="1" thickBot="1">
      <c r="A4" s="1424" t="s">
        <v>521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6"/>
    </row>
    <row r="5" spans="1:15" s="820" customFormat="1" ht="12.75">
      <c r="A5" s="816"/>
      <c r="B5" s="817"/>
      <c r="C5" s="818" t="s">
        <v>522</v>
      </c>
      <c r="D5" s="818" t="s">
        <v>523</v>
      </c>
      <c r="E5" s="818" t="s">
        <v>524</v>
      </c>
      <c r="F5" s="818" t="s">
        <v>525</v>
      </c>
      <c r="G5" s="818" t="s">
        <v>526</v>
      </c>
      <c r="H5" s="818" t="s">
        <v>527</v>
      </c>
      <c r="I5" s="863" t="s">
        <v>531</v>
      </c>
      <c r="J5" s="867" t="s">
        <v>532</v>
      </c>
      <c r="K5" s="818" t="s">
        <v>533</v>
      </c>
      <c r="L5" s="818" t="s">
        <v>534</v>
      </c>
      <c r="M5" s="818" t="s">
        <v>535</v>
      </c>
      <c r="N5" s="868" t="s">
        <v>536</v>
      </c>
      <c r="O5" s="819" t="s">
        <v>2</v>
      </c>
    </row>
    <row r="6" spans="1:20" ht="15" customHeight="1">
      <c r="A6" s="821" t="s">
        <v>3</v>
      </c>
      <c r="B6" s="822" t="s">
        <v>528</v>
      </c>
      <c r="C6" s="823">
        <v>9940733</v>
      </c>
      <c r="D6" s="823">
        <v>10213858</v>
      </c>
      <c r="E6" s="823">
        <v>10500219</v>
      </c>
      <c r="F6" s="823">
        <v>10129664</v>
      </c>
      <c r="G6" s="823">
        <v>10611773</v>
      </c>
      <c r="H6" s="823">
        <v>49777448</v>
      </c>
      <c r="I6" s="864">
        <v>10159343</v>
      </c>
      <c r="J6" s="869">
        <v>10161428</v>
      </c>
      <c r="K6" s="823">
        <v>11396793</v>
      </c>
      <c r="L6" s="823">
        <v>10386517</v>
      </c>
      <c r="M6" s="823">
        <v>10504094</v>
      </c>
      <c r="N6" s="870">
        <v>11823592</v>
      </c>
      <c r="O6" s="824">
        <f>'2. '!E12</f>
        <v>165605462</v>
      </c>
      <c r="P6" s="825"/>
      <c r="Q6" s="825"/>
      <c r="R6" s="825"/>
      <c r="T6" s="825"/>
    </row>
    <row r="7" spans="1:20" ht="25.5" customHeight="1">
      <c r="A7" s="826" t="s">
        <v>4</v>
      </c>
      <c r="B7" s="827" t="s">
        <v>287</v>
      </c>
      <c r="C7" s="828">
        <v>65804850</v>
      </c>
      <c r="D7" s="828">
        <v>49086857</v>
      </c>
      <c r="E7" s="828">
        <v>49875232</v>
      </c>
      <c r="F7" s="828">
        <v>51770521</v>
      </c>
      <c r="G7" s="828">
        <v>58226452</v>
      </c>
      <c r="H7" s="828">
        <v>99088061</v>
      </c>
      <c r="I7" s="865">
        <v>50366536</v>
      </c>
      <c r="J7" s="871">
        <v>51060812</v>
      </c>
      <c r="K7" s="828">
        <v>52677567</v>
      </c>
      <c r="L7" s="828">
        <v>62150281</v>
      </c>
      <c r="M7" s="828">
        <v>78551839</v>
      </c>
      <c r="N7" s="854">
        <v>63241425</v>
      </c>
      <c r="O7" s="829">
        <f>'2. '!E21</f>
        <v>731900433</v>
      </c>
      <c r="P7" s="825"/>
      <c r="Q7" s="825"/>
      <c r="R7" s="825"/>
      <c r="T7" s="825"/>
    </row>
    <row r="8" spans="1:24" ht="30.75" customHeight="1">
      <c r="A8" s="826" t="s">
        <v>5</v>
      </c>
      <c r="B8" s="830" t="s">
        <v>288</v>
      </c>
      <c r="C8" s="828">
        <v>0</v>
      </c>
      <c r="D8" s="828">
        <v>0</v>
      </c>
      <c r="E8" s="828">
        <v>0</v>
      </c>
      <c r="F8" s="828">
        <v>10414811</v>
      </c>
      <c r="G8" s="828">
        <v>2160000</v>
      </c>
      <c r="H8" s="828">
        <v>0</v>
      </c>
      <c r="I8" s="865">
        <v>0</v>
      </c>
      <c r="J8" s="871">
        <v>628618709</v>
      </c>
      <c r="K8" s="828">
        <v>137019157</v>
      </c>
      <c r="L8" s="828">
        <v>269065</v>
      </c>
      <c r="M8" s="828">
        <v>9153060</v>
      </c>
      <c r="N8" s="854">
        <v>3280197</v>
      </c>
      <c r="O8" s="829">
        <f>'2. '!E25</f>
        <v>790914999</v>
      </c>
      <c r="P8" s="825"/>
      <c r="Q8" s="825"/>
      <c r="R8" s="825"/>
      <c r="T8" s="825"/>
      <c r="W8" s="1431"/>
      <c r="X8" s="1432"/>
    </row>
    <row r="9" spans="1:20" ht="12.75">
      <c r="A9" s="826" t="s">
        <v>6</v>
      </c>
      <c r="B9" s="827" t="s">
        <v>102</v>
      </c>
      <c r="C9" s="828">
        <v>2822828</v>
      </c>
      <c r="D9" s="828">
        <v>12441801</v>
      </c>
      <c r="E9" s="828">
        <v>353065130</v>
      </c>
      <c r="F9" s="828">
        <v>9726827</v>
      </c>
      <c r="G9" s="828">
        <v>35489600</v>
      </c>
      <c r="H9" s="828">
        <v>19195129</v>
      </c>
      <c r="I9" s="865">
        <v>16064371</v>
      </c>
      <c r="J9" s="871">
        <v>121907819</v>
      </c>
      <c r="K9" s="828">
        <v>270351134</v>
      </c>
      <c r="L9" s="828">
        <v>13807715</v>
      </c>
      <c r="M9" s="828">
        <v>32529759</v>
      </c>
      <c r="N9" s="854">
        <v>38936073</v>
      </c>
      <c r="O9" s="829">
        <f>'2. '!E29</f>
        <v>926338186</v>
      </c>
      <c r="P9" s="825"/>
      <c r="Q9" s="825"/>
      <c r="R9" s="825"/>
      <c r="T9" s="825"/>
    </row>
    <row r="10" spans="1:20" ht="12.75">
      <c r="A10" s="826" t="s">
        <v>7</v>
      </c>
      <c r="B10" s="827" t="s">
        <v>289</v>
      </c>
      <c r="C10" s="828">
        <v>7823524</v>
      </c>
      <c r="D10" s="828">
        <v>8174402</v>
      </c>
      <c r="E10" s="828">
        <v>14575109</v>
      </c>
      <c r="F10" s="828">
        <v>21081674</v>
      </c>
      <c r="G10" s="828">
        <v>8498769</v>
      </c>
      <c r="H10" s="828">
        <v>6846859</v>
      </c>
      <c r="I10" s="865">
        <v>8748333</v>
      </c>
      <c r="J10" s="871">
        <v>4694823</v>
      </c>
      <c r="K10" s="828">
        <v>9891133</v>
      </c>
      <c r="L10" s="828">
        <v>10982412</v>
      </c>
      <c r="M10" s="828">
        <v>8489121</v>
      </c>
      <c r="N10" s="854">
        <v>13370061</v>
      </c>
      <c r="O10" s="829">
        <f>'2. '!E33</f>
        <v>123176220</v>
      </c>
      <c r="P10" s="825"/>
      <c r="Q10" s="825"/>
      <c r="R10" s="825"/>
      <c r="T10" s="825"/>
    </row>
    <row r="11" spans="1:20" ht="13.5" customHeight="1">
      <c r="A11" s="826" t="s">
        <v>8</v>
      </c>
      <c r="B11" s="827" t="s">
        <v>290</v>
      </c>
      <c r="C11" s="828">
        <v>0</v>
      </c>
      <c r="D11" s="828">
        <v>65237</v>
      </c>
      <c r="E11" s="828">
        <v>0</v>
      </c>
      <c r="F11" s="828">
        <v>0</v>
      </c>
      <c r="G11" s="828">
        <v>1310000</v>
      </c>
      <c r="H11" s="828">
        <v>4857500</v>
      </c>
      <c r="I11" s="865">
        <v>6375000</v>
      </c>
      <c r="J11" s="871">
        <v>48000000</v>
      </c>
      <c r="K11" s="828">
        <v>1280000</v>
      </c>
      <c r="L11" s="828">
        <v>179700</v>
      </c>
      <c r="M11" s="828">
        <v>68600</v>
      </c>
      <c r="N11" s="854">
        <v>0</v>
      </c>
      <c r="O11" s="829">
        <f>'2. '!E37</f>
        <v>62136037</v>
      </c>
      <c r="P11" s="825"/>
      <c r="Q11" s="825"/>
      <c r="R11" s="825"/>
      <c r="T11" s="825"/>
    </row>
    <row r="12" spans="1:20" ht="12.75">
      <c r="A12" s="826" t="s">
        <v>9</v>
      </c>
      <c r="B12" s="827" t="s">
        <v>291</v>
      </c>
      <c r="C12" s="828">
        <v>0</v>
      </c>
      <c r="D12" s="828">
        <v>0</v>
      </c>
      <c r="E12" s="828">
        <v>0</v>
      </c>
      <c r="F12" s="828">
        <v>20036436</v>
      </c>
      <c r="G12" s="828">
        <v>0</v>
      </c>
      <c r="H12" s="828">
        <v>500000</v>
      </c>
      <c r="I12" s="865">
        <v>0</v>
      </c>
      <c r="J12" s="871">
        <v>0</v>
      </c>
      <c r="K12" s="828">
        <v>0</v>
      </c>
      <c r="L12" s="828">
        <v>0</v>
      </c>
      <c r="M12" s="828">
        <v>0</v>
      </c>
      <c r="N12" s="854">
        <v>0</v>
      </c>
      <c r="O12" s="829">
        <f>'2. '!C41</f>
        <v>20536436</v>
      </c>
      <c r="P12" s="825"/>
      <c r="Q12" s="825"/>
      <c r="R12" s="825"/>
      <c r="T12" s="825"/>
    </row>
    <row r="13" spans="1:21" ht="13.5" customHeight="1">
      <c r="A13" s="826" t="s">
        <v>10</v>
      </c>
      <c r="B13" s="827" t="s">
        <v>205</v>
      </c>
      <c r="C13" s="828">
        <v>7150</v>
      </c>
      <c r="D13" s="828">
        <v>7150</v>
      </c>
      <c r="E13" s="828">
        <v>135150</v>
      </c>
      <c r="F13" s="828">
        <v>426007</v>
      </c>
      <c r="G13" s="828">
        <v>13770</v>
      </c>
      <c r="H13" s="828">
        <v>7150</v>
      </c>
      <c r="I13" s="865">
        <v>103684</v>
      </c>
      <c r="J13" s="871">
        <v>7150</v>
      </c>
      <c r="K13" s="828">
        <v>7150</v>
      </c>
      <c r="L13" s="828">
        <v>1197903</v>
      </c>
      <c r="M13" s="828">
        <v>7150</v>
      </c>
      <c r="N13" s="854">
        <v>7150</v>
      </c>
      <c r="O13" s="829">
        <f>'2. '!E45</f>
        <v>1926564</v>
      </c>
      <c r="P13" s="825"/>
      <c r="Q13" s="825"/>
      <c r="R13" s="825"/>
      <c r="T13" s="825"/>
      <c r="U13" s="825"/>
    </row>
    <row r="14" spans="1:20" ht="13.5" thickBot="1">
      <c r="A14" s="826" t="s">
        <v>11</v>
      </c>
      <c r="B14" s="827" t="s">
        <v>189</v>
      </c>
      <c r="C14" s="828">
        <v>72490000</v>
      </c>
      <c r="D14" s="828">
        <v>0</v>
      </c>
      <c r="E14" s="828">
        <v>444900000</v>
      </c>
      <c r="F14" s="828">
        <v>603875027</v>
      </c>
      <c r="G14" s="828">
        <v>415853926</v>
      </c>
      <c r="H14" s="828">
        <v>0</v>
      </c>
      <c r="I14" s="865">
        <v>0</v>
      </c>
      <c r="J14" s="871">
        <v>0</v>
      </c>
      <c r="K14" s="828">
        <v>0</v>
      </c>
      <c r="L14" s="828">
        <v>0</v>
      </c>
      <c r="M14" s="828">
        <v>0</v>
      </c>
      <c r="N14" s="854">
        <v>167873670</v>
      </c>
      <c r="O14" s="829">
        <f>'2. '!E74+'2. '!E66+'2. '!E62+'2. '!E70</f>
        <v>1704992623</v>
      </c>
      <c r="P14" s="825"/>
      <c r="Q14" s="825"/>
      <c r="R14" s="825"/>
      <c r="T14" s="825"/>
    </row>
    <row r="15" spans="1:20" s="833" customFormat="1" ht="14.25" thickBot="1" thickTop="1">
      <c r="A15" s="1427" t="s">
        <v>2</v>
      </c>
      <c r="B15" s="1428"/>
      <c r="C15" s="831">
        <f aca="true" t="shared" si="0" ref="C15:O15">SUM(C6:C14)</f>
        <v>158889085</v>
      </c>
      <c r="D15" s="831">
        <f t="shared" si="0"/>
        <v>79989305</v>
      </c>
      <c r="E15" s="831">
        <f t="shared" si="0"/>
        <v>873050840</v>
      </c>
      <c r="F15" s="831">
        <f t="shared" si="0"/>
        <v>727460967</v>
      </c>
      <c r="G15" s="831">
        <f t="shared" si="0"/>
        <v>532164290</v>
      </c>
      <c r="H15" s="831">
        <f t="shared" si="0"/>
        <v>180272147</v>
      </c>
      <c r="I15" s="831">
        <f t="shared" si="0"/>
        <v>91817267</v>
      </c>
      <c r="J15" s="831">
        <f t="shared" si="0"/>
        <v>864450741</v>
      </c>
      <c r="K15" s="831">
        <f t="shared" si="0"/>
        <v>482622934</v>
      </c>
      <c r="L15" s="831">
        <f t="shared" si="0"/>
        <v>98973593</v>
      </c>
      <c r="M15" s="831">
        <f t="shared" si="0"/>
        <v>139303623</v>
      </c>
      <c r="N15" s="831">
        <f t="shared" si="0"/>
        <v>298532168</v>
      </c>
      <c r="O15" s="832">
        <f t="shared" si="0"/>
        <v>4527526960</v>
      </c>
      <c r="P15" s="825"/>
      <c r="Q15" s="825"/>
      <c r="R15" s="825"/>
      <c r="T15" s="825"/>
    </row>
    <row r="16" spans="1:20" ht="7.5" customHeight="1" thickBot="1" thickTop="1">
      <c r="A16" s="834"/>
      <c r="B16" s="835"/>
      <c r="C16" s="836"/>
      <c r="D16" s="837"/>
      <c r="E16" s="837"/>
      <c r="F16" s="837"/>
      <c r="G16" s="837"/>
      <c r="H16" s="837"/>
      <c r="I16" s="835"/>
      <c r="J16" s="835"/>
      <c r="K16" s="835"/>
      <c r="L16" s="835"/>
      <c r="M16" s="835"/>
      <c r="N16" s="835"/>
      <c r="O16" s="838"/>
      <c r="P16" s="825"/>
      <c r="Q16" s="825"/>
      <c r="R16" s="825"/>
      <c r="T16" s="825"/>
    </row>
    <row r="17" spans="1:20" ht="3.75" customHeight="1">
      <c r="A17" s="839"/>
      <c r="B17" s="839"/>
      <c r="C17" s="839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40"/>
      <c r="P17" s="825"/>
      <c r="Q17" s="825"/>
      <c r="R17" s="825"/>
      <c r="T17" s="825"/>
    </row>
    <row r="18" spans="1:20" ht="7.5" customHeight="1" thickBot="1">
      <c r="A18" s="839"/>
      <c r="B18" s="839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41" t="s">
        <v>53</v>
      </c>
      <c r="P18" s="825"/>
      <c r="Q18" s="825"/>
      <c r="R18" s="825"/>
      <c r="T18" s="825"/>
    </row>
    <row r="19" spans="1:20" ht="16.5" customHeight="1" thickBot="1">
      <c r="A19" s="1424" t="s">
        <v>529</v>
      </c>
      <c r="B19" s="1425"/>
      <c r="C19" s="1425"/>
      <c r="D19" s="1425"/>
      <c r="E19" s="1425"/>
      <c r="F19" s="1425"/>
      <c r="G19" s="1425"/>
      <c r="H19" s="1425"/>
      <c r="I19" s="1425"/>
      <c r="J19" s="1425"/>
      <c r="K19" s="1425"/>
      <c r="L19" s="1425"/>
      <c r="M19" s="1425"/>
      <c r="N19" s="1425"/>
      <c r="O19" s="1426"/>
      <c r="P19" s="825"/>
      <c r="Q19" s="825"/>
      <c r="R19" s="825"/>
      <c r="T19" s="825"/>
    </row>
    <row r="20" spans="1:20" s="820" customFormat="1" ht="12.75">
      <c r="A20" s="816"/>
      <c r="B20" s="817"/>
      <c r="C20" s="842" t="s">
        <v>522</v>
      </c>
      <c r="D20" s="842" t="s">
        <v>523</v>
      </c>
      <c r="E20" s="842" t="s">
        <v>524</v>
      </c>
      <c r="F20" s="842" t="s">
        <v>525</v>
      </c>
      <c r="G20" s="842" t="s">
        <v>526</v>
      </c>
      <c r="H20" s="842" t="s">
        <v>527</v>
      </c>
      <c r="I20" s="863" t="s">
        <v>531</v>
      </c>
      <c r="J20" s="818" t="s">
        <v>532</v>
      </c>
      <c r="K20" s="818" t="s">
        <v>533</v>
      </c>
      <c r="L20" s="818" t="s">
        <v>534</v>
      </c>
      <c r="M20" s="818" t="s">
        <v>535</v>
      </c>
      <c r="N20" s="818" t="s">
        <v>536</v>
      </c>
      <c r="O20" s="819" t="s">
        <v>2</v>
      </c>
      <c r="P20" s="825"/>
      <c r="Q20" s="825"/>
      <c r="R20" s="825"/>
      <c r="T20" s="825"/>
    </row>
    <row r="21" spans="1:20" ht="5.25" customHeight="1">
      <c r="A21" s="843"/>
      <c r="B21" s="839"/>
      <c r="C21" s="844"/>
      <c r="D21" s="844"/>
      <c r="E21" s="844"/>
      <c r="F21" s="844"/>
      <c r="G21" s="844"/>
      <c r="H21" s="844"/>
      <c r="I21" s="839"/>
      <c r="J21" s="844"/>
      <c r="K21" s="844"/>
      <c r="L21" s="844"/>
      <c r="M21" s="844"/>
      <c r="N21" s="844"/>
      <c r="O21" s="845"/>
      <c r="P21" s="825"/>
      <c r="Q21" s="825"/>
      <c r="R21" s="825"/>
      <c r="T21" s="825"/>
    </row>
    <row r="22" spans="1:20" ht="12.75">
      <c r="A22" s="846" t="s">
        <v>3</v>
      </c>
      <c r="B22" s="847" t="s">
        <v>12</v>
      </c>
      <c r="C22" s="823">
        <v>46233586</v>
      </c>
      <c r="D22" s="823">
        <v>49053205</v>
      </c>
      <c r="E22" s="823">
        <v>54215328</v>
      </c>
      <c r="F22" s="823">
        <v>55534802</v>
      </c>
      <c r="G22" s="823">
        <v>53846904</v>
      </c>
      <c r="H22" s="823">
        <v>50685689</v>
      </c>
      <c r="I22" s="864">
        <v>57060242</v>
      </c>
      <c r="J22" s="823">
        <v>51970747</v>
      </c>
      <c r="K22" s="823">
        <v>52881059</v>
      </c>
      <c r="L22" s="823">
        <v>55145327</v>
      </c>
      <c r="M22" s="823">
        <v>52638098</v>
      </c>
      <c r="N22" s="823">
        <v>62844088</v>
      </c>
      <c r="O22" s="824">
        <f>'2. '!C87</f>
        <v>642109075</v>
      </c>
      <c r="P22" s="825"/>
      <c r="Q22" s="825"/>
      <c r="R22" s="825"/>
      <c r="T22" s="825"/>
    </row>
    <row r="23" spans="1:24" ht="25.5" customHeight="1">
      <c r="A23" s="826" t="s">
        <v>4</v>
      </c>
      <c r="B23" s="848" t="s">
        <v>108</v>
      </c>
      <c r="C23" s="828">
        <v>14100387</v>
      </c>
      <c r="D23" s="828">
        <v>11522374</v>
      </c>
      <c r="E23" s="828">
        <v>11456110</v>
      </c>
      <c r="F23" s="828">
        <v>13430099</v>
      </c>
      <c r="G23" s="828">
        <v>11324549</v>
      </c>
      <c r="H23" s="828">
        <v>10643159</v>
      </c>
      <c r="I23" s="865">
        <v>13940636</v>
      </c>
      <c r="J23" s="828">
        <v>10939350</v>
      </c>
      <c r="K23" s="828">
        <v>11105513</v>
      </c>
      <c r="L23" s="828">
        <v>13396815</v>
      </c>
      <c r="M23" s="828">
        <v>11079390</v>
      </c>
      <c r="N23" s="828">
        <v>11920100</v>
      </c>
      <c r="O23" s="829">
        <f>'2. '!E91</f>
        <v>144858482</v>
      </c>
      <c r="P23" s="825"/>
      <c r="Q23" s="825"/>
      <c r="R23" s="825"/>
      <c r="T23" s="825"/>
      <c r="W23" s="1243"/>
      <c r="X23" s="1243"/>
    </row>
    <row r="24" spans="1:20" ht="12.75">
      <c r="A24" s="826" t="s">
        <v>5</v>
      </c>
      <c r="B24" s="849" t="s">
        <v>13</v>
      </c>
      <c r="C24" s="828">
        <v>33574120</v>
      </c>
      <c r="D24" s="828">
        <v>31310296</v>
      </c>
      <c r="E24" s="828">
        <v>62932821</v>
      </c>
      <c r="F24" s="828">
        <v>32591655</v>
      </c>
      <c r="G24" s="828">
        <v>54782271</v>
      </c>
      <c r="H24" s="828">
        <v>54639534</v>
      </c>
      <c r="I24" s="865">
        <v>46762482</v>
      </c>
      <c r="J24" s="828">
        <v>53587425</v>
      </c>
      <c r="K24" s="828">
        <v>50354323</v>
      </c>
      <c r="L24" s="828">
        <v>55343865</v>
      </c>
      <c r="M24" s="828">
        <v>71884132</v>
      </c>
      <c r="N24" s="828">
        <v>102116789</v>
      </c>
      <c r="O24" s="829">
        <f>'2. '!E95</f>
        <v>649879713</v>
      </c>
      <c r="P24" s="825"/>
      <c r="Q24" s="825"/>
      <c r="R24" s="825"/>
      <c r="T24" s="825"/>
    </row>
    <row r="25" spans="1:24" ht="12.75">
      <c r="A25" s="850" t="s">
        <v>6</v>
      </c>
      <c r="B25" s="851" t="s">
        <v>530</v>
      </c>
      <c r="C25" s="823">
        <v>27000</v>
      </c>
      <c r="D25" s="823">
        <v>171115</v>
      </c>
      <c r="E25" s="823">
        <v>410049</v>
      </c>
      <c r="F25" s="823">
        <v>206924</v>
      </c>
      <c r="G25" s="823">
        <v>208651</v>
      </c>
      <c r="H25" s="823">
        <v>193872</v>
      </c>
      <c r="I25" s="864">
        <v>241798</v>
      </c>
      <c r="J25" s="823">
        <v>2601731</v>
      </c>
      <c r="K25" s="823">
        <v>245297</v>
      </c>
      <c r="L25" s="823">
        <v>184500</v>
      </c>
      <c r="M25" s="823">
        <v>2350610</v>
      </c>
      <c r="N25" s="823">
        <v>367662</v>
      </c>
      <c r="O25" s="824">
        <f>'2. '!E99</f>
        <v>7209209</v>
      </c>
      <c r="P25" s="825"/>
      <c r="Q25" s="825"/>
      <c r="R25" s="825"/>
      <c r="T25" s="825"/>
      <c r="W25" s="1433"/>
      <c r="X25" s="1434"/>
    </row>
    <row r="26" spans="1:20" ht="13.5" customHeight="1">
      <c r="A26" s="850" t="s">
        <v>7</v>
      </c>
      <c r="B26" s="852" t="s">
        <v>86</v>
      </c>
      <c r="C26" s="823">
        <v>15526497</v>
      </c>
      <c r="D26" s="823">
        <v>15589778</v>
      </c>
      <c r="E26" s="823">
        <v>19387011</v>
      </c>
      <c r="F26" s="823">
        <v>10416379</v>
      </c>
      <c r="G26" s="823">
        <v>20862725</v>
      </c>
      <c r="H26" s="823">
        <v>62476392</v>
      </c>
      <c r="I26" s="864">
        <v>14687758</v>
      </c>
      <c r="J26" s="823">
        <v>16280289</v>
      </c>
      <c r="K26" s="823">
        <v>14513808</v>
      </c>
      <c r="L26" s="823">
        <v>15893808</v>
      </c>
      <c r="M26" s="823">
        <v>20176808</v>
      </c>
      <c r="N26" s="823">
        <v>17975533</v>
      </c>
      <c r="O26" s="824">
        <f>'2. '!E103</f>
        <v>243786786</v>
      </c>
      <c r="P26" s="825"/>
      <c r="Q26" s="825"/>
      <c r="R26" s="825"/>
      <c r="T26" s="825"/>
    </row>
    <row r="27" spans="1:20" ht="14.25" customHeight="1">
      <c r="A27" s="850" t="s">
        <v>8</v>
      </c>
      <c r="B27" s="812" t="s">
        <v>23</v>
      </c>
      <c r="C27" s="823">
        <v>9565143</v>
      </c>
      <c r="D27" s="823">
        <v>2645498</v>
      </c>
      <c r="E27" s="823">
        <v>21390234</v>
      </c>
      <c r="F27" s="823">
        <v>9955108</v>
      </c>
      <c r="G27" s="823">
        <v>3700167</v>
      </c>
      <c r="H27" s="823">
        <v>8741506</v>
      </c>
      <c r="I27" s="864">
        <v>2855713</v>
      </c>
      <c r="J27" s="823">
        <v>3516182</v>
      </c>
      <c r="K27" s="823">
        <v>11902416</v>
      </c>
      <c r="L27" s="823">
        <v>32620015</v>
      </c>
      <c r="M27" s="823">
        <v>21038696</v>
      </c>
      <c r="N27" s="823">
        <v>59389438</v>
      </c>
      <c r="O27" s="824">
        <f>'2. '!E112</f>
        <v>187320116</v>
      </c>
      <c r="P27" s="825"/>
      <c r="Q27" s="825"/>
      <c r="R27" s="825"/>
      <c r="T27" s="825"/>
    </row>
    <row r="28" spans="1:20" ht="12.75">
      <c r="A28" s="850" t="s">
        <v>9</v>
      </c>
      <c r="B28" s="853" t="s">
        <v>24</v>
      </c>
      <c r="C28" s="854">
        <v>1778000</v>
      </c>
      <c r="D28" s="828">
        <v>5915206</v>
      </c>
      <c r="E28" s="828">
        <v>13720740</v>
      </c>
      <c r="F28" s="828">
        <v>0</v>
      </c>
      <c r="G28" s="828">
        <v>0</v>
      </c>
      <c r="H28" s="828">
        <v>6074069</v>
      </c>
      <c r="I28" s="865">
        <v>0</v>
      </c>
      <c r="J28" s="828">
        <v>2311400</v>
      </c>
      <c r="K28" s="828">
        <v>6566040</v>
      </c>
      <c r="L28" s="828">
        <v>1163726</v>
      </c>
      <c r="M28" s="828">
        <v>4706620</v>
      </c>
      <c r="N28" s="828">
        <v>20119707</v>
      </c>
      <c r="O28" s="829">
        <f>'2. '!E116</f>
        <v>62355508</v>
      </c>
      <c r="P28" s="825"/>
      <c r="Q28" s="825"/>
      <c r="R28" s="825"/>
      <c r="T28" s="825"/>
    </row>
    <row r="29" spans="1:20" ht="12.75">
      <c r="A29" s="850" t="s">
        <v>10</v>
      </c>
      <c r="B29" s="855" t="s">
        <v>30</v>
      </c>
      <c r="C29" s="854"/>
      <c r="D29" s="828"/>
      <c r="E29" s="828"/>
      <c r="F29" s="828"/>
      <c r="G29" s="828">
        <v>21191340</v>
      </c>
      <c r="H29" s="828">
        <v>994273</v>
      </c>
      <c r="I29" s="865"/>
      <c r="J29" s="828"/>
      <c r="K29" s="828"/>
      <c r="L29" s="828"/>
      <c r="M29" s="828"/>
      <c r="N29" s="828"/>
      <c r="O29" s="829">
        <f>'2. '!E120</f>
        <v>22185613</v>
      </c>
      <c r="P29" s="825"/>
      <c r="Q29" s="825"/>
      <c r="R29" s="825"/>
      <c r="T29" s="825"/>
    </row>
    <row r="30" spans="1:20" ht="14.25" customHeight="1" thickBot="1">
      <c r="A30" s="856" t="s">
        <v>11</v>
      </c>
      <c r="B30" s="857" t="s">
        <v>61</v>
      </c>
      <c r="C30" s="858">
        <v>87107324</v>
      </c>
      <c r="D30" s="858"/>
      <c r="E30" s="858"/>
      <c r="F30" s="858">
        <v>1160880000</v>
      </c>
      <c r="G30" s="858"/>
      <c r="H30" s="858">
        <v>3528571</v>
      </c>
      <c r="I30" s="866"/>
      <c r="J30" s="858"/>
      <c r="K30" s="858">
        <v>253809523</v>
      </c>
      <c r="L30" s="858"/>
      <c r="M30" s="858"/>
      <c r="N30" s="858">
        <v>3809523</v>
      </c>
      <c r="O30" s="859">
        <f>'2. '!C128</f>
        <v>1509134941</v>
      </c>
      <c r="P30" s="825"/>
      <c r="Q30" s="825"/>
      <c r="R30" s="825"/>
      <c r="T30" s="825"/>
    </row>
    <row r="31" spans="1:20" ht="14.25" thickBot="1" thickTop="1">
      <c r="A31" s="1429" t="s">
        <v>2</v>
      </c>
      <c r="B31" s="1430"/>
      <c r="C31" s="860">
        <f aca="true" t="shared" si="1" ref="C31:O31">SUM(C22:C30)</f>
        <v>207912057</v>
      </c>
      <c r="D31" s="860">
        <f t="shared" si="1"/>
        <v>116207472</v>
      </c>
      <c r="E31" s="860">
        <f t="shared" si="1"/>
        <v>183512293</v>
      </c>
      <c r="F31" s="860">
        <f t="shared" si="1"/>
        <v>1283014967</v>
      </c>
      <c r="G31" s="860">
        <f t="shared" si="1"/>
        <v>165916607</v>
      </c>
      <c r="H31" s="860">
        <f t="shared" si="1"/>
        <v>197977065</v>
      </c>
      <c r="I31" s="860">
        <f t="shared" si="1"/>
        <v>135548629</v>
      </c>
      <c r="J31" s="860">
        <f t="shared" si="1"/>
        <v>141207124</v>
      </c>
      <c r="K31" s="860">
        <f t="shared" si="1"/>
        <v>401377979</v>
      </c>
      <c r="L31" s="860">
        <f t="shared" si="1"/>
        <v>173748056</v>
      </c>
      <c r="M31" s="860">
        <f t="shared" si="1"/>
        <v>183874354</v>
      </c>
      <c r="N31" s="860">
        <f t="shared" si="1"/>
        <v>278542840</v>
      </c>
      <c r="O31" s="872">
        <f t="shared" si="1"/>
        <v>3468839443</v>
      </c>
      <c r="P31" s="825"/>
      <c r="Q31" s="825"/>
      <c r="R31" s="825"/>
      <c r="T31" s="825"/>
    </row>
    <row r="32" spans="1:20" ht="7.5" customHeight="1">
      <c r="A32" s="861"/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839"/>
      <c r="O32" s="839"/>
      <c r="Q32" s="825"/>
      <c r="R32" s="825"/>
      <c r="T32" s="825"/>
    </row>
    <row r="34" spans="3:15" ht="12.75"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</row>
    <row r="35" spans="3:15" ht="12.75"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</row>
    <row r="36" spans="3:14" ht="12.75"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</row>
  </sheetData>
  <sheetProtection/>
  <mergeCells count="7">
    <mergeCell ref="L1:O1"/>
    <mergeCell ref="A4:O4"/>
    <mergeCell ref="A15:B15"/>
    <mergeCell ref="A19:O19"/>
    <mergeCell ref="A31:B31"/>
    <mergeCell ref="W8:X8"/>
    <mergeCell ref="W25:X2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6" r:id="rId2"/>
  <rowBreaks count="1" manualBreakCount="1">
    <brk id="3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22"/>
  <sheetViews>
    <sheetView zoomScaleSheetLayoutView="85" zoomScalePageLayoutView="0" workbookViewId="0" topLeftCell="A1">
      <selection activeCell="K8" sqref="K8"/>
    </sheetView>
  </sheetViews>
  <sheetFormatPr defaultColWidth="9.00390625" defaultRowHeight="12.75"/>
  <cols>
    <col min="1" max="1" width="5.625" style="27" customWidth="1"/>
    <col min="2" max="2" width="38.125" style="27" customWidth="1"/>
    <col min="3" max="3" width="21.75390625" style="27" customWidth="1"/>
    <col min="4" max="4" width="15.125" style="27" customWidth="1"/>
    <col min="5" max="5" width="15.75390625" style="27" customWidth="1"/>
    <col min="6" max="6" width="14.375" style="27" customWidth="1"/>
    <col min="7" max="8" width="13.125" style="27" customWidth="1"/>
    <col min="9" max="9" width="11.25390625" style="27" customWidth="1"/>
    <col min="10" max="10" width="12.875" style="27" customWidth="1"/>
    <col min="11" max="11" width="12.00390625" style="27" customWidth="1"/>
    <col min="12" max="16384" width="9.125" style="27" customWidth="1"/>
  </cols>
  <sheetData>
    <row r="1" spans="1:6" ht="11.25">
      <c r="A1" s="1307"/>
      <c r="B1" s="1307"/>
      <c r="C1" s="1307"/>
      <c r="D1" s="1307"/>
      <c r="E1" s="1307"/>
      <c r="F1" s="901"/>
    </row>
    <row r="2" spans="1:11" ht="11.25">
      <c r="A2" s="1307"/>
      <c r="B2" s="1307"/>
      <c r="C2" s="1307"/>
      <c r="D2" s="1307"/>
      <c r="E2" s="1307"/>
      <c r="F2" s="1307" t="s">
        <v>53</v>
      </c>
      <c r="H2" s="1954" t="s">
        <v>1102</v>
      </c>
      <c r="I2" s="1954"/>
      <c r="J2" s="1954"/>
      <c r="K2" s="1954"/>
    </row>
    <row r="3" spans="1:6" ht="11.25">
      <c r="A3" s="1307"/>
      <c r="B3" s="1307"/>
      <c r="C3" s="1307"/>
      <c r="D3" s="1307"/>
      <c r="E3" s="1307"/>
      <c r="F3" s="1307"/>
    </row>
    <row r="4" spans="1:6" ht="11.25">
      <c r="A4" s="1307"/>
      <c r="B4" s="1307"/>
      <c r="C4" s="1307"/>
      <c r="D4" s="1307"/>
      <c r="E4" s="1307"/>
      <c r="F4" s="901"/>
    </row>
    <row r="5" spans="1:6" ht="11.25">
      <c r="A5" s="1307"/>
      <c r="B5" s="1307"/>
      <c r="C5" s="1307"/>
      <c r="D5" s="1307"/>
      <c r="E5" s="1307"/>
      <c r="F5" s="901"/>
    </row>
    <row r="6" spans="1:6" ht="11.25">
      <c r="A6" s="1307"/>
      <c r="B6" s="1307"/>
      <c r="C6" s="1307"/>
      <c r="D6" s="1307"/>
      <c r="E6" s="1307"/>
      <c r="F6" s="901"/>
    </row>
    <row r="7" spans="1:6" ht="11.25">
      <c r="A7" s="1307"/>
      <c r="B7" s="1307"/>
      <c r="C7" s="1307"/>
      <c r="D7" s="1307"/>
      <c r="E7" s="1307"/>
      <c r="F7" s="901"/>
    </row>
    <row r="8" spans="1:11" ht="12" thickBot="1">
      <c r="A8" s="1307"/>
      <c r="B8" s="1307"/>
      <c r="C8" s="1307"/>
      <c r="D8" s="1307"/>
      <c r="E8" s="1307"/>
      <c r="F8" s="1217"/>
      <c r="G8" s="1217"/>
      <c r="K8" s="1961" t="s">
        <v>508</v>
      </c>
    </row>
    <row r="9" spans="1:11" ht="16.5" thickBot="1">
      <c r="A9" s="1777" t="s">
        <v>1012</v>
      </c>
      <c r="B9" s="1779" t="s">
        <v>841</v>
      </c>
      <c r="C9" s="1780" t="s">
        <v>842</v>
      </c>
      <c r="D9" s="1780" t="s">
        <v>843</v>
      </c>
      <c r="E9" s="1780" t="s">
        <v>844</v>
      </c>
      <c r="F9" s="1781"/>
      <c r="G9" s="1782" t="s">
        <v>1013</v>
      </c>
      <c r="H9" s="1769" t="s">
        <v>1048</v>
      </c>
      <c r="I9" s="1769"/>
      <c r="J9" s="1769"/>
      <c r="K9" s="1769"/>
    </row>
    <row r="10" spans="1:11" ht="39" customHeight="1" thickBot="1">
      <c r="A10" s="1778"/>
      <c r="B10" s="1778"/>
      <c r="C10" s="1778"/>
      <c r="D10" s="1778"/>
      <c r="E10" s="1309" t="s">
        <v>845</v>
      </c>
      <c r="F10" s="1310" t="s">
        <v>1014</v>
      </c>
      <c r="G10" s="1782"/>
      <c r="H10" s="1367" t="s">
        <v>1049</v>
      </c>
      <c r="I10" s="1367" t="s">
        <v>1050</v>
      </c>
      <c r="J10" s="1367" t="s">
        <v>1051</v>
      </c>
      <c r="K10" s="1367" t="s">
        <v>1052</v>
      </c>
    </row>
    <row r="11" spans="1:11" ht="25.5" customHeight="1" thickBot="1">
      <c r="A11" s="1308" t="s">
        <v>20</v>
      </c>
      <c r="B11" s="1770" t="s">
        <v>1015</v>
      </c>
      <c r="C11" s="1771"/>
      <c r="D11" s="1771"/>
      <c r="E11" s="1771"/>
      <c r="F11" s="1771"/>
      <c r="G11" s="1772"/>
      <c r="H11" s="1368"/>
      <c r="I11" s="1368"/>
      <c r="J11" s="1368"/>
      <c r="K11" s="1368"/>
    </row>
    <row r="12" spans="1:11" ht="57.75" customHeight="1" thickBot="1">
      <c r="A12" s="1311" t="s">
        <v>3</v>
      </c>
      <c r="B12" s="1312" t="s">
        <v>1016</v>
      </c>
      <c r="C12" s="1311" t="s">
        <v>846</v>
      </c>
      <c r="D12" s="1218">
        <v>80000000</v>
      </c>
      <c r="E12" s="1218">
        <v>0</v>
      </c>
      <c r="F12" s="1218">
        <v>80000000</v>
      </c>
      <c r="G12" s="1219">
        <f>11429000+1550000</f>
        <v>12979000</v>
      </c>
      <c r="H12" s="1369">
        <v>80000000</v>
      </c>
      <c r="I12" s="1369">
        <v>12127147</v>
      </c>
      <c r="J12" s="1369">
        <v>62952383</v>
      </c>
      <c r="K12" s="1370" t="s">
        <v>1053</v>
      </c>
    </row>
    <row r="13" spans="1:11" ht="50.25" customHeight="1" thickBot="1">
      <c r="A13" s="1311" t="s">
        <v>4</v>
      </c>
      <c r="B13" s="1312" t="s">
        <v>849</v>
      </c>
      <c r="C13" s="1312" t="s">
        <v>850</v>
      </c>
      <c r="D13" s="1218">
        <v>500000000</v>
      </c>
      <c r="E13" s="1218">
        <v>200000000</v>
      </c>
      <c r="F13" s="1218">
        <v>300000000</v>
      </c>
      <c r="G13" s="1219">
        <f>0+4385000</f>
        <v>4385000</v>
      </c>
      <c r="H13" s="1369">
        <v>300000000</v>
      </c>
      <c r="I13" s="1369">
        <v>2713834</v>
      </c>
      <c r="J13" s="1369">
        <v>150000000</v>
      </c>
      <c r="K13" s="1370" t="s">
        <v>1054</v>
      </c>
    </row>
    <row r="14" spans="1:11" s="1316" customFormat="1" ht="31.5" customHeight="1" thickBot="1">
      <c r="A14" s="1313"/>
      <c r="B14" s="1309" t="s">
        <v>17</v>
      </c>
      <c r="C14" s="1309"/>
      <c r="D14" s="1314">
        <f aca="true" t="shared" si="0" ref="D14:J14">SUM(D12:D13)</f>
        <v>580000000</v>
      </c>
      <c r="E14" s="1314">
        <f t="shared" si="0"/>
        <v>200000000</v>
      </c>
      <c r="F14" s="1314">
        <f t="shared" si="0"/>
        <v>380000000</v>
      </c>
      <c r="G14" s="1315">
        <f t="shared" si="0"/>
        <v>17364000</v>
      </c>
      <c r="H14" s="1371">
        <f t="shared" si="0"/>
        <v>380000000</v>
      </c>
      <c r="I14" s="1371">
        <f t="shared" si="0"/>
        <v>14840981</v>
      </c>
      <c r="J14" s="1371">
        <f t="shared" si="0"/>
        <v>212952383</v>
      </c>
      <c r="K14" s="1372"/>
    </row>
    <row r="15" spans="1:11" ht="27.75" customHeight="1" thickBot="1">
      <c r="A15" s="1311" t="s">
        <v>21</v>
      </c>
      <c r="B15" s="1773" t="s">
        <v>1017</v>
      </c>
      <c r="C15" s="1771"/>
      <c r="D15" s="1771"/>
      <c r="E15" s="1771"/>
      <c r="F15" s="1771"/>
      <c r="G15" s="1772"/>
      <c r="H15" s="1373"/>
      <c r="I15" s="1373"/>
      <c r="J15" s="1373"/>
      <c r="K15" s="1374"/>
    </row>
    <row r="16" spans="1:11" ht="28.5" customHeight="1" thickBot="1">
      <c r="A16" s="1311" t="s">
        <v>5</v>
      </c>
      <c r="B16" s="1312" t="s">
        <v>847</v>
      </c>
      <c r="C16" s="1311" t="s">
        <v>848</v>
      </c>
      <c r="D16" s="1218">
        <v>954412000</v>
      </c>
      <c r="E16" s="1218">
        <v>384412000</v>
      </c>
      <c r="F16" s="1221">
        <v>570000000</v>
      </c>
      <c r="G16" s="1220">
        <f>0+833000</f>
        <v>833000</v>
      </c>
      <c r="H16" s="1369">
        <v>570000000</v>
      </c>
      <c r="I16" s="1369">
        <v>0</v>
      </c>
      <c r="J16" s="1369">
        <v>0</v>
      </c>
      <c r="K16" s="1370" t="s">
        <v>1055</v>
      </c>
    </row>
    <row r="17" spans="1:11" ht="31.5" customHeight="1" thickBot="1">
      <c r="A17" s="1311" t="s">
        <v>6</v>
      </c>
      <c r="B17" s="1317" t="s">
        <v>851</v>
      </c>
      <c r="C17" s="1311" t="s">
        <v>846</v>
      </c>
      <c r="D17" s="1221">
        <v>430000000</v>
      </c>
      <c r="E17" s="1221">
        <v>300000000</v>
      </c>
      <c r="F17" s="1221">
        <v>130000000</v>
      </c>
      <c r="G17" s="1219">
        <f>0+SUM(F17*0.05)/4</f>
        <v>1625000</v>
      </c>
      <c r="H17" s="1369">
        <v>0</v>
      </c>
      <c r="I17" s="1369">
        <v>0</v>
      </c>
      <c r="J17" s="1369">
        <v>0</v>
      </c>
      <c r="K17" s="1375" t="s">
        <v>1056</v>
      </c>
    </row>
    <row r="18" spans="1:11" ht="29.25" customHeight="1" thickBot="1">
      <c r="A18" s="1311" t="s">
        <v>7</v>
      </c>
      <c r="B18" s="1312" t="s">
        <v>1018</v>
      </c>
      <c r="C18" s="1311" t="s">
        <v>846</v>
      </c>
      <c r="D18" s="1218">
        <v>190000000</v>
      </c>
      <c r="E18" s="1218">
        <v>139966000</v>
      </c>
      <c r="F18" s="1218">
        <v>50034000</v>
      </c>
      <c r="G18" s="1219">
        <f>0+SUM(F18*0.05)/4</f>
        <v>625425</v>
      </c>
      <c r="H18" s="1369">
        <v>0</v>
      </c>
      <c r="I18" s="1369">
        <v>0</v>
      </c>
      <c r="J18" s="1369">
        <v>0</v>
      </c>
      <c r="K18" s="1375" t="s">
        <v>1056</v>
      </c>
    </row>
    <row r="19" spans="1:11" ht="23.25" customHeight="1" thickBot="1">
      <c r="A19" s="1311" t="s">
        <v>8</v>
      </c>
      <c r="B19" s="1317" t="s">
        <v>1019</v>
      </c>
      <c r="C19" s="1318" t="s">
        <v>846</v>
      </c>
      <c r="D19" s="1221">
        <v>350000000</v>
      </c>
      <c r="E19" s="1221">
        <v>249860000</v>
      </c>
      <c r="F19" s="1221">
        <v>100140000</v>
      </c>
      <c r="G19" s="1219">
        <f>0+SUM(F19*0.05)/4</f>
        <v>1251750</v>
      </c>
      <c r="H19" s="1369">
        <v>0</v>
      </c>
      <c r="I19" s="1369">
        <v>0</v>
      </c>
      <c r="J19" s="1369">
        <v>0</v>
      </c>
      <c r="K19" s="1375" t="s">
        <v>1056</v>
      </c>
    </row>
    <row r="20" spans="1:11" ht="45" customHeight="1" thickBot="1">
      <c r="A20" s="1311" t="s">
        <v>9</v>
      </c>
      <c r="B20" s="1317" t="s">
        <v>852</v>
      </c>
      <c r="C20" s="1312" t="s">
        <v>1020</v>
      </c>
      <c r="D20" s="1218">
        <f>200000000+400000000</f>
        <v>600000000</v>
      </c>
      <c r="E20" s="1218">
        <f>100000000+200000000</f>
        <v>300000000</v>
      </c>
      <c r="F20" s="1218">
        <f>100000000+200000000</f>
        <v>300000000</v>
      </c>
      <c r="G20" s="1219">
        <f>0+SUM(F20*0.05)/4</f>
        <v>3750000</v>
      </c>
      <c r="H20" s="1369">
        <v>0</v>
      </c>
      <c r="I20" s="1369">
        <v>0</v>
      </c>
      <c r="J20" s="1369">
        <v>0</v>
      </c>
      <c r="K20" s="1375" t="s">
        <v>1056</v>
      </c>
    </row>
    <row r="21" spans="1:11" s="1316" customFormat="1" ht="31.5" customHeight="1" thickBot="1">
      <c r="A21" s="1313"/>
      <c r="B21" s="1309" t="s">
        <v>17</v>
      </c>
      <c r="C21" s="1309"/>
      <c r="D21" s="1314">
        <f aca="true" t="shared" si="1" ref="D21:J21">SUM(D16:D20)</f>
        <v>2524412000</v>
      </c>
      <c r="E21" s="1314">
        <f t="shared" si="1"/>
        <v>1374238000</v>
      </c>
      <c r="F21" s="1314">
        <f t="shared" si="1"/>
        <v>1150174000</v>
      </c>
      <c r="G21" s="1315">
        <f t="shared" si="1"/>
        <v>8085175</v>
      </c>
      <c r="H21" s="1371">
        <f t="shared" si="1"/>
        <v>570000000</v>
      </c>
      <c r="I21" s="1371">
        <f t="shared" si="1"/>
        <v>0</v>
      </c>
      <c r="J21" s="1371">
        <f t="shared" si="1"/>
        <v>0</v>
      </c>
      <c r="K21" s="1370"/>
    </row>
    <row r="22" spans="1:11" ht="45" customHeight="1" thickBot="1">
      <c r="A22" s="1774" t="s">
        <v>1021</v>
      </c>
      <c r="B22" s="1775"/>
      <c r="C22" s="1776"/>
      <c r="D22" s="1222">
        <f aca="true" t="shared" si="2" ref="D22:J22">D14+D21</f>
        <v>3104412000</v>
      </c>
      <c r="E22" s="1222">
        <f t="shared" si="2"/>
        <v>1574238000</v>
      </c>
      <c r="F22" s="1222">
        <f t="shared" si="2"/>
        <v>1530174000</v>
      </c>
      <c r="G22" s="1222">
        <f t="shared" si="2"/>
        <v>25449175</v>
      </c>
      <c r="H22" s="1376">
        <f t="shared" si="2"/>
        <v>950000000</v>
      </c>
      <c r="I22" s="1376">
        <f t="shared" si="2"/>
        <v>14840981</v>
      </c>
      <c r="J22" s="1376">
        <f t="shared" si="2"/>
        <v>212952383</v>
      </c>
      <c r="K22" s="1375"/>
    </row>
  </sheetData>
  <sheetProtection/>
  <mergeCells count="11">
    <mergeCell ref="H2:K2"/>
    <mergeCell ref="H9:K9"/>
    <mergeCell ref="B11:G11"/>
    <mergeCell ref="B15:G15"/>
    <mergeCell ref="A22:C22"/>
    <mergeCell ref="A9:A10"/>
    <mergeCell ref="B9:B10"/>
    <mergeCell ref="C9:C10"/>
    <mergeCell ref="D9:D10"/>
    <mergeCell ref="E9:F9"/>
    <mergeCell ref="G9:G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45.375" style="0" customWidth="1"/>
    <col min="3" max="3" width="12.375" style="1062" customWidth="1"/>
    <col min="4" max="4" width="12.75390625" style="1062" customWidth="1"/>
    <col min="5" max="5" width="18.25390625" style="1062" customWidth="1"/>
    <col min="6" max="6" width="12.00390625" style="1062" customWidth="1"/>
    <col min="7" max="7" width="12.625" style="1062" customWidth="1"/>
    <col min="8" max="8" width="14.375" style="1062" customWidth="1"/>
    <col min="9" max="9" width="13.375" style="0" customWidth="1"/>
  </cols>
  <sheetData>
    <row r="1" spans="7:9" ht="12.75">
      <c r="G1" s="1955" t="s">
        <v>1103</v>
      </c>
      <c r="H1" s="1955"/>
      <c r="I1" s="1955"/>
    </row>
    <row r="4" ht="12.75">
      <c r="I4" s="808" t="s">
        <v>793</v>
      </c>
    </row>
    <row r="5" spans="1:9" ht="12.75" customHeight="1">
      <c r="A5" s="1784" t="s">
        <v>1030</v>
      </c>
      <c r="B5" s="1785"/>
      <c r="C5" s="1677" t="s">
        <v>309</v>
      </c>
      <c r="D5" s="1677" t="s">
        <v>505</v>
      </c>
      <c r="E5" s="1677" t="s">
        <v>154</v>
      </c>
      <c r="F5" s="1677" t="s">
        <v>155</v>
      </c>
      <c r="G5" s="1677" t="s">
        <v>58</v>
      </c>
      <c r="H5" s="1677" t="s">
        <v>310</v>
      </c>
      <c r="I5" s="1783" t="s">
        <v>17</v>
      </c>
    </row>
    <row r="6" spans="1:9" ht="40.5" customHeight="1">
      <c r="A6" s="1786"/>
      <c r="B6" s="1787"/>
      <c r="C6" s="1677"/>
      <c r="D6" s="1677"/>
      <c r="E6" s="1677"/>
      <c r="F6" s="1677"/>
      <c r="G6" s="1677"/>
      <c r="H6" s="1677"/>
      <c r="I6" s="1783"/>
    </row>
    <row r="7" spans="1:9" ht="19.5" customHeight="1">
      <c r="A7" s="742" t="s">
        <v>311</v>
      </c>
      <c r="B7" s="743" t="s">
        <v>312</v>
      </c>
      <c r="C7" s="979">
        <v>2646704021</v>
      </c>
      <c r="D7" s="979">
        <v>10224854</v>
      </c>
      <c r="E7" s="979">
        <v>148768684</v>
      </c>
      <c r="F7" s="979">
        <v>9099806</v>
      </c>
      <c r="G7" s="979">
        <v>1733656</v>
      </c>
      <c r="H7" s="979">
        <v>6003316</v>
      </c>
      <c r="I7" s="744">
        <f>SUM(C7:H7)</f>
        <v>2822534337</v>
      </c>
    </row>
    <row r="8" spans="1:9" ht="15.75" customHeight="1">
      <c r="A8" s="742" t="s">
        <v>313</v>
      </c>
      <c r="B8" s="743" t="s">
        <v>314</v>
      </c>
      <c r="C8" s="979">
        <v>1116313646</v>
      </c>
      <c r="D8" s="979">
        <v>247465068</v>
      </c>
      <c r="E8" s="979">
        <v>266333361</v>
      </c>
      <c r="F8" s="979">
        <v>252663205</v>
      </c>
      <c r="G8" s="979">
        <v>42666910</v>
      </c>
      <c r="H8" s="979">
        <v>34262312</v>
      </c>
      <c r="I8" s="744">
        <f>SUM(C8:H8)</f>
        <v>1959704502</v>
      </c>
    </row>
    <row r="9" spans="1:9" ht="28.5" customHeight="1">
      <c r="A9" s="745" t="s">
        <v>315</v>
      </c>
      <c r="B9" s="746" t="s">
        <v>316</v>
      </c>
      <c r="C9" s="1063">
        <f aca="true" t="shared" si="0" ref="C9:I9">C7-C8</f>
        <v>1530390375</v>
      </c>
      <c r="D9" s="1063">
        <f t="shared" si="0"/>
        <v>-237240214</v>
      </c>
      <c r="E9" s="1063">
        <f t="shared" si="0"/>
        <v>-117564677</v>
      </c>
      <c r="F9" s="1063">
        <f t="shared" si="0"/>
        <v>-243563399</v>
      </c>
      <c r="G9" s="1063">
        <f t="shared" si="0"/>
        <v>-40933254</v>
      </c>
      <c r="H9" s="1063">
        <f t="shared" si="0"/>
        <v>-28258996</v>
      </c>
      <c r="I9" s="747">
        <f t="shared" si="0"/>
        <v>862829835</v>
      </c>
    </row>
    <row r="10" spans="1:9" ht="18.75" customHeight="1">
      <c r="A10" s="742" t="s">
        <v>317</v>
      </c>
      <c r="B10" s="743" t="s">
        <v>318</v>
      </c>
      <c r="C10" s="979">
        <v>1658427596</v>
      </c>
      <c r="D10" s="979">
        <v>269647773</v>
      </c>
      <c r="E10" s="979">
        <v>157335841</v>
      </c>
      <c r="F10" s="979">
        <v>244738842</v>
      </c>
      <c r="G10" s="979">
        <v>42609905</v>
      </c>
      <c r="H10" s="979">
        <v>29735407</v>
      </c>
      <c r="I10" s="744">
        <f>SUM(C10:H10)</f>
        <v>2402495364</v>
      </c>
    </row>
    <row r="11" spans="1:9" ht="18.75" customHeight="1">
      <c r="A11" s="742" t="s">
        <v>319</v>
      </c>
      <c r="B11" s="743" t="s">
        <v>320</v>
      </c>
      <c r="C11" s="979">
        <v>2206637682</v>
      </c>
      <c r="D11" s="979">
        <v>0</v>
      </c>
      <c r="E11" s="979">
        <v>0</v>
      </c>
      <c r="F11" s="979">
        <v>0</v>
      </c>
      <c r="G11" s="979">
        <v>0</v>
      </c>
      <c r="H11" s="979">
        <v>0</v>
      </c>
      <c r="I11" s="744">
        <f>SUM(C11:H11)</f>
        <v>2206637682</v>
      </c>
    </row>
    <row r="12" spans="1:9" ht="29.25" customHeight="1">
      <c r="A12" s="745" t="s">
        <v>321</v>
      </c>
      <c r="B12" s="746" t="s">
        <v>322</v>
      </c>
      <c r="C12" s="1063">
        <f>C10-C11</f>
        <v>-548210086</v>
      </c>
      <c r="D12" s="1063">
        <f aca="true" t="shared" si="1" ref="D12:I12">D10-D11</f>
        <v>269647773</v>
      </c>
      <c r="E12" s="1063">
        <f t="shared" si="1"/>
        <v>157335841</v>
      </c>
      <c r="F12" s="1063">
        <f>F10-F11</f>
        <v>244738842</v>
      </c>
      <c r="G12" s="1063">
        <f t="shared" si="1"/>
        <v>42609905</v>
      </c>
      <c r="H12" s="1063">
        <f t="shared" si="1"/>
        <v>29735407</v>
      </c>
      <c r="I12" s="747">
        <f t="shared" si="1"/>
        <v>195857682</v>
      </c>
    </row>
    <row r="13" spans="1:9" ht="17.25" customHeight="1">
      <c r="A13" s="748" t="s">
        <v>210</v>
      </c>
      <c r="B13" s="749" t="s">
        <v>323</v>
      </c>
      <c r="C13" s="1064">
        <f>C9+C12</f>
        <v>982180289</v>
      </c>
      <c r="D13" s="1064">
        <f aca="true" t="shared" si="2" ref="D13:I13">D9+D12</f>
        <v>32407559</v>
      </c>
      <c r="E13" s="1064">
        <f t="shared" si="2"/>
        <v>39771164</v>
      </c>
      <c r="F13" s="1064">
        <f t="shared" si="2"/>
        <v>1175443</v>
      </c>
      <c r="G13" s="1064">
        <f t="shared" si="2"/>
        <v>1676651</v>
      </c>
      <c r="H13" s="1064">
        <f t="shared" si="2"/>
        <v>1476411</v>
      </c>
      <c r="I13" s="744">
        <f t="shared" si="2"/>
        <v>1058687517</v>
      </c>
    </row>
    <row r="14" spans="1:9" ht="21" customHeight="1">
      <c r="A14" s="742" t="s">
        <v>324</v>
      </c>
      <c r="B14" s="743" t="s">
        <v>325</v>
      </c>
      <c r="C14" s="979"/>
      <c r="D14" s="979"/>
      <c r="E14" s="979"/>
      <c r="F14" s="979"/>
      <c r="G14" s="979"/>
      <c r="H14" s="979"/>
      <c r="I14" s="744">
        <f>SUM(C14:H14)</f>
        <v>0</v>
      </c>
    </row>
    <row r="15" spans="1:9" ht="20.25" customHeight="1">
      <c r="A15" s="742" t="s">
        <v>326</v>
      </c>
      <c r="B15" s="743" t="s">
        <v>327</v>
      </c>
      <c r="C15" s="979"/>
      <c r="D15" s="979"/>
      <c r="E15" s="979"/>
      <c r="F15" s="979"/>
      <c r="G15" s="979"/>
      <c r="H15" s="979"/>
      <c r="I15" s="744">
        <f>SUM(C15:H15)</f>
        <v>0</v>
      </c>
    </row>
    <row r="16" spans="1:9" ht="31.5" customHeight="1">
      <c r="A16" s="745" t="s">
        <v>328</v>
      </c>
      <c r="B16" s="746" t="s">
        <v>329</v>
      </c>
      <c r="C16" s="1063">
        <f>C14-C15</f>
        <v>0</v>
      </c>
      <c r="D16" s="1063">
        <f aca="true" t="shared" si="3" ref="D16:I16">D14-D15</f>
        <v>0</v>
      </c>
      <c r="E16" s="1063">
        <f t="shared" si="3"/>
        <v>0</v>
      </c>
      <c r="F16" s="1063">
        <f t="shared" si="3"/>
        <v>0</v>
      </c>
      <c r="G16" s="1063">
        <f t="shared" si="3"/>
        <v>0</v>
      </c>
      <c r="H16" s="1063">
        <f t="shared" si="3"/>
        <v>0</v>
      </c>
      <c r="I16" s="747">
        <f t="shared" si="3"/>
        <v>0</v>
      </c>
    </row>
    <row r="17" spans="1:9" ht="26.25" customHeight="1">
      <c r="A17" s="742" t="s">
        <v>330</v>
      </c>
      <c r="B17" s="743" t="s">
        <v>331</v>
      </c>
      <c r="C17" s="979"/>
      <c r="D17" s="979"/>
      <c r="E17" s="979"/>
      <c r="F17" s="979"/>
      <c r="G17" s="979"/>
      <c r="H17" s="979"/>
      <c r="I17" s="744">
        <f>SUM(C17:H17)</f>
        <v>0</v>
      </c>
    </row>
    <row r="18" spans="1:9" ht="21" customHeight="1">
      <c r="A18" s="742" t="s">
        <v>332</v>
      </c>
      <c r="B18" s="743" t="s">
        <v>333</v>
      </c>
      <c r="C18" s="979"/>
      <c r="D18" s="979"/>
      <c r="E18" s="979"/>
      <c r="F18" s="979"/>
      <c r="G18" s="979"/>
      <c r="H18" s="979"/>
      <c r="I18" s="744">
        <f>SUM(C18:H18)</f>
        <v>0</v>
      </c>
    </row>
    <row r="19" spans="1:9" ht="30.75" customHeight="1">
      <c r="A19" s="745" t="s">
        <v>334</v>
      </c>
      <c r="B19" s="746" t="s">
        <v>335</v>
      </c>
      <c r="C19" s="1063">
        <f>C17-C18</f>
        <v>0</v>
      </c>
      <c r="D19" s="1063">
        <f aca="true" t="shared" si="4" ref="D19:I19">D17-D18</f>
        <v>0</v>
      </c>
      <c r="E19" s="1063">
        <f t="shared" si="4"/>
        <v>0</v>
      </c>
      <c r="F19" s="1063">
        <f t="shared" si="4"/>
        <v>0</v>
      </c>
      <c r="G19" s="1063">
        <f t="shared" si="4"/>
        <v>0</v>
      </c>
      <c r="H19" s="1063">
        <f t="shared" si="4"/>
        <v>0</v>
      </c>
      <c r="I19" s="747">
        <f t="shared" si="4"/>
        <v>0</v>
      </c>
    </row>
    <row r="20" spans="1:9" ht="32.25" customHeight="1">
      <c r="A20" s="748" t="s">
        <v>213</v>
      </c>
      <c r="B20" s="749" t="s">
        <v>336</v>
      </c>
      <c r="C20" s="1064">
        <f>C16+C19</f>
        <v>0</v>
      </c>
      <c r="D20" s="1064">
        <f aca="true" t="shared" si="5" ref="D20:I20">D16+D19</f>
        <v>0</v>
      </c>
      <c r="E20" s="1064">
        <f t="shared" si="5"/>
        <v>0</v>
      </c>
      <c r="F20" s="1064">
        <f t="shared" si="5"/>
        <v>0</v>
      </c>
      <c r="G20" s="1064">
        <f t="shared" si="5"/>
        <v>0</v>
      </c>
      <c r="H20" s="1064">
        <f t="shared" si="5"/>
        <v>0</v>
      </c>
      <c r="I20" s="744">
        <f t="shared" si="5"/>
        <v>0</v>
      </c>
    </row>
    <row r="21" spans="1:9" ht="19.5" customHeight="1">
      <c r="A21" s="748" t="s">
        <v>337</v>
      </c>
      <c r="B21" s="749" t="s">
        <v>338</v>
      </c>
      <c r="C21" s="1064">
        <f>C13+C20</f>
        <v>982180289</v>
      </c>
      <c r="D21" s="1064">
        <f aca="true" t="shared" si="6" ref="D21:I21">D13+D20</f>
        <v>32407559</v>
      </c>
      <c r="E21" s="1064">
        <f t="shared" si="6"/>
        <v>39771164</v>
      </c>
      <c r="F21" s="1064">
        <f t="shared" si="6"/>
        <v>1175443</v>
      </c>
      <c r="G21" s="1064">
        <f t="shared" si="6"/>
        <v>1676651</v>
      </c>
      <c r="H21" s="1064">
        <f t="shared" si="6"/>
        <v>1476411</v>
      </c>
      <c r="I21" s="744">
        <f t="shared" si="6"/>
        <v>1058687517</v>
      </c>
    </row>
    <row r="22" spans="1:9" ht="30.75" customHeight="1">
      <c r="A22" s="750" t="s">
        <v>339</v>
      </c>
      <c r="B22" s="743" t="s">
        <v>340</v>
      </c>
      <c r="C22" s="979">
        <v>682841572</v>
      </c>
      <c r="D22" s="979">
        <v>0</v>
      </c>
      <c r="E22" s="979">
        <v>0</v>
      </c>
      <c r="F22" s="979">
        <v>0</v>
      </c>
      <c r="G22" s="979">
        <v>0</v>
      </c>
      <c r="H22" s="979">
        <v>0</v>
      </c>
      <c r="I22" s="744">
        <f>SUM(C22:H22)</f>
        <v>682841572</v>
      </c>
    </row>
    <row r="23" spans="1:9" ht="21" customHeight="1">
      <c r="A23" s="750" t="s">
        <v>341</v>
      </c>
      <c r="B23" s="743" t="s">
        <v>342</v>
      </c>
      <c r="C23" s="979">
        <f>C13-C22</f>
        <v>299338717</v>
      </c>
      <c r="D23" s="979">
        <f aca="true" t="shared" si="7" ref="D23:I23">D13-D22</f>
        <v>32407559</v>
      </c>
      <c r="E23" s="979">
        <f t="shared" si="7"/>
        <v>39771164</v>
      </c>
      <c r="F23" s="979">
        <f t="shared" si="7"/>
        <v>1175443</v>
      </c>
      <c r="G23" s="979">
        <f t="shared" si="7"/>
        <v>1676651</v>
      </c>
      <c r="H23" s="979">
        <f t="shared" si="7"/>
        <v>1476411</v>
      </c>
      <c r="I23" s="744">
        <f t="shared" si="7"/>
        <v>375845945</v>
      </c>
    </row>
    <row r="24" spans="1:9" ht="28.5" customHeight="1">
      <c r="A24" s="750" t="s">
        <v>343</v>
      </c>
      <c r="B24" s="743" t="s">
        <v>344</v>
      </c>
      <c r="C24" s="979">
        <f>C20*0.1</f>
        <v>0</v>
      </c>
      <c r="D24" s="979">
        <f aca="true" t="shared" si="8" ref="D24:I24">D20*0.1</f>
        <v>0</v>
      </c>
      <c r="E24" s="979">
        <f t="shared" si="8"/>
        <v>0</v>
      </c>
      <c r="F24" s="979">
        <f t="shared" si="8"/>
        <v>0</v>
      </c>
      <c r="G24" s="979">
        <f t="shared" si="8"/>
        <v>0</v>
      </c>
      <c r="H24" s="979">
        <f t="shared" si="8"/>
        <v>0</v>
      </c>
      <c r="I24" s="744">
        <f t="shared" si="8"/>
        <v>0</v>
      </c>
    </row>
    <row r="25" spans="1:9" ht="27" customHeight="1">
      <c r="A25" s="750" t="s">
        <v>345</v>
      </c>
      <c r="B25" s="743" t="s">
        <v>346</v>
      </c>
      <c r="C25" s="979">
        <f>C20-C24</f>
        <v>0</v>
      </c>
      <c r="D25" s="979">
        <f aca="true" t="shared" si="9" ref="D25:I25">D20-D24</f>
        <v>0</v>
      </c>
      <c r="E25" s="979">
        <f t="shared" si="9"/>
        <v>0</v>
      </c>
      <c r="F25" s="979">
        <f t="shared" si="9"/>
        <v>0</v>
      </c>
      <c r="G25" s="979">
        <f t="shared" si="9"/>
        <v>0</v>
      </c>
      <c r="H25" s="979">
        <f t="shared" si="9"/>
        <v>0</v>
      </c>
      <c r="I25" s="744">
        <f t="shared" si="9"/>
        <v>0</v>
      </c>
    </row>
    <row r="28" spans="2:9" ht="12.75">
      <c r="B28" s="1000"/>
      <c r="I28" s="799"/>
    </row>
    <row r="29" spans="4:9" ht="12.75">
      <c r="D29" s="1065"/>
      <c r="I29" s="799"/>
    </row>
    <row r="30" ht="12.75">
      <c r="I30" s="799"/>
    </row>
  </sheetData>
  <sheetProtection/>
  <mergeCells count="9">
    <mergeCell ref="G1:I1"/>
    <mergeCell ref="G5:G6"/>
    <mergeCell ref="H5:H6"/>
    <mergeCell ref="I5:I6"/>
    <mergeCell ref="A5:B6"/>
    <mergeCell ref="C5:C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3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6.25390625" style="803" customWidth="1"/>
    <col min="2" max="2" width="9.375" style="1065" customWidth="1"/>
    <col min="3" max="3" width="9.875" style="1065" customWidth="1"/>
    <col min="4" max="4" width="11.375" style="1065" customWidth="1"/>
    <col min="5" max="5" width="11.00390625" style="1065" customWidth="1"/>
    <col min="6" max="6" width="7.125" style="1065" customWidth="1"/>
    <col min="7" max="7" width="11.125" style="809" customWidth="1"/>
    <col min="8" max="8" width="12.25390625" style="1065" customWidth="1"/>
    <col min="9" max="9" width="11.125" style="1065" bestFit="1" customWidth="1"/>
    <col min="10" max="10" width="11.125" style="809" customWidth="1"/>
    <col min="11" max="11" width="13.375" style="809" customWidth="1"/>
    <col min="12" max="13" width="12.125" style="0" customWidth="1"/>
    <col min="14" max="14" width="9.875" style="0" bestFit="1" customWidth="1"/>
  </cols>
  <sheetData>
    <row r="1" spans="8:11" ht="43.5" customHeight="1">
      <c r="H1" s="1962" t="s">
        <v>1104</v>
      </c>
      <c r="I1" s="1962"/>
      <c r="J1" s="1962"/>
      <c r="K1" s="1962"/>
    </row>
    <row r="2" ht="16.5" customHeight="1">
      <c r="K2" s="810" t="s">
        <v>508</v>
      </c>
    </row>
    <row r="3" spans="1:11" s="804" customFormat="1" ht="58.5" customHeight="1">
      <c r="A3" s="802" t="s">
        <v>1022</v>
      </c>
      <c r="B3" s="1066" t="s">
        <v>509</v>
      </c>
      <c r="C3" s="1066" t="s">
        <v>510</v>
      </c>
      <c r="D3" s="1066" t="s">
        <v>511</v>
      </c>
      <c r="E3" s="1066" t="s">
        <v>517</v>
      </c>
      <c r="F3" s="1066" t="s">
        <v>855</v>
      </c>
      <c r="G3" s="811" t="s">
        <v>512</v>
      </c>
      <c r="H3" s="1066" t="s">
        <v>516</v>
      </c>
      <c r="I3" s="1066" t="s">
        <v>514</v>
      </c>
      <c r="J3" s="811" t="s">
        <v>515</v>
      </c>
      <c r="K3" s="811" t="s">
        <v>513</v>
      </c>
    </row>
    <row r="4" spans="1:11" s="1062" customFormat="1" ht="30" customHeight="1">
      <c r="A4" s="1320" t="s">
        <v>154</v>
      </c>
      <c r="B4" s="979"/>
      <c r="C4" s="979"/>
      <c r="D4" s="979">
        <v>0</v>
      </c>
      <c r="E4" s="979">
        <v>0</v>
      </c>
      <c r="F4" s="979"/>
      <c r="G4" s="807">
        <f aca="true" t="shared" si="0" ref="G4:G9">SUM(B4:F4)</f>
        <v>0</v>
      </c>
      <c r="H4" s="979"/>
      <c r="I4" s="979"/>
      <c r="J4" s="807">
        <f>SUM(H4:I4)</f>
        <v>0</v>
      </c>
      <c r="K4" s="807">
        <f>G4+J4</f>
        <v>0</v>
      </c>
    </row>
    <row r="5" spans="1:14" s="1062" customFormat="1" ht="16.5" customHeight="1">
      <c r="A5" s="1320" t="s">
        <v>155</v>
      </c>
      <c r="B5" s="979">
        <v>0</v>
      </c>
      <c r="C5" s="979">
        <v>0</v>
      </c>
      <c r="D5" s="979">
        <v>0</v>
      </c>
      <c r="E5" s="979">
        <v>0</v>
      </c>
      <c r="F5" s="979"/>
      <c r="G5" s="807">
        <f t="shared" si="0"/>
        <v>0</v>
      </c>
      <c r="H5" s="979"/>
      <c r="I5" s="979"/>
      <c r="J5" s="807">
        <f aca="true" t="shared" si="1" ref="J5:J21">SUM(H5:I5)</f>
        <v>0</v>
      </c>
      <c r="K5" s="807">
        <f aca="true" t="shared" si="2" ref="K5:K30">G5+J5</f>
        <v>0</v>
      </c>
      <c r="N5" s="1065"/>
    </row>
    <row r="6" spans="1:11" s="1062" customFormat="1" ht="16.5" customHeight="1">
      <c r="A6" s="1320" t="s">
        <v>58</v>
      </c>
      <c r="B6" s="979"/>
      <c r="C6" s="979">
        <v>0</v>
      </c>
      <c r="D6" s="979">
        <v>0</v>
      </c>
      <c r="E6" s="979">
        <v>0</v>
      </c>
      <c r="F6" s="979"/>
      <c r="G6" s="807">
        <f t="shared" si="0"/>
        <v>0</v>
      </c>
      <c r="H6" s="979"/>
      <c r="I6" s="979"/>
      <c r="J6" s="807">
        <f t="shared" si="1"/>
        <v>0</v>
      </c>
      <c r="K6" s="807">
        <f t="shared" si="2"/>
        <v>0</v>
      </c>
    </row>
    <row r="7" spans="1:11" s="1062" customFormat="1" ht="16.5" customHeight="1">
      <c r="A7" s="1320" t="s">
        <v>296</v>
      </c>
      <c r="B7" s="979">
        <v>0</v>
      </c>
      <c r="C7" s="979">
        <v>0</v>
      </c>
      <c r="D7" s="979">
        <v>0</v>
      </c>
      <c r="E7" s="979">
        <v>0</v>
      </c>
      <c r="F7" s="979"/>
      <c r="G7" s="807">
        <f t="shared" si="0"/>
        <v>0</v>
      </c>
      <c r="H7" s="979"/>
      <c r="I7" s="979"/>
      <c r="J7" s="807">
        <f t="shared" si="1"/>
        <v>0</v>
      </c>
      <c r="K7" s="807">
        <f t="shared" si="2"/>
        <v>0</v>
      </c>
    </row>
    <row r="8" spans="1:18" s="940" customFormat="1" ht="16.5" customHeight="1">
      <c r="A8" s="938" t="s">
        <v>520</v>
      </c>
      <c r="B8" s="939">
        <f>SUM(B4:B7)</f>
        <v>0</v>
      </c>
      <c r="C8" s="939">
        <f>SUM(C4:C7)</f>
        <v>0</v>
      </c>
      <c r="D8" s="939">
        <f>SUM(D4:D7)</f>
        <v>0</v>
      </c>
      <c r="E8" s="939">
        <f>SUM(E4:E7)</f>
        <v>0</v>
      </c>
      <c r="F8" s="939">
        <f>SUM(F4:F7)</f>
        <v>0</v>
      </c>
      <c r="G8" s="939">
        <f t="shared" si="0"/>
        <v>0</v>
      </c>
      <c r="H8" s="939">
        <f>SUM(H4:H7)</f>
        <v>0</v>
      </c>
      <c r="I8" s="939">
        <f>SUM(I4:I7)</f>
        <v>0</v>
      </c>
      <c r="J8" s="939">
        <f t="shared" si="1"/>
        <v>0</v>
      </c>
      <c r="K8" s="939">
        <f t="shared" si="2"/>
        <v>0</v>
      </c>
      <c r="N8" s="941"/>
      <c r="R8" s="941"/>
    </row>
    <row r="9" spans="1:11" s="940" customFormat="1" ht="16.5" customHeight="1">
      <c r="A9" s="938" t="s">
        <v>505</v>
      </c>
      <c r="B9" s="939"/>
      <c r="C9" s="939"/>
      <c r="D9" s="939"/>
      <c r="E9" s="939">
        <v>0</v>
      </c>
      <c r="F9" s="939"/>
      <c r="G9" s="939">
        <f t="shared" si="0"/>
        <v>0</v>
      </c>
      <c r="H9" s="939"/>
      <c r="I9" s="939"/>
      <c r="J9" s="939">
        <f t="shared" si="1"/>
        <v>0</v>
      </c>
      <c r="K9" s="939">
        <f t="shared" si="2"/>
        <v>0</v>
      </c>
    </row>
    <row r="10" spans="1:11" s="1319" customFormat="1" ht="16.5" customHeight="1">
      <c r="A10" s="1788" t="s">
        <v>591</v>
      </c>
      <c r="B10" s="1789"/>
      <c r="C10" s="1789"/>
      <c r="D10" s="1789"/>
      <c r="E10" s="1789"/>
      <c r="F10" s="1789"/>
      <c r="G10" s="1789"/>
      <c r="H10" s="1789"/>
      <c r="I10" s="1789"/>
      <c r="J10" s="1789"/>
      <c r="K10" s="1790"/>
    </row>
    <row r="11" spans="1:11" s="1319" customFormat="1" ht="16.5" customHeight="1">
      <c r="A11" s="1401" t="s">
        <v>172</v>
      </c>
      <c r="B11" s="979"/>
      <c r="C11" s="979"/>
      <c r="D11" s="979">
        <f>2063901</f>
        <v>2063901</v>
      </c>
      <c r="E11" s="979"/>
      <c r="F11" s="979"/>
      <c r="G11" s="807">
        <f>SUM(B11:F11)</f>
        <v>2063901</v>
      </c>
      <c r="H11" s="979">
        <f>9786648+380443+7008018+1571803+52000000-1+4365702</f>
        <v>75112613</v>
      </c>
      <c r="I11" s="979"/>
      <c r="J11" s="807">
        <f>SUM(H11:I11)</f>
        <v>75112613</v>
      </c>
      <c r="K11" s="807">
        <f t="shared" si="2"/>
        <v>77176514</v>
      </c>
    </row>
    <row r="12" spans="1:11" s="1319" customFormat="1" ht="17.25" customHeight="1">
      <c r="A12" s="1401" t="s">
        <v>192</v>
      </c>
      <c r="B12" s="979"/>
      <c r="C12" s="979"/>
      <c r="D12" s="979">
        <f>4082257</f>
        <v>4082257</v>
      </c>
      <c r="E12" s="979"/>
      <c r="F12" s="979"/>
      <c r="G12" s="807">
        <f aca="true" t="shared" si="3" ref="G12:G31">SUM(B12:F12)</f>
        <v>4082257</v>
      </c>
      <c r="H12" s="979"/>
      <c r="I12" s="979"/>
      <c r="J12" s="807">
        <f t="shared" si="1"/>
        <v>0</v>
      </c>
      <c r="K12" s="807">
        <f t="shared" si="2"/>
        <v>4082257</v>
      </c>
    </row>
    <row r="13" spans="1:11" s="1319" customFormat="1" ht="16.5" customHeight="1">
      <c r="A13" s="1401" t="s">
        <v>1065</v>
      </c>
      <c r="B13" s="979"/>
      <c r="C13" s="979"/>
      <c r="D13" s="979">
        <f>13360377+1483435-1195940</f>
        <v>13647872</v>
      </c>
      <c r="E13" s="979"/>
      <c r="F13" s="979"/>
      <c r="G13" s="807">
        <f t="shared" si="3"/>
        <v>13647872</v>
      </c>
      <c r="H13" s="979"/>
      <c r="I13" s="979"/>
      <c r="J13" s="807">
        <f t="shared" si="1"/>
        <v>0</v>
      </c>
      <c r="K13" s="807">
        <f t="shared" si="2"/>
        <v>13647872</v>
      </c>
    </row>
    <row r="14" spans="1:11" s="1319" customFormat="1" ht="39" customHeight="1">
      <c r="A14" s="1401" t="s">
        <v>1066</v>
      </c>
      <c r="B14" s="979"/>
      <c r="C14" s="979"/>
      <c r="D14" s="979">
        <v>1606600</v>
      </c>
      <c r="E14" s="979"/>
      <c r="F14" s="979"/>
      <c r="G14" s="807">
        <f t="shared" si="3"/>
        <v>1606600</v>
      </c>
      <c r="H14" s="979"/>
      <c r="I14" s="979"/>
      <c r="J14" s="807"/>
      <c r="K14" s="807">
        <f t="shared" si="2"/>
        <v>1606600</v>
      </c>
    </row>
    <row r="15" spans="1:11" s="1319" customFormat="1" ht="39" customHeight="1">
      <c r="A15" s="1401" t="s">
        <v>1067</v>
      </c>
      <c r="B15" s="979"/>
      <c r="C15" s="979"/>
      <c r="D15" s="979">
        <v>4082142</v>
      </c>
      <c r="E15" s="979"/>
      <c r="F15" s="979"/>
      <c r="G15" s="807">
        <f t="shared" si="3"/>
        <v>4082142</v>
      </c>
      <c r="H15" s="979"/>
      <c r="I15" s="979"/>
      <c r="J15" s="807"/>
      <c r="K15" s="807">
        <f t="shared" si="2"/>
        <v>4082142</v>
      </c>
    </row>
    <row r="16" spans="1:11" s="1319" customFormat="1" ht="65.25" customHeight="1">
      <c r="A16" s="1401" t="s">
        <v>1068</v>
      </c>
      <c r="B16" s="979"/>
      <c r="C16" s="979"/>
      <c r="D16" s="979"/>
      <c r="E16" s="979">
        <v>24245000</v>
      </c>
      <c r="F16" s="979"/>
      <c r="G16" s="807">
        <f t="shared" si="3"/>
        <v>24245000</v>
      </c>
      <c r="H16" s="979"/>
      <c r="I16" s="979"/>
      <c r="J16" s="807">
        <f t="shared" si="1"/>
        <v>0</v>
      </c>
      <c r="K16" s="807">
        <f t="shared" si="2"/>
        <v>24245000</v>
      </c>
    </row>
    <row r="17" spans="1:11" s="1319" customFormat="1" ht="16.5" customHeight="1">
      <c r="A17" s="1401" t="s">
        <v>592</v>
      </c>
      <c r="B17" s="979"/>
      <c r="C17" s="979"/>
      <c r="D17" s="979">
        <v>387577</v>
      </c>
      <c r="E17" s="979"/>
      <c r="F17" s="979"/>
      <c r="G17" s="807">
        <f t="shared" si="3"/>
        <v>387577</v>
      </c>
      <c r="H17" s="979"/>
      <c r="I17" s="979"/>
      <c r="J17" s="807">
        <f t="shared" si="1"/>
        <v>0</v>
      </c>
      <c r="K17" s="807">
        <f t="shared" si="2"/>
        <v>387577</v>
      </c>
    </row>
    <row r="18" spans="1:11" s="1319" customFormat="1" ht="27" customHeight="1">
      <c r="A18" s="1401" t="s">
        <v>69</v>
      </c>
      <c r="B18" s="979"/>
      <c r="C18" s="979"/>
      <c r="D18" s="979">
        <v>64298</v>
      </c>
      <c r="E18" s="979"/>
      <c r="F18" s="979"/>
      <c r="G18" s="807">
        <f t="shared" si="3"/>
        <v>64298</v>
      </c>
      <c r="H18" s="979"/>
      <c r="I18" s="979"/>
      <c r="J18" s="807">
        <f t="shared" si="1"/>
        <v>0</v>
      </c>
      <c r="K18" s="807">
        <f t="shared" si="2"/>
        <v>64298</v>
      </c>
    </row>
    <row r="19" spans="1:11" s="1319" customFormat="1" ht="18" customHeight="1">
      <c r="A19" s="1401" t="s">
        <v>65</v>
      </c>
      <c r="B19" s="979"/>
      <c r="C19" s="979"/>
      <c r="D19" s="979">
        <f>60580+2787112</f>
        <v>2847692</v>
      </c>
      <c r="E19" s="979"/>
      <c r="F19" s="979"/>
      <c r="G19" s="807">
        <f t="shared" si="3"/>
        <v>2847692</v>
      </c>
      <c r="H19" s="979"/>
      <c r="I19" s="979"/>
      <c r="J19" s="807">
        <f t="shared" si="1"/>
        <v>0</v>
      </c>
      <c r="K19" s="807">
        <f t="shared" si="2"/>
        <v>2847692</v>
      </c>
    </row>
    <row r="20" spans="1:11" s="1319" customFormat="1" ht="13.5" customHeight="1">
      <c r="A20" s="1401" t="s">
        <v>51</v>
      </c>
      <c r="B20" s="979"/>
      <c r="C20" s="979"/>
      <c r="D20" s="979">
        <v>2406827</v>
      </c>
      <c r="E20" s="979"/>
      <c r="F20" s="979"/>
      <c r="G20" s="807">
        <f t="shared" si="3"/>
        <v>2406827</v>
      </c>
      <c r="H20" s="979"/>
      <c r="I20" s="979"/>
      <c r="J20" s="807">
        <f t="shared" si="1"/>
        <v>0</v>
      </c>
      <c r="K20" s="807">
        <f t="shared" si="2"/>
        <v>2406827</v>
      </c>
    </row>
    <row r="21" spans="1:11" s="1319" customFormat="1" ht="16.5" customHeight="1">
      <c r="A21" s="1401" t="s">
        <v>768</v>
      </c>
      <c r="B21" s="979"/>
      <c r="C21" s="979"/>
      <c r="D21" s="979">
        <v>1931415</v>
      </c>
      <c r="E21" s="979"/>
      <c r="F21" s="979"/>
      <c r="G21" s="807">
        <f t="shared" si="3"/>
        <v>1931415</v>
      </c>
      <c r="H21" s="979">
        <v>3589129</v>
      </c>
      <c r="I21" s="979"/>
      <c r="J21" s="807">
        <f t="shared" si="1"/>
        <v>3589129</v>
      </c>
      <c r="K21" s="807">
        <f t="shared" si="2"/>
        <v>5520544</v>
      </c>
    </row>
    <row r="22" spans="1:11" s="1319" customFormat="1" ht="19.5" customHeight="1">
      <c r="A22" s="1401" t="s">
        <v>854</v>
      </c>
      <c r="B22" s="979"/>
      <c r="C22" s="979"/>
      <c r="D22" s="979">
        <v>1220000</v>
      </c>
      <c r="E22" s="979"/>
      <c r="F22" s="979"/>
      <c r="G22" s="807">
        <f t="shared" si="3"/>
        <v>1220000</v>
      </c>
      <c r="H22" s="979"/>
      <c r="I22" s="979"/>
      <c r="J22" s="807">
        <f aca="true" t="shared" si="4" ref="J22:J31">SUM(H22:I22)</f>
        <v>0</v>
      </c>
      <c r="K22" s="807">
        <f t="shared" si="2"/>
        <v>1220000</v>
      </c>
    </row>
    <row r="23" spans="1:14" s="1319" customFormat="1" ht="30" customHeight="1">
      <c r="A23" s="1401" t="s">
        <v>1069</v>
      </c>
      <c r="B23" s="979"/>
      <c r="C23" s="979"/>
      <c r="D23" s="979"/>
      <c r="E23" s="979"/>
      <c r="F23" s="979"/>
      <c r="G23" s="807">
        <f t="shared" si="3"/>
        <v>0</v>
      </c>
      <c r="H23" s="979">
        <f>899416+533616+160000</f>
        <v>1593032</v>
      </c>
      <c r="I23" s="979"/>
      <c r="J23" s="807">
        <f t="shared" si="4"/>
        <v>1593032</v>
      </c>
      <c r="K23" s="807">
        <f t="shared" si="2"/>
        <v>1593032</v>
      </c>
      <c r="N23" s="998"/>
    </row>
    <row r="24" spans="1:14" s="1319" customFormat="1" ht="19.5" customHeight="1">
      <c r="A24" s="1401" t="s">
        <v>199</v>
      </c>
      <c r="B24" s="979"/>
      <c r="C24" s="979"/>
      <c r="D24" s="979"/>
      <c r="E24" s="979"/>
      <c r="F24" s="979"/>
      <c r="G24" s="807">
        <f t="shared" si="3"/>
        <v>0</v>
      </c>
      <c r="H24" s="979">
        <v>4419600</v>
      </c>
      <c r="I24" s="979"/>
      <c r="J24" s="807">
        <f t="shared" si="4"/>
        <v>4419600</v>
      </c>
      <c r="K24" s="807">
        <f t="shared" si="2"/>
        <v>4419600</v>
      </c>
      <c r="N24" s="998"/>
    </row>
    <row r="25" spans="1:14" s="1319" customFormat="1" ht="28.5" customHeight="1">
      <c r="A25" s="1401" t="s">
        <v>78</v>
      </c>
      <c r="B25" s="979"/>
      <c r="C25" s="979"/>
      <c r="D25" s="979"/>
      <c r="E25" s="979"/>
      <c r="F25" s="979"/>
      <c r="G25" s="807">
        <f t="shared" si="3"/>
        <v>0</v>
      </c>
      <c r="H25" s="979">
        <f>9529826</f>
        <v>9529826</v>
      </c>
      <c r="I25" s="979"/>
      <c r="J25" s="807">
        <f t="shared" si="4"/>
        <v>9529826</v>
      </c>
      <c r="K25" s="807">
        <f t="shared" si="2"/>
        <v>9529826</v>
      </c>
      <c r="N25" s="998"/>
    </row>
    <row r="26" spans="1:14" s="1319" customFormat="1" ht="19.5" customHeight="1">
      <c r="A26" s="1401" t="s">
        <v>1</v>
      </c>
      <c r="B26" s="979"/>
      <c r="C26" s="979"/>
      <c r="D26" s="979"/>
      <c r="E26" s="979"/>
      <c r="F26" s="979"/>
      <c r="G26" s="807">
        <f t="shared" si="3"/>
        <v>0</v>
      </c>
      <c r="H26" s="979">
        <f>10109200+7424928</f>
        <v>17534128</v>
      </c>
      <c r="I26" s="979"/>
      <c r="J26" s="807">
        <f t="shared" si="4"/>
        <v>17534128</v>
      </c>
      <c r="K26" s="807">
        <f t="shared" si="2"/>
        <v>17534128</v>
      </c>
      <c r="N26" s="998"/>
    </row>
    <row r="27" spans="1:14" s="1319" customFormat="1" ht="28.5" customHeight="1">
      <c r="A27" s="1401" t="s">
        <v>748</v>
      </c>
      <c r="B27" s="979"/>
      <c r="C27" s="979"/>
      <c r="D27" s="979"/>
      <c r="E27" s="979"/>
      <c r="F27" s="979"/>
      <c r="G27" s="807">
        <f t="shared" si="3"/>
        <v>0</v>
      </c>
      <c r="H27" s="979">
        <v>5242992</v>
      </c>
      <c r="I27" s="979"/>
      <c r="J27" s="807">
        <f t="shared" si="4"/>
        <v>5242992</v>
      </c>
      <c r="K27" s="807">
        <f t="shared" si="2"/>
        <v>5242992</v>
      </c>
      <c r="N27" s="998"/>
    </row>
    <row r="28" spans="1:14" s="1319" customFormat="1" ht="18.75" customHeight="1">
      <c r="A28" s="1401" t="s">
        <v>924</v>
      </c>
      <c r="B28" s="979"/>
      <c r="C28" s="979"/>
      <c r="D28" s="979"/>
      <c r="E28" s="979"/>
      <c r="F28" s="979"/>
      <c r="G28" s="807">
        <f t="shared" si="3"/>
        <v>0</v>
      </c>
      <c r="H28" s="979">
        <v>1665118</v>
      </c>
      <c r="I28" s="979"/>
      <c r="J28" s="807">
        <f t="shared" si="4"/>
        <v>1665118</v>
      </c>
      <c r="K28" s="807">
        <f t="shared" si="2"/>
        <v>1665118</v>
      </c>
      <c r="N28" s="998"/>
    </row>
    <row r="29" spans="1:14" s="1319" customFormat="1" ht="40.5" customHeight="1">
      <c r="A29" s="1401" t="s">
        <v>1077</v>
      </c>
      <c r="B29" s="979">
        <v>6300000</v>
      </c>
      <c r="C29" s="979">
        <v>1228500</v>
      </c>
      <c r="D29" s="979">
        <v>255615000</v>
      </c>
      <c r="E29" s="979">
        <v>11600000</v>
      </c>
      <c r="F29" s="979"/>
      <c r="G29" s="807">
        <f t="shared" si="3"/>
        <v>274743500</v>
      </c>
      <c r="H29" s="979"/>
      <c r="I29" s="979"/>
      <c r="J29" s="807">
        <f t="shared" si="4"/>
        <v>0</v>
      </c>
      <c r="K29" s="807">
        <f t="shared" si="2"/>
        <v>274743500</v>
      </c>
      <c r="N29" s="998"/>
    </row>
    <row r="30" spans="1:14" s="1319" customFormat="1" ht="28.5" customHeight="1">
      <c r="A30" s="1401" t="s">
        <v>681</v>
      </c>
      <c r="B30" s="979"/>
      <c r="C30" s="979"/>
      <c r="D30" s="979">
        <v>17873670</v>
      </c>
      <c r="E30" s="979"/>
      <c r="F30" s="979"/>
      <c r="G30" s="807">
        <f t="shared" si="3"/>
        <v>17873670</v>
      </c>
      <c r="H30" s="979"/>
      <c r="I30" s="979"/>
      <c r="J30" s="807">
        <f t="shared" si="4"/>
        <v>0</v>
      </c>
      <c r="K30" s="807">
        <f t="shared" si="2"/>
        <v>17873670</v>
      </c>
      <c r="N30" s="998"/>
    </row>
    <row r="31" spans="1:14" s="1319" customFormat="1" ht="30" customHeight="1">
      <c r="A31" s="1401" t="s">
        <v>1078</v>
      </c>
      <c r="B31" s="979"/>
      <c r="C31" s="979"/>
      <c r="D31" s="979"/>
      <c r="E31" s="979"/>
      <c r="F31" s="979"/>
      <c r="G31" s="807">
        <f t="shared" si="3"/>
        <v>0</v>
      </c>
      <c r="H31" s="979"/>
      <c r="I31" s="979">
        <v>212952383</v>
      </c>
      <c r="J31" s="807">
        <f t="shared" si="4"/>
        <v>212952383</v>
      </c>
      <c r="K31" s="807">
        <f>G31+J31</f>
        <v>212952383</v>
      </c>
      <c r="N31" s="998"/>
    </row>
    <row r="32" spans="1:13" s="940" customFormat="1" ht="16.5" customHeight="1">
      <c r="A32" s="938" t="s">
        <v>518</v>
      </c>
      <c r="B32" s="939">
        <f aca="true" t="shared" si="5" ref="B32:K32">SUM(B11:B31)</f>
        <v>6300000</v>
      </c>
      <c r="C32" s="939">
        <f t="shared" si="5"/>
        <v>1228500</v>
      </c>
      <c r="D32" s="939">
        <f t="shared" si="5"/>
        <v>307829251</v>
      </c>
      <c r="E32" s="939">
        <f t="shared" si="5"/>
        <v>35845000</v>
      </c>
      <c r="F32" s="939">
        <f t="shared" si="5"/>
        <v>0</v>
      </c>
      <c r="G32" s="939">
        <f t="shared" si="5"/>
        <v>351202751</v>
      </c>
      <c r="H32" s="939">
        <f t="shared" si="5"/>
        <v>118686438</v>
      </c>
      <c r="I32" s="939">
        <f t="shared" si="5"/>
        <v>212952383</v>
      </c>
      <c r="J32" s="939">
        <f t="shared" si="5"/>
        <v>331638821</v>
      </c>
      <c r="K32" s="939">
        <f t="shared" si="5"/>
        <v>682841572</v>
      </c>
      <c r="L32" s="941"/>
      <c r="M32" s="941"/>
    </row>
    <row r="33" spans="1:11" s="940" customFormat="1" ht="16.5" customHeight="1">
      <c r="A33" s="938" t="s">
        <v>519</v>
      </c>
      <c r="B33" s="939">
        <f aca="true" t="shared" si="6" ref="B33:K33">B8+B9+B32</f>
        <v>6300000</v>
      </c>
      <c r="C33" s="939">
        <f t="shared" si="6"/>
        <v>1228500</v>
      </c>
      <c r="D33" s="939">
        <f t="shared" si="6"/>
        <v>307829251</v>
      </c>
      <c r="E33" s="939">
        <f t="shared" si="6"/>
        <v>35845000</v>
      </c>
      <c r="F33" s="939">
        <f t="shared" si="6"/>
        <v>0</v>
      </c>
      <c r="G33" s="939">
        <f t="shared" si="6"/>
        <v>351202751</v>
      </c>
      <c r="H33" s="939">
        <f t="shared" si="6"/>
        <v>118686438</v>
      </c>
      <c r="I33" s="939">
        <f t="shared" si="6"/>
        <v>212952383</v>
      </c>
      <c r="J33" s="939">
        <f t="shared" si="6"/>
        <v>331638821</v>
      </c>
      <c r="K33" s="939">
        <f t="shared" si="6"/>
        <v>682841572</v>
      </c>
    </row>
  </sheetData>
  <sheetProtection/>
  <mergeCells count="2">
    <mergeCell ref="A10:K10"/>
    <mergeCell ref="H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rowBreaks count="1" manualBreakCount="1">
    <brk id="20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O120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66.25390625" style="752" customWidth="1"/>
    <col min="2" max="2" width="15.125" style="783" customWidth="1"/>
    <col min="3" max="3" width="11.375" style="783" customWidth="1"/>
    <col min="4" max="4" width="12.625" style="783" customWidth="1"/>
    <col min="5" max="5" width="10.625" style="783" customWidth="1"/>
    <col min="6" max="6" width="10.00390625" style="783" customWidth="1"/>
    <col min="7" max="7" width="10.25390625" style="783" customWidth="1"/>
    <col min="8" max="8" width="15.75390625" style="783" customWidth="1"/>
    <col min="9" max="10" width="9.25390625" style="751" customWidth="1"/>
    <col min="11" max="11" width="6.125" style="751" customWidth="1"/>
    <col min="12" max="12" width="12.625" style="751" customWidth="1"/>
    <col min="13" max="13" width="8.875" style="751" customWidth="1"/>
    <col min="14" max="14" width="6.375" style="751" customWidth="1"/>
    <col min="15" max="15" width="9.00390625" style="751" customWidth="1"/>
    <col min="16" max="16384" width="9.125" style="751" customWidth="1"/>
  </cols>
  <sheetData>
    <row r="1" spans="1:8" ht="27" customHeight="1">
      <c r="A1" s="1956" t="s">
        <v>1105</v>
      </c>
      <c r="B1" s="1956"/>
      <c r="C1" s="1956"/>
      <c r="D1" s="1956"/>
      <c r="E1" s="1956"/>
      <c r="F1" s="1956"/>
      <c r="G1" s="1956"/>
      <c r="H1" s="1956"/>
    </row>
    <row r="2" ht="14.25" customHeight="1">
      <c r="H2" s="784" t="s">
        <v>508</v>
      </c>
    </row>
    <row r="3" spans="1:15" s="755" customFormat="1" ht="9.75" customHeight="1">
      <c r="A3" s="1791" t="s">
        <v>874</v>
      </c>
      <c r="B3" s="1792" t="s">
        <v>796</v>
      </c>
      <c r="C3" s="1792" t="s">
        <v>454</v>
      </c>
      <c r="D3" s="1792" t="s">
        <v>455</v>
      </c>
      <c r="E3" s="1792" t="s">
        <v>155</v>
      </c>
      <c r="F3" s="1792" t="s">
        <v>58</v>
      </c>
      <c r="G3" s="1792" t="s">
        <v>310</v>
      </c>
      <c r="H3" s="1793" t="s">
        <v>17</v>
      </c>
      <c r="I3" s="753"/>
      <c r="J3" s="754"/>
      <c r="K3" s="754"/>
      <c r="L3" s="754"/>
      <c r="M3" s="754"/>
      <c r="N3" s="754"/>
      <c r="O3" s="754"/>
    </row>
    <row r="4" spans="1:15" s="755" customFormat="1" ht="24.75" customHeight="1">
      <c r="A4" s="1791"/>
      <c r="B4" s="1792"/>
      <c r="C4" s="1792"/>
      <c r="D4" s="1792"/>
      <c r="E4" s="1792"/>
      <c r="F4" s="1792"/>
      <c r="G4" s="1792"/>
      <c r="H4" s="1793"/>
      <c r="I4" s="756"/>
      <c r="J4" s="754"/>
      <c r="K4" s="754"/>
      <c r="L4" s="754"/>
      <c r="M4" s="754"/>
      <c r="N4" s="754"/>
      <c r="O4" s="754"/>
    </row>
    <row r="5" spans="1:15" s="755" customFormat="1" ht="19.5" customHeight="1">
      <c r="A5" s="1791"/>
      <c r="B5" s="1792"/>
      <c r="C5" s="1792"/>
      <c r="D5" s="1792"/>
      <c r="E5" s="1792"/>
      <c r="F5" s="1792"/>
      <c r="G5" s="1792"/>
      <c r="H5" s="1793"/>
      <c r="I5" s="756"/>
      <c r="J5" s="754"/>
      <c r="K5" s="754"/>
      <c r="L5" s="754"/>
      <c r="M5" s="754"/>
      <c r="N5" s="754"/>
      <c r="O5" s="754"/>
    </row>
    <row r="6" spans="1:15" s="755" customFormat="1" ht="12.75" customHeight="1">
      <c r="A6" s="1791"/>
      <c r="B6" s="1792"/>
      <c r="C6" s="1792"/>
      <c r="D6" s="1792"/>
      <c r="E6" s="1792"/>
      <c r="F6" s="1792"/>
      <c r="G6" s="1792"/>
      <c r="H6" s="1793"/>
      <c r="I6" s="753"/>
      <c r="J6" s="754"/>
      <c r="K6" s="754"/>
      <c r="L6" s="754"/>
      <c r="M6" s="754"/>
      <c r="N6" s="754"/>
      <c r="O6" s="754"/>
    </row>
    <row r="7" spans="1:15" s="755" customFormat="1" ht="15" customHeight="1">
      <c r="A7" s="767" t="s">
        <v>347</v>
      </c>
      <c r="B7" s="768">
        <f aca="true" t="shared" si="0" ref="B7:G7">B8+B12+B18+B22</f>
        <v>12232939724</v>
      </c>
      <c r="C7" s="768">
        <f t="shared" si="0"/>
        <v>0</v>
      </c>
      <c r="D7" s="768">
        <f t="shared" si="0"/>
        <v>0</v>
      </c>
      <c r="E7" s="768">
        <f t="shared" si="0"/>
        <v>0</v>
      </c>
      <c r="F7" s="768">
        <f t="shared" si="0"/>
        <v>0</v>
      </c>
      <c r="G7" s="768">
        <f t="shared" si="0"/>
        <v>6294986</v>
      </c>
      <c r="H7" s="768">
        <f aca="true" t="shared" si="1" ref="H7:H38">SUM(B7:G7)</f>
        <v>12239234710</v>
      </c>
      <c r="I7" s="753"/>
      <c r="J7" s="757"/>
      <c r="K7" s="757"/>
      <c r="L7" s="757"/>
      <c r="M7" s="757"/>
      <c r="N7" s="757"/>
      <c r="O7" s="757"/>
    </row>
    <row r="8" spans="1:15" s="755" customFormat="1" ht="13.5" customHeight="1">
      <c r="A8" s="769" t="s">
        <v>348</v>
      </c>
      <c r="B8" s="770">
        <f aca="true" t="shared" si="2" ref="B8:G8">B9+B10+B11</f>
        <v>28270903</v>
      </c>
      <c r="C8" s="770">
        <f t="shared" si="2"/>
        <v>0</v>
      </c>
      <c r="D8" s="770">
        <f t="shared" si="2"/>
        <v>0</v>
      </c>
      <c r="E8" s="770">
        <f t="shared" si="2"/>
        <v>0</v>
      </c>
      <c r="F8" s="770">
        <f t="shared" si="2"/>
        <v>0</v>
      </c>
      <c r="G8" s="770">
        <f t="shared" si="2"/>
        <v>0</v>
      </c>
      <c r="H8" s="768">
        <f t="shared" si="1"/>
        <v>28270903</v>
      </c>
      <c r="I8" s="754"/>
      <c r="J8" s="758"/>
      <c r="K8" s="758"/>
      <c r="L8" s="758"/>
      <c r="M8" s="758"/>
      <c r="N8" s="758"/>
      <c r="O8" s="758"/>
    </row>
    <row r="9" spans="1:15" s="755" customFormat="1" ht="13.5" customHeight="1">
      <c r="A9" s="769" t="s">
        <v>349</v>
      </c>
      <c r="B9" s="770">
        <v>0</v>
      </c>
      <c r="C9" s="770"/>
      <c r="D9" s="770"/>
      <c r="E9" s="770"/>
      <c r="F9" s="770"/>
      <c r="G9" s="770"/>
      <c r="H9" s="768">
        <f t="shared" si="1"/>
        <v>0</v>
      </c>
      <c r="I9" s="754"/>
      <c r="J9" s="758"/>
      <c r="K9" s="758"/>
      <c r="L9" s="758"/>
      <c r="M9" s="758"/>
      <c r="N9" s="758"/>
      <c r="O9" s="758"/>
    </row>
    <row r="10" spans="1:15" s="755" customFormat="1" ht="13.5" customHeight="1">
      <c r="A10" s="769" t="s">
        <v>350</v>
      </c>
      <c r="B10" s="770">
        <v>28270903</v>
      </c>
      <c r="C10" s="770"/>
      <c r="D10" s="770"/>
      <c r="E10" s="770"/>
      <c r="F10" s="770"/>
      <c r="G10" s="770">
        <v>0</v>
      </c>
      <c r="H10" s="768">
        <f t="shared" si="1"/>
        <v>28270903</v>
      </c>
      <c r="I10" s="754"/>
      <c r="J10" s="758"/>
      <c r="K10" s="758"/>
      <c r="L10" s="758"/>
      <c r="M10" s="758"/>
      <c r="N10" s="758"/>
      <c r="O10" s="758"/>
    </row>
    <row r="11" spans="1:15" s="755" customFormat="1" ht="13.5" customHeight="1">
      <c r="A11" s="769" t="s">
        <v>351</v>
      </c>
      <c r="B11" s="770"/>
      <c r="C11" s="770"/>
      <c r="D11" s="770"/>
      <c r="E11" s="770"/>
      <c r="F11" s="770"/>
      <c r="G11" s="770"/>
      <c r="H11" s="768">
        <f t="shared" si="1"/>
        <v>0</v>
      </c>
      <c r="I11" s="754"/>
      <c r="J11" s="758"/>
      <c r="K11" s="758"/>
      <c r="L11" s="758"/>
      <c r="M11" s="758"/>
      <c r="N11" s="758"/>
      <c r="O11" s="758"/>
    </row>
    <row r="12" spans="1:15" s="755" customFormat="1" ht="13.5" customHeight="1">
      <c r="A12" s="769" t="s">
        <v>352</v>
      </c>
      <c r="B12" s="770">
        <f aca="true" t="shared" si="3" ref="B12:G12">SUM(B13:B17)</f>
        <v>12166532584</v>
      </c>
      <c r="C12" s="770">
        <f t="shared" si="3"/>
        <v>0</v>
      </c>
      <c r="D12" s="770">
        <f t="shared" si="3"/>
        <v>0</v>
      </c>
      <c r="E12" s="770">
        <f t="shared" si="3"/>
        <v>0</v>
      </c>
      <c r="F12" s="770">
        <f t="shared" si="3"/>
        <v>0</v>
      </c>
      <c r="G12" s="770">
        <f t="shared" si="3"/>
        <v>6294986</v>
      </c>
      <c r="H12" s="768">
        <f t="shared" si="1"/>
        <v>12172827570</v>
      </c>
      <c r="I12" s="753"/>
      <c r="J12" s="758"/>
      <c r="K12" s="758"/>
      <c r="L12" s="758"/>
      <c r="M12" s="758"/>
      <c r="N12" s="758"/>
      <c r="O12" s="758"/>
    </row>
    <row r="13" spans="1:15" s="755" customFormat="1" ht="15.75" customHeight="1">
      <c r="A13" s="769" t="s">
        <v>353</v>
      </c>
      <c r="B13" s="770">
        <v>11268614099</v>
      </c>
      <c r="C13" s="770"/>
      <c r="D13" s="770"/>
      <c r="E13" s="770"/>
      <c r="F13" s="770"/>
      <c r="G13" s="770"/>
      <c r="H13" s="768">
        <f t="shared" si="1"/>
        <v>11268614099</v>
      </c>
      <c r="I13" s="754"/>
      <c r="J13" s="758"/>
      <c r="K13" s="758"/>
      <c r="L13" s="758"/>
      <c r="M13" s="758"/>
      <c r="N13" s="758"/>
      <c r="O13" s="758"/>
    </row>
    <row r="14" spans="1:15" s="755" customFormat="1" ht="15.75" customHeight="1">
      <c r="A14" s="769" t="s">
        <v>354</v>
      </c>
      <c r="B14" s="770">
        <v>678330268</v>
      </c>
      <c r="C14" s="770"/>
      <c r="D14" s="770"/>
      <c r="E14" s="770"/>
      <c r="F14" s="770"/>
      <c r="G14" s="770">
        <v>6294986</v>
      </c>
      <c r="H14" s="768">
        <f t="shared" si="1"/>
        <v>684625254</v>
      </c>
      <c r="I14" s="754"/>
      <c r="J14" s="758"/>
      <c r="K14" s="758"/>
      <c r="L14" s="758"/>
      <c r="M14" s="758"/>
      <c r="N14" s="758"/>
      <c r="O14" s="758"/>
    </row>
    <row r="15" spans="1:15" s="755" customFormat="1" ht="15.75" customHeight="1">
      <c r="A15" s="769" t="s">
        <v>355</v>
      </c>
      <c r="B15" s="770"/>
      <c r="C15" s="770"/>
      <c r="D15" s="770"/>
      <c r="E15" s="770"/>
      <c r="F15" s="770"/>
      <c r="G15" s="770"/>
      <c r="H15" s="768">
        <f t="shared" si="1"/>
        <v>0</v>
      </c>
      <c r="I15" s="754"/>
      <c r="J15" s="758"/>
      <c r="K15" s="758"/>
      <c r="L15" s="758"/>
      <c r="M15" s="758"/>
      <c r="N15" s="758"/>
      <c r="O15" s="758"/>
    </row>
    <row r="16" spans="1:15" s="755" customFormat="1" ht="15.75" customHeight="1">
      <c r="A16" s="769" t="s">
        <v>356</v>
      </c>
      <c r="B16" s="770">
        <v>219588217</v>
      </c>
      <c r="C16" s="770"/>
      <c r="D16" s="770"/>
      <c r="E16" s="770"/>
      <c r="F16" s="770"/>
      <c r="G16" s="770"/>
      <c r="H16" s="768">
        <f t="shared" si="1"/>
        <v>219588217</v>
      </c>
      <c r="I16" s="754"/>
      <c r="J16" s="758"/>
      <c r="K16" s="758"/>
      <c r="L16" s="758"/>
      <c r="M16" s="758"/>
      <c r="N16" s="758"/>
      <c r="O16" s="758"/>
    </row>
    <row r="17" spans="1:15" s="755" customFormat="1" ht="15.75" customHeight="1">
      <c r="A17" s="769" t="s">
        <v>357</v>
      </c>
      <c r="B17" s="770"/>
      <c r="C17" s="770"/>
      <c r="D17" s="770"/>
      <c r="E17" s="770"/>
      <c r="F17" s="770"/>
      <c r="G17" s="770"/>
      <c r="H17" s="768">
        <f t="shared" si="1"/>
        <v>0</v>
      </c>
      <c r="I17" s="754"/>
      <c r="J17" s="758"/>
      <c r="K17" s="758"/>
      <c r="L17" s="758"/>
      <c r="M17" s="758"/>
      <c r="N17" s="758"/>
      <c r="O17" s="758"/>
    </row>
    <row r="18" spans="1:15" s="755" customFormat="1" ht="15.75" customHeight="1">
      <c r="A18" s="769" t="s">
        <v>358</v>
      </c>
      <c r="B18" s="770">
        <f aca="true" t="shared" si="4" ref="B18:G18">SUM(B19:B21)</f>
        <v>38136237</v>
      </c>
      <c r="C18" s="770">
        <f t="shared" si="4"/>
        <v>0</v>
      </c>
      <c r="D18" s="770">
        <f t="shared" si="4"/>
        <v>0</v>
      </c>
      <c r="E18" s="770">
        <f t="shared" si="4"/>
        <v>0</v>
      </c>
      <c r="F18" s="770">
        <f t="shared" si="4"/>
        <v>0</v>
      </c>
      <c r="G18" s="770">
        <f t="shared" si="4"/>
        <v>0</v>
      </c>
      <c r="H18" s="768">
        <f t="shared" si="1"/>
        <v>38136237</v>
      </c>
      <c r="I18" s="754"/>
      <c r="J18" s="758"/>
      <c r="K18" s="758"/>
      <c r="L18" s="758"/>
      <c r="M18" s="758"/>
      <c r="N18" s="758"/>
      <c r="O18" s="758"/>
    </row>
    <row r="19" spans="1:15" s="755" customFormat="1" ht="15.75" customHeight="1">
      <c r="A19" s="769" t="s">
        <v>359</v>
      </c>
      <c r="B19" s="770">
        <v>38136237</v>
      </c>
      <c r="C19" s="770"/>
      <c r="D19" s="770"/>
      <c r="E19" s="770"/>
      <c r="F19" s="770"/>
      <c r="G19" s="770"/>
      <c r="H19" s="768">
        <f t="shared" si="1"/>
        <v>38136237</v>
      </c>
      <c r="I19" s="754"/>
      <c r="J19" s="758"/>
      <c r="K19" s="758"/>
      <c r="L19" s="758"/>
      <c r="M19" s="758"/>
      <c r="N19" s="758"/>
      <c r="O19" s="758"/>
    </row>
    <row r="20" spans="1:15" s="755" customFormat="1" ht="15.75" customHeight="1">
      <c r="A20" s="769" t="s">
        <v>360</v>
      </c>
      <c r="B20" s="770"/>
      <c r="C20" s="770"/>
      <c r="D20" s="770"/>
      <c r="E20" s="770"/>
      <c r="F20" s="770"/>
      <c r="G20" s="770"/>
      <c r="H20" s="768">
        <f t="shared" si="1"/>
        <v>0</v>
      </c>
      <c r="I20" s="754"/>
      <c r="J20" s="758"/>
      <c r="K20" s="758"/>
      <c r="L20" s="758"/>
      <c r="M20" s="758"/>
      <c r="N20" s="758"/>
      <c r="O20" s="758"/>
    </row>
    <row r="21" spans="1:15" s="755" customFormat="1" ht="15.75" customHeight="1">
      <c r="A21" s="769" t="s">
        <v>361</v>
      </c>
      <c r="B21" s="770"/>
      <c r="C21" s="770"/>
      <c r="D21" s="770"/>
      <c r="E21" s="770"/>
      <c r="F21" s="770"/>
      <c r="G21" s="770"/>
      <c r="H21" s="768">
        <f t="shared" si="1"/>
        <v>0</v>
      </c>
      <c r="I21" s="754"/>
      <c r="J21" s="758"/>
      <c r="K21" s="758"/>
      <c r="L21" s="758"/>
      <c r="M21" s="758"/>
      <c r="N21" s="758"/>
      <c r="O21" s="758"/>
    </row>
    <row r="22" spans="1:15" s="755" customFormat="1" ht="14.25" customHeight="1">
      <c r="A22" s="771" t="s">
        <v>362</v>
      </c>
      <c r="B22" s="770">
        <f aca="true" t="shared" si="5" ref="B22:G22">SUM(B23:B24)</f>
        <v>0</v>
      </c>
      <c r="C22" s="770">
        <f t="shared" si="5"/>
        <v>0</v>
      </c>
      <c r="D22" s="770">
        <f t="shared" si="5"/>
        <v>0</v>
      </c>
      <c r="E22" s="770">
        <f t="shared" si="5"/>
        <v>0</v>
      </c>
      <c r="F22" s="770">
        <f t="shared" si="5"/>
        <v>0</v>
      </c>
      <c r="G22" s="770">
        <f t="shared" si="5"/>
        <v>0</v>
      </c>
      <c r="H22" s="768">
        <f t="shared" si="1"/>
        <v>0</v>
      </c>
      <c r="I22" s="753"/>
      <c r="J22" s="759"/>
      <c r="K22" s="759"/>
      <c r="L22" s="759"/>
      <c r="M22" s="759"/>
      <c r="N22" s="759"/>
      <c r="O22" s="759"/>
    </row>
    <row r="23" spans="1:15" s="755" customFormat="1" ht="15.75" customHeight="1">
      <c r="A23" s="769" t="s">
        <v>363</v>
      </c>
      <c r="B23" s="770">
        <v>0</v>
      </c>
      <c r="C23" s="770"/>
      <c r="D23" s="770"/>
      <c r="E23" s="770"/>
      <c r="F23" s="770"/>
      <c r="G23" s="770"/>
      <c r="H23" s="768">
        <f t="shared" si="1"/>
        <v>0</v>
      </c>
      <c r="I23" s="753"/>
      <c r="J23" s="759"/>
      <c r="K23" s="759"/>
      <c r="L23" s="759"/>
      <c r="M23" s="759"/>
      <c r="N23" s="759"/>
      <c r="O23" s="759"/>
    </row>
    <row r="24" spans="1:15" s="755" customFormat="1" ht="15.75" customHeight="1">
      <c r="A24" s="769" t="s">
        <v>364</v>
      </c>
      <c r="B24" s="770"/>
      <c r="C24" s="770"/>
      <c r="D24" s="770"/>
      <c r="E24" s="770"/>
      <c r="F24" s="770"/>
      <c r="G24" s="770"/>
      <c r="H24" s="768">
        <f t="shared" si="1"/>
        <v>0</v>
      </c>
      <c r="I24" s="753"/>
      <c r="J24" s="759"/>
      <c r="K24" s="759"/>
      <c r="L24" s="759"/>
      <c r="M24" s="759"/>
      <c r="N24" s="759"/>
      <c r="O24" s="759"/>
    </row>
    <row r="25" spans="1:15" s="755" customFormat="1" ht="12" customHeight="1">
      <c r="A25" s="772" t="s">
        <v>365</v>
      </c>
      <c r="B25" s="773">
        <f aca="true" t="shared" si="6" ref="B25:G25">B26+B32</f>
        <v>1224700000</v>
      </c>
      <c r="C25" s="773">
        <f t="shared" si="6"/>
        <v>648042</v>
      </c>
      <c r="D25" s="773">
        <f t="shared" si="6"/>
        <v>1971655</v>
      </c>
      <c r="E25" s="773">
        <f t="shared" si="6"/>
        <v>724994</v>
      </c>
      <c r="F25" s="773">
        <f t="shared" si="6"/>
        <v>47000</v>
      </c>
      <c r="G25" s="773">
        <f t="shared" si="6"/>
        <v>460692</v>
      </c>
      <c r="H25" s="768">
        <f t="shared" si="1"/>
        <v>1228552383</v>
      </c>
      <c r="I25" s="754"/>
      <c r="J25" s="758"/>
      <c r="K25" s="758"/>
      <c r="L25" s="758"/>
      <c r="M25" s="758"/>
      <c r="N25" s="758"/>
      <c r="O25" s="758"/>
    </row>
    <row r="26" spans="1:15" s="755" customFormat="1" ht="12" customHeight="1">
      <c r="A26" s="774" t="s">
        <v>366</v>
      </c>
      <c r="B26" s="770">
        <f aca="true" t="shared" si="7" ref="B26:G26">SUM(B27:B31)</f>
        <v>0</v>
      </c>
      <c r="C26" s="770">
        <f t="shared" si="7"/>
        <v>648042</v>
      </c>
      <c r="D26" s="770">
        <f t="shared" si="7"/>
        <v>1971655</v>
      </c>
      <c r="E26" s="770">
        <f t="shared" si="7"/>
        <v>724994</v>
      </c>
      <c r="F26" s="770">
        <f t="shared" si="7"/>
        <v>47000</v>
      </c>
      <c r="G26" s="770">
        <f t="shared" si="7"/>
        <v>460692</v>
      </c>
      <c r="H26" s="768">
        <f t="shared" si="1"/>
        <v>3852383</v>
      </c>
      <c r="I26" s="754"/>
      <c r="J26" s="758"/>
      <c r="K26" s="758"/>
      <c r="L26" s="758"/>
      <c r="M26" s="758"/>
      <c r="N26" s="758"/>
      <c r="O26" s="758"/>
    </row>
    <row r="27" spans="1:15" s="755" customFormat="1" ht="12" customHeight="1">
      <c r="A27" s="769" t="s">
        <v>367</v>
      </c>
      <c r="B27" s="770"/>
      <c r="C27" s="770">
        <v>648042</v>
      </c>
      <c r="D27" s="770">
        <v>1971655</v>
      </c>
      <c r="E27" s="770">
        <v>724994</v>
      </c>
      <c r="F27" s="770">
        <v>47000</v>
      </c>
      <c r="G27" s="770">
        <v>460692</v>
      </c>
      <c r="H27" s="768">
        <f t="shared" si="1"/>
        <v>3852383</v>
      </c>
      <c r="I27" s="754"/>
      <c r="J27" s="758"/>
      <c r="K27" s="758"/>
      <c r="L27" s="758"/>
      <c r="M27" s="758"/>
      <c r="N27" s="758"/>
      <c r="O27" s="758"/>
    </row>
    <row r="28" spans="1:15" s="755" customFormat="1" ht="12" customHeight="1">
      <c r="A28" s="769" t="s">
        <v>368</v>
      </c>
      <c r="B28" s="770"/>
      <c r="C28" s="770"/>
      <c r="D28" s="770"/>
      <c r="E28" s="770"/>
      <c r="F28" s="770"/>
      <c r="G28" s="770"/>
      <c r="H28" s="768">
        <f t="shared" si="1"/>
        <v>0</v>
      </c>
      <c r="I28" s="754"/>
      <c r="J28" s="758"/>
      <c r="K28" s="758"/>
      <c r="L28" s="758"/>
      <c r="M28" s="758"/>
      <c r="N28" s="758"/>
      <c r="O28" s="758"/>
    </row>
    <row r="29" spans="1:15" s="755" customFormat="1" ht="12" customHeight="1">
      <c r="A29" s="769" t="s">
        <v>369</v>
      </c>
      <c r="B29" s="770"/>
      <c r="C29" s="770"/>
      <c r="D29" s="770"/>
      <c r="E29" s="770"/>
      <c r="F29" s="770"/>
      <c r="G29" s="770"/>
      <c r="H29" s="768">
        <f t="shared" si="1"/>
        <v>0</v>
      </c>
      <c r="I29" s="754"/>
      <c r="J29" s="758"/>
      <c r="K29" s="758"/>
      <c r="L29" s="758"/>
      <c r="M29" s="758"/>
      <c r="N29" s="758"/>
      <c r="O29" s="758"/>
    </row>
    <row r="30" spans="1:15" s="755" customFormat="1" ht="12" customHeight="1">
      <c r="A30" s="769" t="s">
        <v>370</v>
      </c>
      <c r="B30" s="770">
        <v>0</v>
      </c>
      <c r="C30" s="770">
        <v>0</v>
      </c>
      <c r="D30" s="770">
        <v>0</v>
      </c>
      <c r="E30" s="770">
        <v>0</v>
      </c>
      <c r="F30" s="770">
        <v>0</v>
      </c>
      <c r="G30" s="770">
        <v>0</v>
      </c>
      <c r="H30" s="768">
        <f t="shared" si="1"/>
        <v>0</v>
      </c>
      <c r="I30" s="754"/>
      <c r="J30" s="758"/>
      <c r="K30" s="758"/>
      <c r="L30" s="758"/>
      <c r="M30" s="758"/>
      <c r="N30" s="758"/>
      <c r="O30" s="758"/>
    </row>
    <row r="31" spans="1:15" s="755" customFormat="1" ht="12" customHeight="1">
      <c r="A31" s="771" t="s">
        <v>371</v>
      </c>
      <c r="B31" s="770"/>
      <c r="C31" s="770"/>
      <c r="D31" s="770"/>
      <c r="E31" s="770"/>
      <c r="F31" s="770"/>
      <c r="G31" s="770"/>
      <c r="H31" s="768">
        <f t="shared" si="1"/>
        <v>0</v>
      </c>
      <c r="I31" s="754"/>
      <c r="J31" s="758"/>
      <c r="K31" s="758"/>
      <c r="L31" s="758"/>
      <c r="M31" s="758"/>
      <c r="N31" s="758"/>
      <c r="O31" s="758"/>
    </row>
    <row r="32" spans="1:15" s="755" customFormat="1" ht="12" customHeight="1">
      <c r="A32" s="775" t="s">
        <v>372</v>
      </c>
      <c r="B32" s="776">
        <f aca="true" t="shared" si="8" ref="B32:G32">B34+B33</f>
        <v>1224700000</v>
      </c>
      <c r="C32" s="776">
        <f t="shared" si="8"/>
        <v>0</v>
      </c>
      <c r="D32" s="776">
        <f t="shared" si="8"/>
        <v>0</v>
      </c>
      <c r="E32" s="776">
        <f t="shared" si="8"/>
        <v>0</v>
      </c>
      <c r="F32" s="776">
        <f t="shared" si="8"/>
        <v>0</v>
      </c>
      <c r="G32" s="776">
        <f t="shared" si="8"/>
        <v>0</v>
      </c>
      <c r="H32" s="768">
        <f t="shared" si="1"/>
        <v>1224700000</v>
      </c>
      <c r="I32" s="754"/>
      <c r="J32" s="758"/>
      <c r="K32" s="758"/>
      <c r="L32" s="758"/>
      <c r="M32" s="758"/>
      <c r="N32" s="758"/>
      <c r="O32" s="758"/>
    </row>
    <row r="33" spans="1:15" s="755" customFormat="1" ht="12" customHeight="1">
      <c r="A33" s="775" t="s">
        <v>373</v>
      </c>
      <c r="B33" s="776"/>
      <c r="C33" s="776"/>
      <c r="D33" s="776"/>
      <c r="E33" s="776"/>
      <c r="F33" s="776"/>
      <c r="G33" s="776"/>
      <c r="H33" s="768">
        <f t="shared" si="1"/>
        <v>0</v>
      </c>
      <c r="I33" s="754"/>
      <c r="J33" s="758"/>
      <c r="K33" s="758"/>
      <c r="L33" s="758"/>
      <c r="M33" s="758"/>
      <c r="N33" s="758"/>
      <c r="O33" s="758"/>
    </row>
    <row r="34" spans="1:15" s="755" customFormat="1" ht="12" customHeight="1">
      <c r="A34" s="769" t="s">
        <v>374</v>
      </c>
      <c r="B34" s="776">
        <v>1224700000</v>
      </c>
      <c r="C34" s="776"/>
      <c r="D34" s="776"/>
      <c r="E34" s="776"/>
      <c r="F34" s="776"/>
      <c r="G34" s="776"/>
      <c r="H34" s="768">
        <f t="shared" si="1"/>
        <v>1224700000</v>
      </c>
      <c r="I34" s="754"/>
      <c r="J34" s="758"/>
      <c r="K34" s="758"/>
      <c r="L34" s="758"/>
      <c r="M34" s="758"/>
      <c r="N34" s="758"/>
      <c r="O34" s="758"/>
    </row>
    <row r="35" spans="1:15" s="755" customFormat="1" ht="12" customHeight="1">
      <c r="A35" s="777" t="s">
        <v>375</v>
      </c>
      <c r="B35" s="773">
        <f aca="true" t="shared" si="9" ref="B35:G35">SUM(B36:B39)</f>
        <v>271295030</v>
      </c>
      <c r="C35" s="773">
        <f t="shared" si="9"/>
        <v>18316580</v>
      </c>
      <c r="D35" s="773">
        <f t="shared" si="9"/>
        <v>11269018</v>
      </c>
      <c r="E35" s="773">
        <f t="shared" si="9"/>
        <v>9107675</v>
      </c>
      <c r="F35" s="773">
        <f t="shared" si="9"/>
        <v>2779840</v>
      </c>
      <c r="G35" s="773">
        <f t="shared" si="9"/>
        <v>1978051</v>
      </c>
      <c r="H35" s="768">
        <f t="shared" si="1"/>
        <v>314746194</v>
      </c>
      <c r="I35" s="754"/>
      <c r="J35" s="758"/>
      <c r="K35" s="758"/>
      <c r="L35" s="758"/>
      <c r="M35" s="758"/>
      <c r="N35" s="758"/>
      <c r="O35" s="758"/>
    </row>
    <row r="36" spans="1:15" s="755" customFormat="1" ht="14.25" customHeight="1">
      <c r="A36" s="775" t="s">
        <v>811</v>
      </c>
      <c r="B36" s="770"/>
      <c r="C36" s="770"/>
      <c r="D36" s="770"/>
      <c r="E36" s="770"/>
      <c r="F36" s="770"/>
      <c r="G36" s="770"/>
      <c r="H36" s="768">
        <f t="shared" si="1"/>
        <v>0</v>
      </c>
      <c r="I36" s="754"/>
      <c r="J36" s="758"/>
      <c r="K36" s="758"/>
      <c r="L36" s="758"/>
      <c r="M36" s="758"/>
      <c r="N36" s="758"/>
      <c r="O36" s="758"/>
    </row>
    <row r="37" spans="1:15" s="755" customFormat="1" ht="14.25" customHeight="1">
      <c r="A37" s="769" t="s">
        <v>376</v>
      </c>
      <c r="B37" s="770">
        <v>201630</v>
      </c>
      <c r="C37" s="770">
        <v>226370</v>
      </c>
      <c r="D37" s="770">
        <v>0</v>
      </c>
      <c r="E37" s="770">
        <v>0</v>
      </c>
      <c r="F37" s="770">
        <v>0</v>
      </c>
      <c r="G37" s="770"/>
      <c r="H37" s="768">
        <f t="shared" si="1"/>
        <v>428000</v>
      </c>
      <c r="I37" s="754"/>
      <c r="J37" s="758"/>
      <c r="K37" s="758"/>
      <c r="L37" s="758"/>
      <c r="M37" s="758"/>
      <c r="N37" s="758"/>
      <c r="O37" s="758"/>
    </row>
    <row r="38" spans="1:15" s="755" customFormat="1" ht="14.25" customHeight="1">
      <c r="A38" s="769" t="s">
        <v>377</v>
      </c>
      <c r="B38" s="770">
        <v>271093400</v>
      </c>
      <c r="C38" s="770">
        <v>18090210</v>
      </c>
      <c r="D38" s="770">
        <v>11269018</v>
      </c>
      <c r="E38" s="770">
        <v>9107675</v>
      </c>
      <c r="F38" s="770">
        <v>2779840</v>
      </c>
      <c r="G38" s="770">
        <v>1978051</v>
      </c>
      <c r="H38" s="768">
        <f t="shared" si="1"/>
        <v>314318194</v>
      </c>
      <c r="I38" s="754"/>
      <c r="J38" s="758"/>
      <c r="K38" s="758"/>
      <c r="L38" s="758"/>
      <c r="M38" s="758"/>
      <c r="N38" s="758"/>
      <c r="O38" s="758"/>
    </row>
    <row r="39" spans="1:15" s="755" customFormat="1" ht="14.25" customHeight="1">
      <c r="A39" s="769" t="s">
        <v>378</v>
      </c>
      <c r="B39" s="770">
        <v>0</v>
      </c>
      <c r="C39" s="770"/>
      <c r="D39" s="770"/>
      <c r="E39" s="770"/>
      <c r="F39" s="770"/>
      <c r="G39" s="770"/>
      <c r="H39" s="768">
        <f aca="true" t="shared" si="10" ref="H39:H70">SUM(B39:G39)</f>
        <v>0</v>
      </c>
      <c r="I39" s="754"/>
      <c r="J39" s="758"/>
      <c r="K39" s="758"/>
      <c r="L39" s="758"/>
      <c r="M39" s="758"/>
      <c r="N39" s="758"/>
      <c r="O39" s="758"/>
    </row>
    <row r="40" spans="1:15" s="755" customFormat="1" ht="12" customHeight="1">
      <c r="A40" s="767" t="s">
        <v>379</v>
      </c>
      <c r="B40" s="773">
        <f aca="true" t="shared" si="11" ref="B40:G40">B59+B50+B41</f>
        <v>133253731</v>
      </c>
      <c r="C40" s="773">
        <f t="shared" si="11"/>
        <v>1366494</v>
      </c>
      <c r="D40" s="773">
        <f t="shared" si="11"/>
        <v>745271</v>
      </c>
      <c r="E40" s="773">
        <f t="shared" si="11"/>
        <v>0</v>
      </c>
      <c r="F40" s="773">
        <f t="shared" si="11"/>
        <v>44588</v>
      </c>
      <c r="G40" s="773">
        <f t="shared" si="11"/>
        <v>290001</v>
      </c>
      <c r="H40" s="768">
        <f t="shared" si="10"/>
        <v>135700085</v>
      </c>
      <c r="I40" s="754"/>
      <c r="J40" s="758"/>
      <c r="K40" s="758"/>
      <c r="L40" s="758"/>
      <c r="M40" s="758"/>
      <c r="N40" s="758"/>
      <c r="O40" s="758"/>
    </row>
    <row r="41" spans="1:15" s="755" customFormat="1" ht="12" customHeight="1">
      <c r="A41" s="769" t="s">
        <v>380</v>
      </c>
      <c r="B41" s="770">
        <f aca="true" t="shared" si="12" ref="B41:G41">SUM(B42:B49)</f>
        <v>109845231</v>
      </c>
      <c r="C41" s="770">
        <f t="shared" si="12"/>
        <v>1366494</v>
      </c>
      <c r="D41" s="770">
        <f t="shared" si="12"/>
        <v>511640</v>
      </c>
      <c r="E41" s="770">
        <f t="shared" si="12"/>
        <v>0</v>
      </c>
      <c r="F41" s="770">
        <f t="shared" si="12"/>
        <v>44588</v>
      </c>
      <c r="G41" s="770">
        <f t="shared" si="12"/>
        <v>0</v>
      </c>
      <c r="H41" s="768">
        <f t="shared" si="10"/>
        <v>111767953</v>
      </c>
      <c r="I41" s="754"/>
      <c r="J41" s="758"/>
      <c r="K41" s="758"/>
      <c r="L41" s="758"/>
      <c r="M41" s="758"/>
      <c r="N41" s="758"/>
      <c r="O41" s="758"/>
    </row>
    <row r="42" spans="1:15" s="755" customFormat="1" ht="28.5" customHeight="1">
      <c r="A42" s="771" t="s">
        <v>381</v>
      </c>
      <c r="B42" s="770">
        <v>9816785</v>
      </c>
      <c r="C42" s="770"/>
      <c r="D42" s="770">
        <v>155300</v>
      </c>
      <c r="E42" s="770"/>
      <c r="F42" s="770"/>
      <c r="G42" s="770"/>
      <c r="H42" s="768">
        <f t="shared" si="10"/>
        <v>9972085</v>
      </c>
      <c r="I42" s="754"/>
      <c r="J42" s="758"/>
      <c r="K42" s="758"/>
      <c r="L42" s="758"/>
      <c r="M42" s="758"/>
      <c r="N42" s="758"/>
      <c r="O42" s="758"/>
    </row>
    <row r="43" spans="1:15" s="755" customFormat="1" ht="29.25" customHeight="1">
      <c r="A43" s="771" t="s">
        <v>382</v>
      </c>
      <c r="B43" s="770">
        <v>383467</v>
      </c>
      <c r="C43" s="770"/>
      <c r="D43" s="770"/>
      <c r="E43" s="770"/>
      <c r="F43" s="770"/>
      <c r="G43" s="770"/>
      <c r="H43" s="768">
        <f t="shared" si="10"/>
        <v>383467</v>
      </c>
      <c r="I43" s="754"/>
      <c r="J43" s="758"/>
      <c r="K43" s="758"/>
      <c r="L43" s="758"/>
      <c r="M43" s="758"/>
      <c r="N43" s="758"/>
      <c r="O43" s="758"/>
    </row>
    <row r="44" spans="1:15" s="755" customFormat="1" ht="12" customHeight="1">
      <c r="A44" s="771" t="s">
        <v>383</v>
      </c>
      <c r="B44" s="770">
        <v>76501057</v>
      </c>
      <c r="C44" s="770">
        <v>0</v>
      </c>
      <c r="D44" s="770"/>
      <c r="E44" s="770"/>
      <c r="F44" s="770"/>
      <c r="G44" s="770"/>
      <c r="H44" s="768">
        <f t="shared" si="10"/>
        <v>76501057</v>
      </c>
      <c r="I44" s="754"/>
      <c r="J44" s="758"/>
      <c r="K44" s="758"/>
      <c r="L44" s="758"/>
      <c r="M44" s="758"/>
      <c r="N44" s="758"/>
      <c r="O44" s="758"/>
    </row>
    <row r="45" spans="1:15" s="755" customFormat="1" ht="12" customHeight="1">
      <c r="A45" s="771" t="s">
        <v>384</v>
      </c>
      <c r="B45" s="770">
        <v>3678442</v>
      </c>
      <c r="C45" s="770">
        <v>1366494</v>
      </c>
      <c r="D45" s="770">
        <v>356340</v>
      </c>
      <c r="E45" s="770"/>
      <c r="F45" s="770">
        <v>44588</v>
      </c>
      <c r="G45" s="770">
        <v>0</v>
      </c>
      <c r="H45" s="768">
        <f t="shared" si="10"/>
        <v>5445864</v>
      </c>
      <c r="I45" s="754"/>
      <c r="J45" s="758"/>
      <c r="K45" s="758"/>
      <c r="L45" s="758"/>
      <c r="M45" s="758"/>
      <c r="N45" s="758"/>
      <c r="O45" s="758"/>
    </row>
    <row r="46" spans="1:15" s="755" customFormat="1" ht="12" customHeight="1">
      <c r="A46" s="771" t="s">
        <v>385</v>
      </c>
      <c r="B46" s="770">
        <v>3939273</v>
      </c>
      <c r="C46" s="770"/>
      <c r="D46" s="770"/>
      <c r="E46" s="770"/>
      <c r="F46" s="770"/>
      <c r="G46" s="770"/>
      <c r="H46" s="768">
        <f t="shared" si="10"/>
        <v>3939273</v>
      </c>
      <c r="I46" s="754"/>
      <c r="J46" s="758"/>
      <c r="K46" s="758"/>
      <c r="L46" s="758"/>
      <c r="M46" s="758"/>
      <c r="N46" s="758"/>
      <c r="O46" s="758"/>
    </row>
    <row r="47" spans="1:15" s="755" customFormat="1" ht="30.75" customHeight="1">
      <c r="A47" s="771" t="s">
        <v>386</v>
      </c>
      <c r="B47" s="770">
        <v>469663</v>
      </c>
      <c r="C47" s="770"/>
      <c r="D47" s="770"/>
      <c r="E47" s="770"/>
      <c r="F47" s="770"/>
      <c r="G47" s="770"/>
      <c r="H47" s="768">
        <f t="shared" si="10"/>
        <v>469663</v>
      </c>
      <c r="I47" s="754"/>
      <c r="J47" s="758"/>
      <c r="K47" s="758"/>
      <c r="L47" s="758"/>
      <c r="M47" s="758"/>
      <c r="N47" s="758"/>
      <c r="O47" s="758"/>
    </row>
    <row r="48" spans="1:15" s="755" customFormat="1" ht="27" customHeight="1">
      <c r="A48" s="771" t="s">
        <v>387</v>
      </c>
      <c r="B48" s="770">
        <v>15056544</v>
      </c>
      <c r="C48" s="770"/>
      <c r="D48" s="770"/>
      <c r="E48" s="770"/>
      <c r="F48" s="770"/>
      <c r="G48" s="770"/>
      <c r="H48" s="768">
        <f t="shared" si="10"/>
        <v>15056544</v>
      </c>
      <c r="I48" s="754"/>
      <c r="J48" s="758"/>
      <c r="K48" s="758"/>
      <c r="L48" s="758"/>
      <c r="M48" s="758"/>
      <c r="N48" s="758"/>
      <c r="O48" s="758"/>
    </row>
    <row r="49" spans="1:15" s="755" customFormat="1" ht="12" customHeight="1">
      <c r="A49" s="771" t="s">
        <v>388</v>
      </c>
      <c r="B49" s="770">
        <v>0</v>
      </c>
      <c r="C49" s="770"/>
      <c r="D49" s="770"/>
      <c r="E49" s="770"/>
      <c r="F49" s="770"/>
      <c r="G49" s="770"/>
      <c r="H49" s="768">
        <f t="shared" si="10"/>
        <v>0</v>
      </c>
      <c r="I49" s="754"/>
      <c r="J49" s="758"/>
      <c r="K49" s="758"/>
      <c r="L49" s="758"/>
      <c r="M49" s="758"/>
      <c r="N49" s="758"/>
      <c r="O49" s="758"/>
    </row>
    <row r="50" spans="1:15" s="755" customFormat="1" ht="12" customHeight="1">
      <c r="A50" s="769" t="s">
        <v>389</v>
      </c>
      <c r="B50" s="770">
        <f aca="true" t="shared" si="13" ref="B50:G50">SUM(B51:B58)</f>
        <v>0</v>
      </c>
      <c r="C50" s="770">
        <f t="shared" si="13"/>
        <v>0</v>
      </c>
      <c r="D50" s="770">
        <f t="shared" si="13"/>
        <v>0</v>
      </c>
      <c r="E50" s="770">
        <f t="shared" si="13"/>
        <v>0</v>
      </c>
      <c r="F50" s="770">
        <f t="shared" si="13"/>
        <v>0</v>
      </c>
      <c r="G50" s="770">
        <f t="shared" si="13"/>
        <v>0</v>
      </c>
      <c r="H50" s="768">
        <f t="shared" si="10"/>
        <v>0</v>
      </c>
      <c r="I50" s="754"/>
      <c r="J50" s="758"/>
      <c r="K50" s="758"/>
      <c r="L50" s="758"/>
      <c r="M50" s="758"/>
      <c r="N50" s="758"/>
      <c r="O50" s="758"/>
    </row>
    <row r="51" spans="1:15" s="755" customFormat="1" ht="28.5" customHeight="1">
      <c r="A51" s="771" t="s">
        <v>390</v>
      </c>
      <c r="B51" s="770"/>
      <c r="C51" s="770"/>
      <c r="D51" s="770"/>
      <c r="E51" s="770"/>
      <c r="F51" s="770"/>
      <c r="G51" s="770"/>
      <c r="H51" s="768">
        <f t="shared" si="10"/>
        <v>0</v>
      </c>
      <c r="I51" s="754"/>
      <c r="J51" s="758"/>
      <c r="K51" s="758"/>
      <c r="L51" s="758"/>
      <c r="M51" s="758"/>
      <c r="N51" s="758"/>
      <c r="O51" s="758"/>
    </row>
    <row r="52" spans="1:15" s="755" customFormat="1" ht="31.5" customHeight="1">
      <c r="A52" s="771" t="s">
        <v>391</v>
      </c>
      <c r="B52" s="770"/>
      <c r="C52" s="770"/>
      <c r="D52" s="770"/>
      <c r="E52" s="770"/>
      <c r="F52" s="770"/>
      <c r="G52" s="770"/>
      <c r="H52" s="768">
        <f t="shared" si="10"/>
        <v>0</v>
      </c>
      <c r="I52" s="754"/>
      <c r="J52" s="758"/>
      <c r="K52" s="758"/>
      <c r="L52" s="758"/>
      <c r="M52" s="758"/>
      <c r="N52" s="758"/>
      <c r="O52" s="758"/>
    </row>
    <row r="53" spans="1:15" s="755" customFormat="1" ht="25.5" customHeight="1">
      <c r="A53" s="771" t="s">
        <v>392</v>
      </c>
      <c r="B53" s="770"/>
      <c r="C53" s="770"/>
      <c r="D53" s="770"/>
      <c r="E53" s="770"/>
      <c r="F53" s="770"/>
      <c r="G53" s="770"/>
      <c r="H53" s="768">
        <f t="shared" si="10"/>
        <v>0</v>
      </c>
      <c r="I53" s="754"/>
      <c r="J53" s="758"/>
      <c r="K53" s="758"/>
      <c r="L53" s="758"/>
      <c r="M53" s="758"/>
      <c r="N53" s="758"/>
      <c r="O53" s="758"/>
    </row>
    <row r="54" spans="1:15" s="755" customFormat="1" ht="12" customHeight="1">
      <c r="A54" s="771" t="s">
        <v>393</v>
      </c>
      <c r="B54" s="770"/>
      <c r="C54" s="770"/>
      <c r="D54" s="770"/>
      <c r="E54" s="770"/>
      <c r="F54" s="770"/>
      <c r="G54" s="770"/>
      <c r="H54" s="768">
        <f t="shared" si="10"/>
        <v>0</v>
      </c>
      <c r="I54" s="754"/>
      <c r="J54" s="758"/>
      <c r="K54" s="758"/>
      <c r="L54" s="758"/>
      <c r="M54" s="758"/>
      <c r="N54" s="758"/>
      <c r="O54" s="758"/>
    </row>
    <row r="55" spans="1:15" s="755" customFormat="1" ht="26.25" customHeight="1">
      <c r="A55" s="771" t="s">
        <v>394</v>
      </c>
      <c r="B55" s="770">
        <v>0</v>
      </c>
      <c r="C55" s="770"/>
      <c r="D55" s="770"/>
      <c r="E55" s="770"/>
      <c r="F55" s="770"/>
      <c r="G55" s="770"/>
      <c r="H55" s="768">
        <f t="shared" si="10"/>
        <v>0</v>
      </c>
      <c r="I55" s="754"/>
      <c r="J55" s="758"/>
      <c r="K55" s="758"/>
      <c r="L55" s="758"/>
      <c r="M55" s="758"/>
      <c r="N55" s="758"/>
      <c r="O55" s="758"/>
    </row>
    <row r="56" spans="1:15" s="755" customFormat="1" ht="30.75" customHeight="1">
      <c r="A56" s="771" t="s">
        <v>395</v>
      </c>
      <c r="B56" s="770"/>
      <c r="C56" s="770"/>
      <c r="D56" s="770"/>
      <c r="E56" s="770"/>
      <c r="F56" s="770"/>
      <c r="G56" s="770"/>
      <c r="H56" s="768">
        <f t="shared" si="10"/>
        <v>0</v>
      </c>
      <c r="I56" s="754"/>
      <c r="J56" s="758"/>
      <c r="K56" s="758"/>
      <c r="L56" s="758"/>
      <c r="M56" s="758"/>
      <c r="N56" s="758"/>
      <c r="O56" s="758"/>
    </row>
    <row r="57" spans="1:15" s="755" customFormat="1" ht="27.75" customHeight="1">
      <c r="A57" s="771" t="s">
        <v>396</v>
      </c>
      <c r="B57" s="770"/>
      <c r="C57" s="770"/>
      <c r="D57" s="770"/>
      <c r="E57" s="770"/>
      <c r="F57" s="770"/>
      <c r="G57" s="770"/>
      <c r="H57" s="768">
        <f t="shared" si="10"/>
        <v>0</v>
      </c>
      <c r="I57" s="754"/>
      <c r="J57" s="758"/>
      <c r="K57" s="758"/>
      <c r="L57" s="758"/>
      <c r="M57" s="758"/>
      <c r="N57" s="758"/>
      <c r="O57" s="758"/>
    </row>
    <row r="58" spans="1:15" s="755" customFormat="1" ht="28.5" customHeight="1">
      <c r="A58" s="771" t="s">
        <v>397</v>
      </c>
      <c r="B58" s="770"/>
      <c r="C58" s="770"/>
      <c r="D58" s="770"/>
      <c r="E58" s="770"/>
      <c r="F58" s="770"/>
      <c r="G58" s="770"/>
      <c r="H58" s="768">
        <f t="shared" si="10"/>
        <v>0</v>
      </c>
      <c r="I58" s="754"/>
      <c r="J58" s="758"/>
      <c r="K58" s="758"/>
      <c r="L58" s="758"/>
      <c r="M58" s="758"/>
      <c r="N58" s="758"/>
      <c r="O58" s="758"/>
    </row>
    <row r="59" spans="1:15" s="755" customFormat="1" ht="12" customHeight="1">
      <c r="A59" s="771" t="s">
        <v>398</v>
      </c>
      <c r="B59" s="770">
        <f aca="true" t="shared" si="14" ref="B59:G59">SUM(B60:B68)</f>
        <v>23408500</v>
      </c>
      <c r="C59" s="770">
        <f t="shared" si="14"/>
        <v>0</v>
      </c>
      <c r="D59" s="770">
        <f t="shared" si="14"/>
        <v>233631</v>
      </c>
      <c r="E59" s="770">
        <f t="shared" si="14"/>
        <v>0</v>
      </c>
      <c r="F59" s="770">
        <f t="shared" si="14"/>
        <v>0</v>
      </c>
      <c r="G59" s="770">
        <f t="shared" si="14"/>
        <v>290001</v>
      </c>
      <c r="H59" s="768">
        <f t="shared" si="10"/>
        <v>23932132</v>
      </c>
      <c r="I59" s="754"/>
      <c r="J59" s="758"/>
      <c r="K59" s="758"/>
      <c r="L59" s="758"/>
      <c r="M59" s="758"/>
      <c r="N59" s="758"/>
      <c r="O59" s="758"/>
    </row>
    <row r="60" spans="1:15" s="755" customFormat="1" ht="12" customHeight="1">
      <c r="A60" s="771" t="s">
        <v>399</v>
      </c>
      <c r="B60" s="770">
        <v>2431577</v>
      </c>
      <c r="C60" s="770">
        <v>0</v>
      </c>
      <c r="D60" s="770">
        <v>233631</v>
      </c>
      <c r="E60" s="770">
        <v>0</v>
      </c>
      <c r="F60" s="770">
        <v>0</v>
      </c>
      <c r="G60" s="770">
        <v>290001</v>
      </c>
      <c r="H60" s="768">
        <f t="shared" si="10"/>
        <v>2955209</v>
      </c>
      <c r="I60" s="754"/>
      <c r="J60" s="758"/>
      <c r="K60" s="758"/>
      <c r="L60" s="758"/>
      <c r="M60" s="758"/>
      <c r="N60" s="758"/>
      <c r="O60" s="758"/>
    </row>
    <row r="61" spans="1:15" s="755" customFormat="1" ht="12" customHeight="1">
      <c r="A61" s="771" t="s">
        <v>400</v>
      </c>
      <c r="B61" s="770"/>
      <c r="C61" s="770"/>
      <c r="D61" s="770"/>
      <c r="E61" s="770"/>
      <c r="F61" s="770"/>
      <c r="G61" s="770"/>
      <c r="H61" s="768">
        <f t="shared" si="10"/>
        <v>0</v>
      </c>
      <c r="I61" s="754"/>
      <c r="J61" s="758"/>
      <c r="K61" s="758"/>
      <c r="L61" s="758"/>
      <c r="M61" s="758"/>
      <c r="N61" s="758"/>
      <c r="O61" s="758"/>
    </row>
    <row r="62" spans="1:15" s="755" customFormat="1" ht="12" customHeight="1">
      <c r="A62" s="771" t="s">
        <v>401</v>
      </c>
      <c r="B62" s="770"/>
      <c r="C62" s="770"/>
      <c r="D62" s="770"/>
      <c r="E62" s="770"/>
      <c r="F62" s="770"/>
      <c r="G62" s="770"/>
      <c r="H62" s="768">
        <f t="shared" si="10"/>
        <v>0</v>
      </c>
      <c r="I62" s="754"/>
      <c r="J62" s="758"/>
      <c r="K62" s="758"/>
      <c r="L62" s="758"/>
      <c r="M62" s="758"/>
      <c r="N62" s="758"/>
      <c r="O62" s="758"/>
    </row>
    <row r="63" spans="1:15" s="755" customFormat="1" ht="12" customHeight="1">
      <c r="A63" s="771" t="s">
        <v>402</v>
      </c>
      <c r="B63" s="770">
        <v>270000</v>
      </c>
      <c r="C63" s="770"/>
      <c r="D63" s="770"/>
      <c r="E63" s="770"/>
      <c r="F63" s="770"/>
      <c r="G63" s="770"/>
      <c r="H63" s="768">
        <f t="shared" si="10"/>
        <v>270000</v>
      </c>
      <c r="I63" s="754"/>
      <c r="J63" s="758"/>
      <c r="K63" s="758"/>
      <c r="L63" s="758"/>
      <c r="M63" s="758"/>
      <c r="N63" s="758"/>
      <c r="O63" s="758"/>
    </row>
    <row r="64" spans="1:15" s="755" customFormat="1" ht="27.75" customHeight="1">
      <c r="A64" s="771" t="s">
        <v>403</v>
      </c>
      <c r="B64" s="770">
        <v>20706923</v>
      </c>
      <c r="C64" s="770"/>
      <c r="D64" s="770"/>
      <c r="E64" s="770"/>
      <c r="F64" s="770"/>
      <c r="G64" s="770"/>
      <c r="H64" s="768">
        <f t="shared" si="10"/>
        <v>20706923</v>
      </c>
      <c r="I64" s="754"/>
      <c r="J64" s="758"/>
      <c r="K64" s="758"/>
      <c r="L64" s="758"/>
      <c r="M64" s="758"/>
      <c r="N64" s="758"/>
      <c r="O64" s="758"/>
    </row>
    <row r="65" spans="1:15" s="755" customFormat="1" ht="27" customHeight="1">
      <c r="A65" s="771" t="s">
        <v>404</v>
      </c>
      <c r="B65" s="770"/>
      <c r="C65" s="770"/>
      <c r="D65" s="770"/>
      <c r="E65" s="770"/>
      <c r="F65" s="770"/>
      <c r="G65" s="770"/>
      <c r="H65" s="768">
        <f t="shared" si="10"/>
        <v>0</v>
      </c>
      <c r="I65" s="754"/>
      <c r="J65" s="758"/>
      <c r="K65" s="758"/>
      <c r="L65" s="758"/>
      <c r="M65" s="758"/>
      <c r="N65" s="758"/>
      <c r="O65" s="758"/>
    </row>
    <row r="66" spans="1:15" s="755" customFormat="1" ht="30" customHeight="1">
      <c r="A66" s="771" t="s">
        <v>405</v>
      </c>
      <c r="B66" s="770"/>
      <c r="C66" s="770"/>
      <c r="D66" s="770"/>
      <c r="E66" s="770"/>
      <c r="F66" s="770"/>
      <c r="G66" s="770"/>
      <c r="H66" s="768">
        <f t="shared" si="10"/>
        <v>0</v>
      </c>
      <c r="I66" s="754"/>
      <c r="J66" s="758"/>
      <c r="K66" s="758"/>
      <c r="L66" s="758"/>
      <c r="M66" s="758"/>
      <c r="N66" s="758"/>
      <c r="O66" s="758"/>
    </row>
    <row r="67" spans="1:15" s="755" customFormat="1" ht="18.75" customHeight="1">
      <c r="A67" s="771" t="s">
        <v>829</v>
      </c>
      <c r="B67" s="770"/>
      <c r="C67" s="770"/>
      <c r="D67" s="770"/>
      <c r="E67" s="770"/>
      <c r="F67" s="770"/>
      <c r="G67" s="770"/>
      <c r="H67" s="768">
        <f t="shared" si="10"/>
        <v>0</v>
      </c>
      <c r="I67" s="754"/>
      <c r="J67" s="758"/>
      <c r="K67" s="758"/>
      <c r="L67" s="758"/>
      <c r="M67" s="758"/>
      <c r="N67" s="758"/>
      <c r="O67" s="758"/>
    </row>
    <row r="68" spans="1:15" s="755" customFormat="1" ht="30" customHeight="1">
      <c r="A68" s="771" t="s">
        <v>406</v>
      </c>
      <c r="B68" s="770"/>
      <c r="C68" s="770"/>
      <c r="D68" s="770"/>
      <c r="E68" s="770"/>
      <c r="F68" s="770"/>
      <c r="G68" s="770"/>
      <c r="H68" s="768">
        <f t="shared" si="10"/>
        <v>0</v>
      </c>
      <c r="I68" s="754"/>
      <c r="J68" s="758"/>
      <c r="K68" s="758"/>
      <c r="L68" s="758"/>
      <c r="M68" s="758"/>
      <c r="N68" s="758"/>
      <c r="O68" s="758"/>
    </row>
    <row r="69" spans="1:15" s="755" customFormat="1" ht="12" customHeight="1">
      <c r="A69" s="766" t="s">
        <v>795</v>
      </c>
      <c r="B69" s="773">
        <v>-4580997</v>
      </c>
      <c r="C69" s="773">
        <v>0</v>
      </c>
      <c r="D69" s="773">
        <v>-35100</v>
      </c>
      <c r="E69" s="773">
        <v>0</v>
      </c>
      <c r="F69" s="773">
        <v>0</v>
      </c>
      <c r="G69" s="773">
        <v>0</v>
      </c>
      <c r="H69" s="768">
        <f t="shared" si="10"/>
        <v>-4616097</v>
      </c>
      <c r="I69" s="754"/>
      <c r="J69" s="758"/>
      <c r="K69" s="758"/>
      <c r="L69" s="758"/>
      <c r="M69" s="758"/>
      <c r="N69" s="758"/>
      <c r="O69" s="758"/>
    </row>
    <row r="70" spans="1:15" s="755" customFormat="1" ht="12" customHeight="1">
      <c r="A70" s="777" t="s">
        <v>407</v>
      </c>
      <c r="B70" s="773">
        <f aca="true" t="shared" si="15" ref="B70:G70">SUM(B71:B73)</f>
        <v>10024288</v>
      </c>
      <c r="C70" s="773">
        <f t="shared" si="15"/>
        <v>697938</v>
      </c>
      <c r="D70" s="773">
        <f t="shared" si="15"/>
        <v>4695804</v>
      </c>
      <c r="E70" s="773">
        <f t="shared" si="15"/>
        <v>0</v>
      </c>
      <c r="F70" s="773">
        <f t="shared" si="15"/>
        <v>546812</v>
      </c>
      <c r="G70" s="773">
        <f t="shared" si="15"/>
        <v>476634</v>
      </c>
      <c r="H70" s="768">
        <f t="shared" si="10"/>
        <v>16441476</v>
      </c>
      <c r="I70" s="754"/>
      <c r="J70" s="758"/>
      <c r="K70" s="758"/>
      <c r="L70" s="758"/>
      <c r="M70" s="758"/>
      <c r="N70" s="758"/>
      <c r="O70" s="758"/>
    </row>
    <row r="71" spans="1:15" s="755" customFormat="1" ht="12" customHeight="1">
      <c r="A71" s="769" t="s">
        <v>408</v>
      </c>
      <c r="B71" s="770">
        <v>10024288</v>
      </c>
      <c r="C71" s="770">
        <v>0</v>
      </c>
      <c r="D71" s="770">
        <v>4677860</v>
      </c>
      <c r="E71" s="770"/>
      <c r="F71" s="770"/>
      <c r="G71" s="770"/>
      <c r="H71" s="768">
        <f>SUM(B71:G71)</f>
        <v>14702148</v>
      </c>
      <c r="I71" s="754"/>
      <c r="J71" s="758"/>
      <c r="K71" s="758"/>
      <c r="L71" s="758"/>
      <c r="M71" s="758"/>
      <c r="N71" s="758"/>
      <c r="O71" s="758"/>
    </row>
    <row r="72" spans="1:15" s="755" customFormat="1" ht="12" customHeight="1">
      <c r="A72" s="769" t="s">
        <v>409</v>
      </c>
      <c r="B72" s="770">
        <v>0</v>
      </c>
      <c r="C72" s="770">
        <v>697938</v>
      </c>
      <c r="D72" s="770">
        <v>17944</v>
      </c>
      <c r="E72" s="770"/>
      <c r="F72" s="770">
        <v>546812</v>
      </c>
      <c r="G72" s="770">
        <v>476634</v>
      </c>
      <c r="H72" s="768">
        <f>SUM(B72:G72)</f>
        <v>1739328</v>
      </c>
      <c r="I72" s="754"/>
      <c r="J72" s="758"/>
      <c r="K72" s="758"/>
      <c r="L72" s="758"/>
      <c r="M72" s="758"/>
      <c r="N72" s="758"/>
      <c r="O72" s="758"/>
    </row>
    <row r="73" spans="1:15" s="755" customFormat="1" ht="12" customHeight="1">
      <c r="A73" s="769" t="s">
        <v>410</v>
      </c>
      <c r="B73" s="770"/>
      <c r="C73" s="770"/>
      <c r="D73" s="770"/>
      <c r="E73" s="770"/>
      <c r="F73" s="770"/>
      <c r="G73" s="770"/>
      <c r="H73" s="768">
        <f>SUM(B73:G73)</f>
        <v>0</v>
      </c>
      <c r="I73" s="754"/>
      <c r="J73" s="758"/>
      <c r="K73" s="758"/>
      <c r="L73" s="758"/>
      <c r="M73" s="758"/>
      <c r="N73" s="758"/>
      <c r="O73" s="758"/>
    </row>
    <row r="74" spans="1:15" s="937" customFormat="1" ht="15" customHeight="1">
      <c r="A74" s="931" t="s">
        <v>411</v>
      </c>
      <c r="B74" s="932">
        <f aca="true" t="shared" si="16" ref="B74:G74">B7+B25+B35+B40+B69+B70</f>
        <v>13867631776</v>
      </c>
      <c r="C74" s="932">
        <f t="shared" si="16"/>
        <v>21029054</v>
      </c>
      <c r="D74" s="932">
        <f t="shared" si="16"/>
        <v>18646648</v>
      </c>
      <c r="E74" s="932">
        <f t="shared" si="16"/>
        <v>9832669</v>
      </c>
      <c r="F74" s="932">
        <f t="shared" si="16"/>
        <v>3418240</v>
      </c>
      <c r="G74" s="932">
        <f t="shared" si="16"/>
        <v>9500364</v>
      </c>
      <c r="H74" s="932">
        <f>SUM(B74:G74)</f>
        <v>13930058751</v>
      </c>
      <c r="I74" s="935"/>
      <c r="J74" s="936"/>
      <c r="K74" s="936"/>
      <c r="L74" s="936"/>
      <c r="M74" s="936"/>
      <c r="N74" s="936"/>
      <c r="O74" s="936"/>
    </row>
    <row r="75" spans="1:15" s="755" customFormat="1" ht="6" customHeight="1">
      <c r="A75" s="765"/>
      <c r="B75" s="763"/>
      <c r="C75" s="763"/>
      <c r="D75" s="763"/>
      <c r="E75" s="763"/>
      <c r="F75" s="763"/>
      <c r="G75" s="763"/>
      <c r="H75" s="760"/>
      <c r="I75" s="761"/>
      <c r="J75" s="762"/>
      <c r="K75" s="762"/>
      <c r="L75" s="762"/>
      <c r="M75" s="762"/>
      <c r="N75" s="762"/>
      <c r="O75" s="762"/>
    </row>
    <row r="76" spans="1:8" ht="12.75">
      <c r="A76" s="772" t="s">
        <v>412</v>
      </c>
      <c r="B76" s="782">
        <f aca="true" t="shared" si="17" ref="B76:G76">SUM(B77:B82)</f>
        <v>13590446704</v>
      </c>
      <c r="C76" s="782">
        <f t="shared" si="17"/>
        <v>3904576</v>
      </c>
      <c r="D76" s="782">
        <f t="shared" si="17"/>
        <v>563053</v>
      </c>
      <c r="E76" s="782">
        <f t="shared" si="17"/>
        <v>-7828221</v>
      </c>
      <c r="F76" s="782">
        <f t="shared" si="17"/>
        <v>1554570</v>
      </c>
      <c r="G76" s="782">
        <f t="shared" si="17"/>
        <v>7476709</v>
      </c>
      <c r="H76" s="782">
        <f aca="true" t="shared" si="18" ref="H76:H120">SUM(B76:G76)</f>
        <v>13596117391</v>
      </c>
    </row>
    <row r="77" spans="1:8" ht="12.75">
      <c r="A77" s="778" t="s">
        <v>413</v>
      </c>
      <c r="B77" s="785">
        <v>10209466482</v>
      </c>
      <c r="C77" s="785"/>
      <c r="D77" s="785"/>
      <c r="E77" s="785"/>
      <c r="F77" s="785">
        <v>38224</v>
      </c>
      <c r="G77" s="785">
        <v>199056</v>
      </c>
      <c r="H77" s="782">
        <f t="shared" si="18"/>
        <v>10209703762</v>
      </c>
    </row>
    <row r="78" spans="1:8" ht="12.75">
      <c r="A78" s="778" t="s">
        <v>414</v>
      </c>
      <c r="B78" s="785">
        <v>20706923</v>
      </c>
      <c r="C78" s="785"/>
      <c r="D78" s="785"/>
      <c r="E78" s="785"/>
      <c r="F78" s="785"/>
      <c r="G78" s="785"/>
      <c r="H78" s="782">
        <f t="shared" si="18"/>
        <v>20706923</v>
      </c>
    </row>
    <row r="79" spans="1:8" ht="12.75">
      <c r="A79" s="778" t="s">
        <v>415</v>
      </c>
      <c r="B79" s="785">
        <v>1433746293</v>
      </c>
      <c r="C79" s="785">
        <v>21317979</v>
      </c>
      <c r="D79" s="785">
        <v>8873032</v>
      </c>
      <c r="E79" s="785">
        <v>3519912</v>
      </c>
      <c r="F79" s="785">
        <v>2400108</v>
      </c>
      <c r="G79" s="785">
        <v>1247224</v>
      </c>
      <c r="H79" s="782">
        <f t="shared" si="18"/>
        <v>1471104548</v>
      </c>
    </row>
    <row r="80" spans="1:8" ht="12.75">
      <c r="A80" s="778" t="s">
        <v>416</v>
      </c>
      <c r="B80" s="785">
        <v>-734333816</v>
      </c>
      <c r="C80" s="785">
        <v>1754044</v>
      </c>
      <c r="D80" s="785">
        <v>8453741</v>
      </c>
      <c r="E80" s="785">
        <v>3232373</v>
      </c>
      <c r="F80" s="785">
        <v>1771372</v>
      </c>
      <c r="G80" s="785">
        <v>6231896</v>
      </c>
      <c r="H80" s="782">
        <f t="shared" si="18"/>
        <v>-712890390</v>
      </c>
    </row>
    <row r="81" spans="1:8" ht="12.75">
      <c r="A81" s="778" t="s">
        <v>417</v>
      </c>
      <c r="B81" s="785">
        <v>0</v>
      </c>
      <c r="C81" s="785"/>
      <c r="D81" s="785"/>
      <c r="E81" s="785"/>
      <c r="F81" s="785"/>
      <c r="G81" s="785"/>
      <c r="H81" s="782">
        <f t="shared" si="18"/>
        <v>0</v>
      </c>
    </row>
    <row r="82" spans="1:8" ht="12.75">
      <c r="A82" s="778" t="s">
        <v>418</v>
      </c>
      <c r="B82" s="785">
        <v>2660860822</v>
      </c>
      <c r="C82" s="785">
        <v>-19167447</v>
      </c>
      <c r="D82" s="785">
        <v>-16763720</v>
      </c>
      <c r="E82" s="785">
        <v>-14580506</v>
      </c>
      <c r="F82" s="785">
        <v>-2655134</v>
      </c>
      <c r="G82" s="785">
        <v>-201467</v>
      </c>
      <c r="H82" s="782">
        <f t="shared" si="18"/>
        <v>2607492548</v>
      </c>
    </row>
    <row r="83" spans="1:8" ht="12.75">
      <c r="A83" s="779" t="s">
        <v>419</v>
      </c>
      <c r="B83" s="782">
        <f aca="true" t="shared" si="19" ref="B83:G83">B84+B94+B104</f>
        <v>267966557</v>
      </c>
      <c r="C83" s="782">
        <f t="shared" si="19"/>
        <v>26400</v>
      </c>
      <c r="D83" s="782">
        <f t="shared" si="19"/>
        <v>4281839</v>
      </c>
      <c r="E83" s="782">
        <f t="shared" si="19"/>
        <v>0</v>
      </c>
      <c r="F83" s="782">
        <f t="shared" si="19"/>
        <v>1025</v>
      </c>
      <c r="G83" s="782">
        <f t="shared" si="19"/>
        <v>0</v>
      </c>
      <c r="H83" s="782">
        <f>SUM(B83:G83)</f>
        <v>272275821</v>
      </c>
    </row>
    <row r="84" spans="1:8" ht="12.75">
      <c r="A84" s="780" t="s">
        <v>420</v>
      </c>
      <c r="B84" s="785">
        <f aca="true" t="shared" si="20" ref="B84:G84">SUM(B85:B93)</f>
        <v>11079697</v>
      </c>
      <c r="C84" s="785">
        <f t="shared" si="20"/>
        <v>0</v>
      </c>
      <c r="D84" s="785">
        <f t="shared" si="20"/>
        <v>0</v>
      </c>
      <c r="E84" s="785">
        <f t="shared" si="20"/>
        <v>0</v>
      </c>
      <c r="F84" s="785">
        <f t="shared" si="20"/>
        <v>0</v>
      </c>
      <c r="G84" s="785">
        <f t="shared" si="20"/>
        <v>0</v>
      </c>
      <c r="H84" s="782">
        <f>SUM(B84:G84)</f>
        <v>11079697</v>
      </c>
    </row>
    <row r="85" spans="1:8" ht="15.75" customHeight="1">
      <c r="A85" s="780" t="s">
        <v>421</v>
      </c>
      <c r="B85" s="785"/>
      <c r="C85" s="785"/>
      <c r="D85" s="785"/>
      <c r="E85" s="785"/>
      <c r="F85" s="785"/>
      <c r="G85" s="785"/>
      <c r="H85" s="782">
        <f t="shared" si="18"/>
        <v>0</v>
      </c>
    </row>
    <row r="86" spans="1:8" ht="25.5">
      <c r="A86" s="780" t="s">
        <v>422</v>
      </c>
      <c r="B86" s="785"/>
      <c r="C86" s="785"/>
      <c r="D86" s="785">
        <v>0</v>
      </c>
      <c r="E86" s="785">
        <v>0</v>
      </c>
      <c r="F86" s="785"/>
      <c r="G86" s="785"/>
      <c r="H86" s="782">
        <f t="shared" si="18"/>
        <v>0</v>
      </c>
    </row>
    <row r="87" spans="1:8" ht="12.75">
      <c r="A87" s="780" t="s">
        <v>423</v>
      </c>
      <c r="B87" s="785">
        <v>421534</v>
      </c>
      <c r="C87" s="785">
        <v>0</v>
      </c>
      <c r="D87" s="785"/>
      <c r="E87" s="785">
        <v>0</v>
      </c>
      <c r="F87" s="785"/>
      <c r="G87" s="785"/>
      <c r="H87" s="782">
        <f t="shared" si="18"/>
        <v>421534</v>
      </c>
    </row>
    <row r="88" spans="1:8" ht="25.5">
      <c r="A88" s="780" t="s">
        <v>424</v>
      </c>
      <c r="B88" s="785"/>
      <c r="C88" s="785"/>
      <c r="D88" s="785"/>
      <c r="E88" s="785"/>
      <c r="F88" s="785"/>
      <c r="G88" s="785"/>
      <c r="H88" s="782">
        <f t="shared" si="18"/>
        <v>0</v>
      </c>
    </row>
    <row r="89" spans="1:8" ht="25.5">
      <c r="A89" s="780" t="s">
        <v>425</v>
      </c>
      <c r="B89" s="785"/>
      <c r="C89" s="785"/>
      <c r="D89" s="785"/>
      <c r="E89" s="785"/>
      <c r="F89" s="785"/>
      <c r="G89" s="785"/>
      <c r="H89" s="782">
        <f t="shared" si="18"/>
        <v>0</v>
      </c>
    </row>
    <row r="90" spans="1:8" ht="12.75">
      <c r="A90" s="780" t="s">
        <v>426</v>
      </c>
      <c r="B90" s="785">
        <v>8880163</v>
      </c>
      <c r="C90" s="785"/>
      <c r="D90" s="785"/>
      <c r="E90" s="785"/>
      <c r="F90" s="785"/>
      <c r="G90" s="785"/>
      <c r="H90" s="782">
        <f t="shared" si="18"/>
        <v>8880163</v>
      </c>
    </row>
    <row r="91" spans="1:8" ht="12.75">
      <c r="A91" s="780" t="s">
        <v>427</v>
      </c>
      <c r="B91" s="785">
        <v>1778000</v>
      </c>
      <c r="C91" s="785"/>
      <c r="D91" s="785"/>
      <c r="E91" s="785"/>
      <c r="F91" s="785"/>
      <c r="G91" s="785"/>
      <c r="H91" s="782">
        <f t="shared" si="18"/>
        <v>1778000</v>
      </c>
    </row>
    <row r="92" spans="1:8" ht="25.5">
      <c r="A92" s="780" t="s">
        <v>428</v>
      </c>
      <c r="B92" s="785">
        <v>0</v>
      </c>
      <c r="C92" s="785"/>
      <c r="D92" s="785"/>
      <c r="E92" s="785"/>
      <c r="F92" s="785"/>
      <c r="G92" s="785"/>
      <c r="H92" s="782">
        <f t="shared" si="18"/>
        <v>0</v>
      </c>
    </row>
    <row r="93" spans="1:8" ht="25.5">
      <c r="A93" s="780" t="s">
        <v>429</v>
      </c>
      <c r="B93" s="785"/>
      <c r="C93" s="785"/>
      <c r="D93" s="785"/>
      <c r="E93" s="785"/>
      <c r="F93" s="785"/>
      <c r="G93" s="785"/>
      <c r="H93" s="782">
        <f t="shared" si="18"/>
        <v>0</v>
      </c>
    </row>
    <row r="94" spans="1:8" ht="12.75">
      <c r="A94" s="780" t="s">
        <v>430</v>
      </c>
      <c r="B94" s="785">
        <f aca="true" t="shared" si="21" ref="B94:G94">SUM(B95:B103)</f>
        <v>226623772</v>
      </c>
      <c r="C94" s="785">
        <f t="shared" si="21"/>
        <v>0</v>
      </c>
      <c r="D94" s="785">
        <f t="shared" si="21"/>
        <v>0</v>
      </c>
      <c r="E94" s="785">
        <f t="shared" si="21"/>
        <v>0</v>
      </c>
      <c r="F94" s="785">
        <f t="shared" si="21"/>
        <v>0</v>
      </c>
      <c r="G94" s="785">
        <f t="shared" si="21"/>
        <v>0</v>
      </c>
      <c r="H94" s="782">
        <f t="shared" si="18"/>
        <v>226623772</v>
      </c>
    </row>
    <row r="95" spans="1:8" ht="25.5">
      <c r="A95" s="780" t="s">
        <v>431</v>
      </c>
      <c r="B95" s="785"/>
      <c r="C95" s="785"/>
      <c r="D95" s="785"/>
      <c r="E95" s="785"/>
      <c r="F95" s="785"/>
      <c r="G95" s="785"/>
      <c r="H95" s="782">
        <f t="shared" si="18"/>
        <v>0</v>
      </c>
    </row>
    <row r="96" spans="1:8" ht="25.5">
      <c r="A96" s="780" t="s">
        <v>432</v>
      </c>
      <c r="B96" s="785"/>
      <c r="C96" s="785"/>
      <c r="D96" s="785"/>
      <c r="E96" s="785"/>
      <c r="F96" s="785"/>
      <c r="G96" s="785"/>
      <c r="H96" s="782">
        <f t="shared" si="18"/>
        <v>0</v>
      </c>
    </row>
    <row r="97" spans="1:8" ht="18" customHeight="1">
      <c r="A97" s="780" t="s">
        <v>433</v>
      </c>
      <c r="B97" s="785">
        <v>0</v>
      </c>
      <c r="C97" s="785"/>
      <c r="D97" s="785">
        <v>0</v>
      </c>
      <c r="E97" s="785"/>
      <c r="F97" s="785"/>
      <c r="G97" s="785"/>
      <c r="H97" s="782">
        <f t="shared" si="18"/>
        <v>0</v>
      </c>
    </row>
    <row r="98" spans="1:8" ht="25.5">
      <c r="A98" s="780" t="s">
        <v>434</v>
      </c>
      <c r="B98" s="785"/>
      <c r="C98" s="785"/>
      <c r="D98" s="785"/>
      <c r="E98" s="785"/>
      <c r="F98" s="785"/>
      <c r="G98" s="785"/>
      <c r="H98" s="782">
        <f t="shared" si="18"/>
        <v>0</v>
      </c>
    </row>
    <row r="99" spans="1:8" ht="25.5">
      <c r="A99" s="780" t="s">
        <v>435</v>
      </c>
      <c r="B99" s="785">
        <v>13293448</v>
      </c>
      <c r="C99" s="785"/>
      <c r="D99" s="785"/>
      <c r="E99" s="785"/>
      <c r="F99" s="785"/>
      <c r="G99" s="785"/>
      <c r="H99" s="782">
        <f t="shared" si="18"/>
        <v>13293448</v>
      </c>
    </row>
    <row r="100" spans="1:8" ht="12.75">
      <c r="A100" s="780" t="s">
        <v>436</v>
      </c>
      <c r="B100" s="785"/>
      <c r="C100" s="785"/>
      <c r="D100" s="785"/>
      <c r="E100" s="785"/>
      <c r="F100" s="785"/>
      <c r="G100" s="785"/>
      <c r="H100" s="782">
        <f t="shared" si="18"/>
        <v>0</v>
      </c>
    </row>
    <row r="101" spans="1:8" ht="12.75">
      <c r="A101" s="780" t="s">
        <v>437</v>
      </c>
      <c r="B101" s="785"/>
      <c r="C101" s="785"/>
      <c r="D101" s="785"/>
      <c r="E101" s="785"/>
      <c r="F101" s="785"/>
      <c r="G101" s="785"/>
      <c r="H101" s="782">
        <f t="shared" si="18"/>
        <v>0</v>
      </c>
    </row>
    <row r="102" spans="1:8" ht="25.5">
      <c r="A102" s="780" t="s">
        <v>438</v>
      </c>
      <c r="B102" s="785"/>
      <c r="C102" s="785"/>
      <c r="D102" s="785"/>
      <c r="E102" s="785"/>
      <c r="F102" s="785"/>
      <c r="G102" s="785"/>
      <c r="H102" s="782">
        <f t="shared" si="18"/>
        <v>0</v>
      </c>
    </row>
    <row r="103" spans="1:8" ht="25.5">
      <c r="A103" s="780" t="s">
        <v>439</v>
      </c>
      <c r="B103" s="785">
        <v>213330324</v>
      </c>
      <c r="C103" s="785"/>
      <c r="D103" s="785"/>
      <c r="E103" s="785"/>
      <c r="F103" s="785"/>
      <c r="G103" s="785"/>
      <c r="H103" s="782">
        <f t="shared" si="18"/>
        <v>213330324</v>
      </c>
    </row>
    <row r="104" spans="1:8" ht="12.75">
      <c r="A104" s="780" t="s">
        <v>440</v>
      </c>
      <c r="B104" s="785">
        <f aca="true" t="shared" si="22" ref="B104:G104">SUM(B105:B114)</f>
        <v>30263088</v>
      </c>
      <c r="C104" s="785">
        <f t="shared" si="22"/>
        <v>26400</v>
      </c>
      <c r="D104" s="785">
        <f t="shared" si="22"/>
        <v>4281839</v>
      </c>
      <c r="E104" s="785">
        <f t="shared" si="22"/>
        <v>0</v>
      </c>
      <c r="F104" s="785">
        <f t="shared" si="22"/>
        <v>1025</v>
      </c>
      <c r="G104" s="785">
        <f t="shared" si="22"/>
        <v>0</v>
      </c>
      <c r="H104" s="782">
        <f t="shared" si="18"/>
        <v>34572352</v>
      </c>
    </row>
    <row r="105" spans="1:8" ht="12.75">
      <c r="A105" s="780" t="s">
        <v>441</v>
      </c>
      <c r="B105" s="785">
        <v>30003046</v>
      </c>
      <c r="C105" s="785">
        <v>26400</v>
      </c>
      <c r="D105" s="785">
        <v>4281839</v>
      </c>
      <c r="E105" s="785"/>
      <c r="F105" s="785">
        <v>1025</v>
      </c>
      <c r="G105" s="785"/>
      <c r="H105" s="782">
        <f t="shared" si="18"/>
        <v>34312310</v>
      </c>
    </row>
    <row r="106" spans="1:8" ht="12.75">
      <c r="A106" s="780" t="s">
        <v>442</v>
      </c>
      <c r="B106" s="785"/>
      <c r="C106" s="785"/>
      <c r="D106" s="785"/>
      <c r="E106" s="785"/>
      <c r="F106" s="785"/>
      <c r="G106" s="785"/>
      <c r="H106" s="782">
        <f t="shared" si="18"/>
        <v>0</v>
      </c>
    </row>
    <row r="107" spans="1:8" ht="12.75">
      <c r="A107" s="780" t="s">
        <v>443</v>
      </c>
      <c r="B107" s="785">
        <v>259401</v>
      </c>
      <c r="C107" s="785"/>
      <c r="D107" s="785"/>
      <c r="E107" s="785"/>
      <c r="F107" s="785"/>
      <c r="G107" s="785"/>
      <c r="H107" s="782">
        <f t="shared" si="18"/>
        <v>259401</v>
      </c>
    </row>
    <row r="108" spans="1:8" ht="12.75">
      <c r="A108" s="780" t="s">
        <v>444</v>
      </c>
      <c r="B108" s="785"/>
      <c r="C108" s="785"/>
      <c r="D108" s="785"/>
      <c r="E108" s="785"/>
      <c r="F108" s="785"/>
      <c r="G108" s="785"/>
      <c r="H108" s="782">
        <f t="shared" si="18"/>
        <v>0</v>
      </c>
    </row>
    <row r="109" spans="1:8" ht="25.5">
      <c r="A109" s="780" t="s">
        <v>830</v>
      </c>
      <c r="B109" s="785"/>
      <c r="C109" s="785"/>
      <c r="D109" s="785"/>
      <c r="E109" s="785"/>
      <c r="F109" s="785"/>
      <c r="G109" s="785"/>
      <c r="H109" s="782">
        <f t="shared" si="18"/>
        <v>0</v>
      </c>
    </row>
    <row r="110" spans="1:8" ht="25.5">
      <c r="A110" s="780" t="s">
        <v>445</v>
      </c>
      <c r="B110" s="785"/>
      <c r="C110" s="785"/>
      <c r="D110" s="785"/>
      <c r="E110" s="785"/>
      <c r="F110" s="785"/>
      <c r="G110" s="785"/>
      <c r="H110" s="782">
        <f t="shared" si="18"/>
        <v>0</v>
      </c>
    </row>
    <row r="111" spans="1:8" ht="25.5">
      <c r="A111" s="780" t="s">
        <v>446</v>
      </c>
      <c r="B111" s="785"/>
      <c r="C111" s="785"/>
      <c r="D111" s="785"/>
      <c r="E111" s="785"/>
      <c r="F111" s="785"/>
      <c r="G111" s="785"/>
      <c r="H111" s="782">
        <f t="shared" si="18"/>
        <v>0</v>
      </c>
    </row>
    <row r="112" spans="1:8" ht="19.5" customHeight="1">
      <c r="A112" s="780" t="s">
        <v>447</v>
      </c>
      <c r="B112" s="785">
        <v>641</v>
      </c>
      <c r="C112" s="785"/>
      <c r="D112" s="785"/>
      <c r="E112" s="785"/>
      <c r="F112" s="785"/>
      <c r="G112" s="785"/>
      <c r="H112" s="782">
        <f t="shared" si="18"/>
        <v>641</v>
      </c>
    </row>
    <row r="113" spans="1:8" ht="12.75">
      <c r="A113" s="780" t="s">
        <v>448</v>
      </c>
      <c r="B113" s="785"/>
      <c r="C113" s="785"/>
      <c r="D113" s="785"/>
      <c r="E113" s="785"/>
      <c r="F113" s="785"/>
      <c r="G113" s="785"/>
      <c r="H113" s="782">
        <f t="shared" si="18"/>
        <v>0</v>
      </c>
    </row>
    <row r="114" spans="1:8" ht="12.75">
      <c r="A114" s="780" t="s">
        <v>449</v>
      </c>
      <c r="B114" s="785"/>
      <c r="C114" s="785"/>
      <c r="D114" s="785"/>
      <c r="E114" s="785"/>
      <c r="F114" s="785"/>
      <c r="G114" s="785"/>
      <c r="H114" s="782">
        <f t="shared" si="18"/>
        <v>0</v>
      </c>
    </row>
    <row r="115" spans="1:8" ht="12.75">
      <c r="A115" s="781" t="s">
        <v>831</v>
      </c>
      <c r="B115" s="782">
        <v>0</v>
      </c>
      <c r="C115" s="782">
        <v>0</v>
      </c>
      <c r="D115" s="782">
        <v>0</v>
      </c>
      <c r="E115" s="782">
        <v>0</v>
      </c>
      <c r="F115" s="782">
        <v>0</v>
      </c>
      <c r="G115" s="782">
        <v>0</v>
      </c>
      <c r="H115" s="782">
        <f t="shared" si="18"/>
        <v>0</v>
      </c>
    </row>
    <row r="116" spans="1:8" ht="12.75">
      <c r="A116" s="764" t="s">
        <v>832</v>
      </c>
      <c r="B116" s="782">
        <f aca="true" t="shared" si="23" ref="B116:G116">SUM(B117:B119)</f>
        <v>9218515</v>
      </c>
      <c r="C116" s="782">
        <f t="shared" si="23"/>
        <v>17098078</v>
      </c>
      <c r="D116" s="782">
        <f t="shared" si="23"/>
        <v>13801756</v>
      </c>
      <c r="E116" s="782">
        <f t="shared" si="23"/>
        <v>17660890</v>
      </c>
      <c r="F116" s="782">
        <f t="shared" si="23"/>
        <v>1862645</v>
      </c>
      <c r="G116" s="782">
        <f t="shared" si="23"/>
        <v>2023655</v>
      </c>
      <c r="H116" s="782">
        <f t="shared" si="18"/>
        <v>61665539</v>
      </c>
    </row>
    <row r="117" spans="1:8" ht="12.75">
      <c r="A117" s="778" t="s">
        <v>450</v>
      </c>
      <c r="B117" s="785"/>
      <c r="C117" s="785"/>
      <c r="D117" s="785"/>
      <c r="E117" s="785"/>
      <c r="F117" s="785"/>
      <c r="G117" s="785"/>
      <c r="H117" s="782">
        <f t="shared" si="18"/>
        <v>0</v>
      </c>
    </row>
    <row r="118" spans="1:8" ht="12.75">
      <c r="A118" s="778" t="s">
        <v>451</v>
      </c>
      <c r="B118" s="785">
        <v>9218515</v>
      </c>
      <c r="C118" s="785">
        <v>17098078</v>
      </c>
      <c r="D118" s="785">
        <v>13801756</v>
      </c>
      <c r="E118" s="785">
        <v>17660890</v>
      </c>
      <c r="F118" s="785">
        <v>1862645</v>
      </c>
      <c r="G118" s="785">
        <v>2023655</v>
      </c>
      <c r="H118" s="782">
        <f t="shared" si="18"/>
        <v>61665539</v>
      </c>
    </row>
    <row r="119" spans="1:8" ht="12.75">
      <c r="A119" s="778" t="s">
        <v>452</v>
      </c>
      <c r="B119" s="785"/>
      <c r="C119" s="785"/>
      <c r="D119" s="785"/>
      <c r="E119" s="785"/>
      <c r="F119" s="785"/>
      <c r="G119" s="785"/>
      <c r="H119" s="782">
        <f t="shared" si="18"/>
        <v>0</v>
      </c>
    </row>
    <row r="120" spans="1:10" s="934" customFormat="1" ht="15">
      <c r="A120" s="931" t="s">
        <v>453</v>
      </c>
      <c r="B120" s="932">
        <f aca="true" t="shared" si="24" ref="B120:G120">B76+B83+B115+B116</f>
        <v>13867631776</v>
      </c>
      <c r="C120" s="932">
        <f t="shared" si="24"/>
        <v>21029054</v>
      </c>
      <c r="D120" s="932">
        <f t="shared" si="24"/>
        <v>18646648</v>
      </c>
      <c r="E120" s="932">
        <f t="shared" si="24"/>
        <v>9832669</v>
      </c>
      <c r="F120" s="932">
        <f t="shared" si="24"/>
        <v>3418240</v>
      </c>
      <c r="G120" s="932">
        <f t="shared" si="24"/>
        <v>9500364</v>
      </c>
      <c r="H120" s="933">
        <f t="shared" si="18"/>
        <v>13930058751</v>
      </c>
      <c r="J120" s="955"/>
    </row>
  </sheetData>
  <sheetProtection/>
  <mergeCells count="9">
    <mergeCell ref="A1:H1"/>
    <mergeCell ref="A3:A6"/>
    <mergeCell ref="B3:B6"/>
    <mergeCell ref="C3:C6"/>
    <mergeCell ref="D3:D6"/>
    <mergeCell ref="E3:E6"/>
    <mergeCell ref="F3:F6"/>
    <mergeCell ref="G3:G6"/>
    <mergeCell ref="H3:H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2"/>
  <rowBreaks count="3" manualBreakCount="3">
    <brk id="39" max="255" man="1"/>
    <brk id="65" max="255" man="1"/>
    <brk id="9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20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6.25390625" style="752" customWidth="1"/>
    <col min="2" max="2" width="15.00390625" style="783" customWidth="1"/>
    <col min="3" max="3" width="11.25390625" style="783" customWidth="1"/>
    <col min="4" max="4" width="12.625" style="783" customWidth="1"/>
    <col min="5" max="5" width="10.375" style="783" customWidth="1"/>
    <col min="6" max="6" width="10.00390625" style="783" customWidth="1"/>
    <col min="7" max="7" width="10.25390625" style="783" customWidth="1"/>
    <col min="8" max="8" width="15.00390625" style="783" customWidth="1"/>
    <col min="9" max="10" width="9.25390625" style="751" customWidth="1"/>
    <col min="11" max="11" width="6.125" style="751" customWidth="1"/>
    <col min="12" max="12" width="16.375" style="751" customWidth="1"/>
    <col min="13" max="13" width="8.875" style="751" customWidth="1"/>
    <col min="14" max="14" width="6.375" style="751" customWidth="1"/>
    <col min="15" max="15" width="9.00390625" style="751" customWidth="1"/>
    <col min="16" max="16384" width="9.125" style="751" customWidth="1"/>
  </cols>
  <sheetData>
    <row r="1" spans="1:8" ht="24" customHeight="1">
      <c r="A1" s="1956" t="s">
        <v>1106</v>
      </c>
      <c r="B1" s="1956"/>
      <c r="C1" s="1956"/>
      <c r="D1" s="1956"/>
      <c r="E1" s="1956"/>
      <c r="F1" s="1956"/>
      <c r="G1" s="1956"/>
      <c r="H1" s="1956"/>
    </row>
    <row r="2" ht="14.25" customHeight="1">
      <c r="H2" s="784" t="s">
        <v>508</v>
      </c>
    </row>
    <row r="3" spans="1:15" s="755" customFormat="1" ht="9.75" customHeight="1">
      <c r="A3" s="1791" t="s">
        <v>1064</v>
      </c>
      <c r="B3" s="1792" t="s">
        <v>796</v>
      </c>
      <c r="C3" s="1792" t="s">
        <v>454</v>
      </c>
      <c r="D3" s="1792" t="s">
        <v>455</v>
      </c>
      <c r="E3" s="1792" t="s">
        <v>155</v>
      </c>
      <c r="F3" s="1792" t="s">
        <v>58</v>
      </c>
      <c r="G3" s="1792" t="s">
        <v>310</v>
      </c>
      <c r="H3" s="1793" t="s">
        <v>17</v>
      </c>
      <c r="I3" s="753"/>
      <c r="J3" s="754"/>
      <c r="K3" s="754"/>
      <c r="L3" s="754"/>
      <c r="M3" s="754"/>
      <c r="N3" s="754"/>
      <c r="O3" s="754"/>
    </row>
    <row r="4" spans="1:15" s="755" customFormat="1" ht="24.75" customHeight="1">
      <c r="A4" s="1791"/>
      <c r="B4" s="1792"/>
      <c r="C4" s="1792"/>
      <c r="D4" s="1792"/>
      <c r="E4" s="1792"/>
      <c r="F4" s="1792"/>
      <c r="G4" s="1792"/>
      <c r="H4" s="1793"/>
      <c r="I4" s="756"/>
      <c r="J4" s="754"/>
      <c r="K4" s="754"/>
      <c r="L4" s="754"/>
      <c r="M4" s="754"/>
      <c r="N4" s="754"/>
      <c r="O4" s="754"/>
    </row>
    <row r="5" spans="1:15" s="755" customFormat="1" ht="19.5" customHeight="1">
      <c r="A5" s="1791"/>
      <c r="B5" s="1792"/>
      <c r="C5" s="1792"/>
      <c r="D5" s="1792"/>
      <c r="E5" s="1792"/>
      <c r="F5" s="1792"/>
      <c r="G5" s="1792"/>
      <c r="H5" s="1793"/>
      <c r="I5" s="756"/>
      <c r="J5" s="754"/>
      <c r="K5" s="754"/>
      <c r="L5" s="754"/>
      <c r="M5" s="754"/>
      <c r="N5" s="754"/>
      <c r="O5" s="754"/>
    </row>
    <row r="6" spans="1:15" s="755" customFormat="1" ht="12.75" customHeight="1">
      <c r="A6" s="1791"/>
      <c r="B6" s="1792"/>
      <c r="C6" s="1792"/>
      <c r="D6" s="1792"/>
      <c r="E6" s="1792"/>
      <c r="F6" s="1792"/>
      <c r="G6" s="1792"/>
      <c r="H6" s="1793"/>
      <c r="I6" s="753"/>
      <c r="J6" s="754"/>
      <c r="K6" s="754"/>
      <c r="L6" s="754"/>
      <c r="M6" s="754"/>
      <c r="N6" s="754"/>
      <c r="O6" s="754"/>
    </row>
    <row r="7" spans="1:15" s="755" customFormat="1" ht="15" customHeight="1">
      <c r="A7" s="767" t="s">
        <v>347</v>
      </c>
      <c r="B7" s="768">
        <f aca="true" t="shared" si="0" ref="B7:G7">B8+B12+B18+B22</f>
        <v>11509286602</v>
      </c>
      <c r="C7" s="768">
        <f t="shared" si="0"/>
        <v>0</v>
      </c>
      <c r="D7" s="768">
        <f t="shared" si="0"/>
        <v>498473</v>
      </c>
      <c r="E7" s="768">
        <f t="shared" si="0"/>
        <v>0</v>
      </c>
      <c r="F7" s="768">
        <f t="shared" si="0"/>
        <v>0</v>
      </c>
      <c r="G7" s="768">
        <f t="shared" si="0"/>
        <v>5682816</v>
      </c>
      <c r="H7" s="768">
        <f aca="true" t="shared" si="1" ref="H7:H38">SUM(B7:G7)</f>
        <v>11515467891</v>
      </c>
      <c r="I7" s="753"/>
      <c r="J7" s="757"/>
      <c r="K7" s="757"/>
      <c r="L7" s="757"/>
      <c r="M7" s="757"/>
      <c r="N7" s="757"/>
      <c r="O7" s="757"/>
    </row>
    <row r="8" spans="1:15" s="755" customFormat="1" ht="13.5" customHeight="1">
      <c r="A8" s="769" t="s">
        <v>348</v>
      </c>
      <c r="B8" s="770">
        <f aca="true" t="shared" si="2" ref="B8:G8">B9+B10+B11</f>
        <v>22150881</v>
      </c>
      <c r="C8" s="770">
        <f t="shared" si="2"/>
        <v>0</v>
      </c>
      <c r="D8" s="770">
        <f t="shared" si="2"/>
        <v>0</v>
      </c>
      <c r="E8" s="770">
        <f t="shared" si="2"/>
        <v>0</v>
      </c>
      <c r="F8" s="770">
        <f t="shared" si="2"/>
        <v>0</v>
      </c>
      <c r="G8" s="770">
        <f t="shared" si="2"/>
        <v>0</v>
      </c>
      <c r="H8" s="768">
        <f t="shared" si="1"/>
        <v>22150881</v>
      </c>
      <c r="I8" s="754"/>
      <c r="J8" s="758"/>
      <c r="K8" s="758"/>
      <c r="L8" s="758"/>
      <c r="M8" s="758"/>
      <c r="N8" s="758"/>
      <c r="O8" s="758"/>
    </row>
    <row r="9" spans="1:15" s="755" customFormat="1" ht="13.5" customHeight="1">
      <c r="A9" s="769" t="s">
        <v>349</v>
      </c>
      <c r="B9" s="770">
        <v>2680000</v>
      </c>
      <c r="C9" s="770"/>
      <c r="D9" s="770"/>
      <c r="E9" s="770"/>
      <c r="F9" s="770"/>
      <c r="G9" s="770"/>
      <c r="H9" s="768">
        <f t="shared" si="1"/>
        <v>2680000</v>
      </c>
      <c r="I9" s="754"/>
      <c r="J9" s="758"/>
      <c r="K9" s="758"/>
      <c r="L9" s="758"/>
      <c r="M9" s="758"/>
      <c r="N9" s="758"/>
      <c r="O9" s="758"/>
    </row>
    <row r="10" spans="1:15" s="755" customFormat="1" ht="13.5" customHeight="1">
      <c r="A10" s="769" t="s">
        <v>350</v>
      </c>
      <c r="B10" s="770">
        <v>19470881</v>
      </c>
      <c r="C10" s="770"/>
      <c r="D10" s="770"/>
      <c r="E10" s="770"/>
      <c r="F10" s="770"/>
      <c r="G10" s="770">
        <v>0</v>
      </c>
      <c r="H10" s="768">
        <f t="shared" si="1"/>
        <v>19470881</v>
      </c>
      <c r="I10" s="754"/>
      <c r="J10" s="758"/>
      <c r="K10" s="758"/>
      <c r="L10" s="758"/>
      <c r="M10" s="758"/>
      <c r="N10" s="758"/>
      <c r="O10" s="758"/>
    </row>
    <row r="11" spans="1:15" s="755" customFormat="1" ht="13.5" customHeight="1">
      <c r="A11" s="769" t="s">
        <v>351</v>
      </c>
      <c r="B11" s="770"/>
      <c r="C11" s="770"/>
      <c r="D11" s="770"/>
      <c r="E11" s="770"/>
      <c r="F11" s="770"/>
      <c r="G11" s="770"/>
      <c r="H11" s="768">
        <f t="shared" si="1"/>
        <v>0</v>
      </c>
      <c r="I11" s="754"/>
      <c r="J11" s="758"/>
      <c r="K11" s="758"/>
      <c r="L11" s="758"/>
      <c r="M11" s="758"/>
      <c r="N11" s="758"/>
      <c r="O11" s="758"/>
    </row>
    <row r="12" spans="1:15" s="755" customFormat="1" ht="13.5" customHeight="1">
      <c r="A12" s="769" t="s">
        <v>352</v>
      </c>
      <c r="B12" s="770">
        <f aca="true" t="shared" si="3" ref="B12:G12">SUM(B13:B17)</f>
        <v>11449110721</v>
      </c>
      <c r="C12" s="770">
        <f t="shared" si="3"/>
        <v>0</v>
      </c>
      <c r="D12" s="770">
        <f t="shared" si="3"/>
        <v>498473</v>
      </c>
      <c r="E12" s="770">
        <f t="shared" si="3"/>
        <v>0</v>
      </c>
      <c r="F12" s="770">
        <f t="shared" si="3"/>
        <v>0</v>
      </c>
      <c r="G12" s="770">
        <f t="shared" si="3"/>
        <v>5682816</v>
      </c>
      <c r="H12" s="768">
        <f t="shared" si="1"/>
        <v>11455292010</v>
      </c>
      <c r="I12" s="753"/>
      <c r="J12" s="758"/>
      <c r="K12" s="758"/>
      <c r="L12" s="758"/>
      <c r="M12" s="758"/>
      <c r="N12" s="758"/>
      <c r="O12" s="758"/>
    </row>
    <row r="13" spans="1:15" s="755" customFormat="1" ht="15.75" customHeight="1">
      <c r="A13" s="769" t="s">
        <v>353</v>
      </c>
      <c r="B13" s="770">
        <v>10795972826</v>
      </c>
      <c r="C13" s="770"/>
      <c r="D13" s="770"/>
      <c r="E13" s="770"/>
      <c r="F13" s="770"/>
      <c r="G13" s="770"/>
      <c r="H13" s="768">
        <f t="shared" si="1"/>
        <v>10795972826</v>
      </c>
      <c r="I13" s="754"/>
      <c r="J13" s="758"/>
      <c r="K13" s="758"/>
      <c r="L13" s="758"/>
      <c r="M13" s="758"/>
      <c r="N13" s="758"/>
      <c r="O13" s="758"/>
    </row>
    <row r="14" spans="1:15" s="755" customFormat="1" ht="15.75" customHeight="1">
      <c r="A14" s="769" t="s">
        <v>354</v>
      </c>
      <c r="B14" s="770">
        <v>562931308</v>
      </c>
      <c r="C14" s="770"/>
      <c r="D14" s="770">
        <v>498473</v>
      </c>
      <c r="E14" s="770"/>
      <c r="F14" s="770"/>
      <c r="G14" s="770">
        <v>5682816</v>
      </c>
      <c r="H14" s="768">
        <f t="shared" si="1"/>
        <v>569112597</v>
      </c>
      <c r="I14" s="754"/>
      <c r="J14" s="758"/>
      <c r="K14" s="758"/>
      <c r="L14" s="758"/>
      <c r="M14" s="758"/>
      <c r="N14" s="758"/>
      <c r="O14" s="758"/>
    </row>
    <row r="15" spans="1:15" s="755" customFormat="1" ht="15.75" customHeight="1">
      <c r="A15" s="769" t="s">
        <v>355</v>
      </c>
      <c r="B15" s="770"/>
      <c r="C15" s="770"/>
      <c r="D15" s="770"/>
      <c r="E15" s="770"/>
      <c r="F15" s="770"/>
      <c r="G15" s="770"/>
      <c r="H15" s="768">
        <f t="shared" si="1"/>
        <v>0</v>
      </c>
      <c r="I15" s="754"/>
      <c r="J15" s="758"/>
      <c r="K15" s="758"/>
      <c r="L15" s="758"/>
      <c r="M15" s="758"/>
      <c r="N15" s="758"/>
      <c r="O15" s="758"/>
    </row>
    <row r="16" spans="1:15" s="755" customFormat="1" ht="15.75" customHeight="1">
      <c r="A16" s="769" t="s">
        <v>356</v>
      </c>
      <c r="B16" s="770">
        <v>90206587</v>
      </c>
      <c r="C16" s="770"/>
      <c r="D16" s="770"/>
      <c r="E16" s="770"/>
      <c r="F16" s="770"/>
      <c r="G16" s="770"/>
      <c r="H16" s="768">
        <f t="shared" si="1"/>
        <v>90206587</v>
      </c>
      <c r="I16" s="754"/>
      <c r="J16" s="758"/>
      <c r="K16" s="758"/>
      <c r="L16" s="758"/>
      <c r="M16" s="758"/>
      <c r="N16" s="758"/>
      <c r="O16" s="758"/>
    </row>
    <row r="17" spans="1:15" s="755" customFormat="1" ht="15.75" customHeight="1">
      <c r="A17" s="769" t="s">
        <v>357</v>
      </c>
      <c r="B17" s="770"/>
      <c r="C17" s="770"/>
      <c r="D17" s="770"/>
      <c r="E17" s="770"/>
      <c r="F17" s="770"/>
      <c r="G17" s="770"/>
      <c r="H17" s="768">
        <f t="shared" si="1"/>
        <v>0</v>
      </c>
      <c r="I17" s="754"/>
      <c r="J17" s="758"/>
      <c r="K17" s="758"/>
      <c r="L17" s="758"/>
      <c r="M17" s="758"/>
      <c r="N17" s="758"/>
      <c r="O17" s="758"/>
    </row>
    <row r="18" spans="1:15" s="755" customFormat="1" ht="15.75" customHeight="1">
      <c r="A18" s="769" t="s">
        <v>358</v>
      </c>
      <c r="B18" s="770">
        <f aca="true" t="shared" si="4" ref="B18:G18">SUM(B19:B21)</f>
        <v>38025000</v>
      </c>
      <c r="C18" s="770">
        <f t="shared" si="4"/>
        <v>0</v>
      </c>
      <c r="D18" s="770">
        <f t="shared" si="4"/>
        <v>0</v>
      </c>
      <c r="E18" s="770">
        <f t="shared" si="4"/>
        <v>0</v>
      </c>
      <c r="F18" s="770">
        <f t="shared" si="4"/>
        <v>0</v>
      </c>
      <c r="G18" s="770">
        <f t="shared" si="4"/>
        <v>0</v>
      </c>
      <c r="H18" s="768">
        <f t="shared" si="1"/>
        <v>38025000</v>
      </c>
      <c r="I18" s="754"/>
      <c r="J18" s="758"/>
      <c r="K18" s="758"/>
      <c r="L18" s="758"/>
      <c r="M18" s="758"/>
      <c r="N18" s="758"/>
      <c r="O18" s="758"/>
    </row>
    <row r="19" spans="1:15" s="755" customFormat="1" ht="15.75" customHeight="1">
      <c r="A19" s="769" t="s">
        <v>359</v>
      </c>
      <c r="B19" s="770">
        <v>38025000</v>
      </c>
      <c r="C19" s="770"/>
      <c r="D19" s="770"/>
      <c r="E19" s="770"/>
      <c r="F19" s="770"/>
      <c r="G19" s="770"/>
      <c r="H19" s="768">
        <f t="shared" si="1"/>
        <v>38025000</v>
      </c>
      <c r="I19" s="754"/>
      <c r="J19" s="758"/>
      <c r="K19" s="758"/>
      <c r="L19" s="758"/>
      <c r="M19" s="758"/>
      <c r="N19" s="758"/>
      <c r="O19" s="758"/>
    </row>
    <row r="20" spans="1:15" s="755" customFormat="1" ht="15.75" customHeight="1">
      <c r="A20" s="769" t="s">
        <v>360</v>
      </c>
      <c r="B20" s="770"/>
      <c r="C20" s="770"/>
      <c r="D20" s="770"/>
      <c r="E20" s="770"/>
      <c r="F20" s="770"/>
      <c r="G20" s="770"/>
      <c r="H20" s="768">
        <f t="shared" si="1"/>
        <v>0</v>
      </c>
      <c r="I20" s="754"/>
      <c r="J20" s="758"/>
      <c r="K20" s="758"/>
      <c r="L20" s="758"/>
      <c r="M20" s="758"/>
      <c r="N20" s="758"/>
      <c r="O20" s="758"/>
    </row>
    <row r="21" spans="1:15" s="755" customFormat="1" ht="15.75" customHeight="1">
      <c r="A21" s="769" t="s">
        <v>361</v>
      </c>
      <c r="B21" s="770"/>
      <c r="C21" s="770"/>
      <c r="D21" s="770"/>
      <c r="E21" s="770"/>
      <c r="F21" s="770"/>
      <c r="G21" s="770"/>
      <c r="H21" s="768">
        <f t="shared" si="1"/>
        <v>0</v>
      </c>
      <c r="I21" s="754"/>
      <c r="J21" s="758"/>
      <c r="K21" s="758"/>
      <c r="L21" s="758"/>
      <c r="M21" s="758"/>
      <c r="N21" s="758"/>
      <c r="O21" s="758"/>
    </row>
    <row r="22" spans="1:15" s="755" customFormat="1" ht="14.25" customHeight="1">
      <c r="A22" s="771" t="s">
        <v>362</v>
      </c>
      <c r="B22" s="770">
        <f aca="true" t="shared" si="5" ref="B22:G22">SUM(B23:B24)</f>
        <v>0</v>
      </c>
      <c r="C22" s="770">
        <f t="shared" si="5"/>
        <v>0</v>
      </c>
      <c r="D22" s="770">
        <f t="shared" si="5"/>
        <v>0</v>
      </c>
      <c r="E22" s="770">
        <f t="shared" si="5"/>
        <v>0</v>
      </c>
      <c r="F22" s="770">
        <f t="shared" si="5"/>
        <v>0</v>
      </c>
      <c r="G22" s="770">
        <f t="shared" si="5"/>
        <v>0</v>
      </c>
      <c r="H22" s="768">
        <f t="shared" si="1"/>
        <v>0</v>
      </c>
      <c r="I22" s="753"/>
      <c r="J22" s="759"/>
      <c r="K22" s="759"/>
      <c r="L22" s="759"/>
      <c r="M22" s="759"/>
      <c r="N22" s="759"/>
      <c r="O22" s="759"/>
    </row>
    <row r="23" spans="1:15" s="755" customFormat="1" ht="15.75" customHeight="1">
      <c r="A23" s="769" t="s">
        <v>363</v>
      </c>
      <c r="B23" s="770">
        <v>0</v>
      </c>
      <c r="C23" s="770"/>
      <c r="D23" s="770"/>
      <c r="E23" s="770"/>
      <c r="F23" s="770"/>
      <c r="G23" s="770"/>
      <c r="H23" s="768">
        <f t="shared" si="1"/>
        <v>0</v>
      </c>
      <c r="I23" s="753"/>
      <c r="J23" s="759"/>
      <c r="K23" s="759"/>
      <c r="L23" s="759"/>
      <c r="M23" s="759"/>
      <c r="N23" s="759"/>
      <c r="O23" s="759"/>
    </row>
    <row r="24" spans="1:15" s="755" customFormat="1" ht="15.75" customHeight="1">
      <c r="A24" s="769" t="s">
        <v>364</v>
      </c>
      <c r="B24" s="770"/>
      <c r="C24" s="770"/>
      <c r="D24" s="770"/>
      <c r="E24" s="770"/>
      <c r="F24" s="770"/>
      <c r="G24" s="770"/>
      <c r="H24" s="768">
        <f t="shared" si="1"/>
        <v>0</v>
      </c>
      <c r="I24" s="753"/>
      <c r="J24" s="759"/>
      <c r="K24" s="759"/>
      <c r="L24" s="759"/>
      <c r="M24" s="759"/>
      <c r="N24" s="759"/>
      <c r="O24" s="759"/>
    </row>
    <row r="25" spans="1:15" s="755" customFormat="1" ht="15.75" customHeight="1">
      <c r="A25" s="772" t="s">
        <v>365</v>
      </c>
      <c r="B25" s="773">
        <f aca="true" t="shared" si="6" ref="B25:G25">B26+B32</f>
        <v>1480880000</v>
      </c>
      <c r="C25" s="773">
        <f t="shared" si="6"/>
        <v>392060</v>
      </c>
      <c r="D25" s="773">
        <f t="shared" si="6"/>
        <v>739848</v>
      </c>
      <c r="E25" s="773">
        <f t="shared" si="6"/>
        <v>546572</v>
      </c>
      <c r="F25" s="773">
        <f t="shared" si="6"/>
        <v>38219</v>
      </c>
      <c r="G25" s="773">
        <f t="shared" si="6"/>
        <v>132622</v>
      </c>
      <c r="H25" s="768">
        <f t="shared" si="1"/>
        <v>1482729321</v>
      </c>
      <c r="I25" s="754"/>
      <c r="J25" s="758"/>
      <c r="K25" s="758"/>
      <c r="L25" s="758"/>
      <c r="M25" s="758"/>
      <c r="N25" s="758"/>
      <c r="O25" s="758"/>
    </row>
    <row r="26" spans="1:15" s="755" customFormat="1" ht="12" customHeight="1">
      <c r="A26" s="774" t="s">
        <v>366</v>
      </c>
      <c r="B26" s="770">
        <f aca="true" t="shared" si="7" ref="B26:G26">SUM(B27:B31)</f>
        <v>0</v>
      </c>
      <c r="C26" s="770">
        <f t="shared" si="7"/>
        <v>392060</v>
      </c>
      <c r="D26" s="770">
        <f t="shared" si="7"/>
        <v>739848</v>
      </c>
      <c r="E26" s="770">
        <f t="shared" si="7"/>
        <v>546572</v>
      </c>
      <c r="F26" s="770">
        <f t="shared" si="7"/>
        <v>38219</v>
      </c>
      <c r="G26" s="770">
        <f t="shared" si="7"/>
        <v>132622</v>
      </c>
      <c r="H26" s="768">
        <f t="shared" si="1"/>
        <v>1849321</v>
      </c>
      <c r="I26" s="754"/>
      <c r="J26" s="758"/>
      <c r="K26" s="758"/>
      <c r="L26" s="758"/>
      <c r="M26" s="758"/>
      <c r="N26" s="758"/>
      <c r="O26" s="758"/>
    </row>
    <row r="27" spans="1:15" s="755" customFormat="1" ht="12" customHeight="1">
      <c r="A27" s="769" t="s">
        <v>367</v>
      </c>
      <c r="B27" s="770"/>
      <c r="C27" s="770">
        <v>392060</v>
      </c>
      <c r="D27" s="770">
        <v>739848</v>
      </c>
      <c r="E27" s="770">
        <v>546572</v>
      </c>
      <c r="F27" s="770">
        <v>38219</v>
      </c>
      <c r="G27" s="770">
        <v>132622</v>
      </c>
      <c r="H27" s="768">
        <f t="shared" si="1"/>
        <v>1849321</v>
      </c>
      <c r="I27" s="754"/>
      <c r="J27" s="758"/>
      <c r="K27" s="758"/>
      <c r="L27" s="758"/>
      <c r="M27" s="758"/>
      <c r="N27" s="758"/>
      <c r="O27" s="758"/>
    </row>
    <row r="28" spans="1:15" s="755" customFormat="1" ht="12" customHeight="1">
      <c r="A28" s="769" t="s">
        <v>368</v>
      </c>
      <c r="B28" s="770"/>
      <c r="C28" s="770"/>
      <c r="D28" s="770"/>
      <c r="E28" s="770"/>
      <c r="F28" s="770"/>
      <c r="G28" s="770"/>
      <c r="H28" s="768">
        <f t="shared" si="1"/>
        <v>0</v>
      </c>
      <c r="I28" s="754"/>
      <c r="J28" s="758"/>
      <c r="K28" s="758"/>
      <c r="L28" s="758"/>
      <c r="M28" s="758"/>
      <c r="N28" s="758"/>
      <c r="O28" s="758"/>
    </row>
    <row r="29" spans="1:15" s="755" customFormat="1" ht="12" customHeight="1">
      <c r="A29" s="769" t="s">
        <v>369</v>
      </c>
      <c r="B29" s="770"/>
      <c r="C29" s="770"/>
      <c r="D29" s="770"/>
      <c r="E29" s="770"/>
      <c r="F29" s="770"/>
      <c r="G29" s="770"/>
      <c r="H29" s="768">
        <f t="shared" si="1"/>
        <v>0</v>
      </c>
      <c r="I29" s="754"/>
      <c r="J29" s="758"/>
      <c r="K29" s="758"/>
      <c r="L29" s="758"/>
      <c r="M29" s="758"/>
      <c r="N29" s="758"/>
      <c r="O29" s="758"/>
    </row>
    <row r="30" spans="1:15" s="755" customFormat="1" ht="12" customHeight="1">
      <c r="A30" s="769" t="s">
        <v>370</v>
      </c>
      <c r="B30" s="770">
        <v>0</v>
      </c>
      <c r="C30" s="770">
        <v>0</v>
      </c>
      <c r="D30" s="770">
        <v>0</v>
      </c>
      <c r="E30" s="770">
        <v>0</v>
      </c>
      <c r="F30" s="770">
        <v>0</v>
      </c>
      <c r="G30" s="770">
        <v>0</v>
      </c>
      <c r="H30" s="768">
        <f t="shared" si="1"/>
        <v>0</v>
      </c>
      <c r="I30" s="754"/>
      <c r="J30" s="758"/>
      <c r="K30" s="758"/>
      <c r="L30" s="758"/>
      <c r="M30" s="758"/>
      <c r="N30" s="758"/>
      <c r="O30" s="758"/>
    </row>
    <row r="31" spans="1:15" s="755" customFormat="1" ht="12" customHeight="1">
      <c r="A31" s="771" t="s">
        <v>371</v>
      </c>
      <c r="B31" s="770"/>
      <c r="C31" s="770"/>
      <c r="D31" s="770"/>
      <c r="E31" s="770"/>
      <c r="F31" s="770"/>
      <c r="G31" s="770"/>
      <c r="H31" s="768">
        <f t="shared" si="1"/>
        <v>0</v>
      </c>
      <c r="I31" s="754"/>
      <c r="J31" s="758"/>
      <c r="K31" s="758"/>
      <c r="L31" s="758"/>
      <c r="M31" s="758"/>
      <c r="N31" s="758"/>
      <c r="O31" s="758"/>
    </row>
    <row r="32" spans="1:15" s="755" customFormat="1" ht="12" customHeight="1">
      <c r="A32" s="775" t="s">
        <v>372</v>
      </c>
      <c r="B32" s="776">
        <f aca="true" t="shared" si="8" ref="B32:G32">B34+B33</f>
        <v>1480880000</v>
      </c>
      <c r="C32" s="776">
        <f t="shared" si="8"/>
        <v>0</v>
      </c>
      <c r="D32" s="776">
        <f t="shared" si="8"/>
        <v>0</v>
      </c>
      <c r="E32" s="776">
        <f t="shared" si="8"/>
        <v>0</v>
      </c>
      <c r="F32" s="776">
        <f t="shared" si="8"/>
        <v>0</v>
      </c>
      <c r="G32" s="776">
        <f t="shared" si="8"/>
        <v>0</v>
      </c>
      <c r="H32" s="768">
        <f t="shared" si="1"/>
        <v>1480880000</v>
      </c>
      <c r="I32" s="754"/>
      <c r="J32" s="758"/>
      <c r="K32" s="758"/>
      <c r="L32" s="758"/>
      <c r="M32" s="758"/>
      <c r="N32" s="758"/>
      <c r="O32" s="758"/>
    </row>
    <row r="33" spans="1:15" s="755" customFormat="1" ht="12" customHeight="1">
      <c r="A33" s="775" t="s">
        <v>373</v>
      </c>
      <c r="B33" s="776"/>
      <c r="C33" s="776"/>
      <c r="D33" s="776"/>
      <c r="E33" s="776"/>
      <c r="F33" s="776"/>
      <c r="G33" s="776"/>
      <c r="H33" s="768">
        <f t="shared" si="1"/>
        <v>0</v>
      </c>
      <c r="I33" s="754"/>
      <c r="J33" s="758"/>
      <c r="K33" s="758"/>
      <c r="L33" s="758"/>
      <c r="M33" s="758"/>
      <c r="N33" s="758"/>
      <c r="O33" s="758"/>
    </row>
    <row r="34" spans="1:15" s="755" customFormat="1" ht="12" customHeight="1">
      <c r="A34" s="769" t="s">
        <v>374</v>
      </c>
      <c r="B34" s="776">
        <v>1480880000</v>
      </c>
      <c r="C34" s="776"/>
      <c r="D34" s="776"/>
      <c r="E34" s="776"/>
      <c r="F34" s="776"/>
      <c r="G34" s="776"/>
      <c r="H34" s="768">
        <f t="shared" si="1"/>
        <v>1480880000</v>
      </c>
      <c r="I34" s="754"/>
      <c r="J34" s="758"/>
      <c r="K34" s="758"/>
      <c r="L34" s="758"/>
      <c r="M34" s="758"/>
      <c r="N34" s="758"/>
      <c r="O34" s="758"/>
    </row>
    <row r="35" spans="1:15" s="755" customFormat="1" ht="12" customHeight="1">
      <c r="A35" s="777" t="s">
        <v>375</v>
      </c>
      <c r="B35" s="773">
        <f aca="true" t="shared" si="9" ref="B35:G35">SUM(B36:B39)</f>
        <v>893044062</v>
      </c>
      <c r="C35" s="773">
        <f t="shared" si="9"/>
        <v>24612966</v>
      </c>
      <c r="D35" s="773">
        <f t="shared" si="9"/>
        <v>44748973</v>
      </c>
      <c r="E35" s="773">
        <f t="shared" si="9"/>
        <v>1175504</v>
      </c>
      <c r="F35" s="773">
        <f t="shared" si="9"/>
        <v>1984871</v>
      </c>
      <c r="G35" s="773">
        <f t="shared" si="9"/>
        <v>1650600</v>
      </c>
      <c r="H35" s="768">
        <f t="shared" si="1"/>
        <v>967216976</v>
      </c>
      <c r="I35" s="754"/>
      <c r="J35" s="758"/>
      <c r="K35" s="758"/>
      <c r="L35" s="758"/>
      <c r="M35" s="758"/>
      <c r="N35" s="758"/>
      <c r="O35" s="758"/>
    </row>
    <row r="36" spans="1:15" s="755" customFormat="1" ht="14.25" customHeight="1">
      <c r="A36" s="775" t="s">
        <v>794</v>
      </c>
      <c r="B36" s="770"/>
      <c r="C36" s="770"/>
      <c r="D36" s="770"/>
      <c r="E36" s="770"/>
      <c r="F36" s="770"/>
      <c r="G36" s="770"/>
      <c r="H36" s="768">
        <f t="shared" si="1"/>
        <v>0</v>
      </c>
      <c r="I36" s="754"/>
      <c r="J36" s="758"/>
      <c r="K36" s="758"/>
      <c r="L36" s="758"/>
      <c r="M36" s="758"/>
      <c r="N36" s="758"/>
      <c r="O36" s="758"/>
    </row>
    <row r="37" spans="1:15" s="755" customFormat="1" ht="14.25" customHeight="1">
      <c r="A37" s="769" t="s">
        <v>376</v>
      </c>
      <c r="B37" s="770">
        <v>288543</v>
      </c>
      <c r="C37" s="770">
        <v>278445</v>
      </c>
      <c r="D37" s="770">
        <v>0</v>
      </c>
      <c r="E37" s="770"/>
      <c r="F37" s="770">
        <v>0</v>
      </c>
      <c r="G37" s="770"/>
      <c r="H37" s="768">
        <f t="shared" si="1"/>
        <v>566988</v>
      </c>
      <c r="I37" s="754"/>
      <c r="J37" s="758"/>
      <c r="K37" s="758"/>
      <c r="L37" s="758"/>
      <c r="M37" s="758"/>
      <c r="N37" s="758"/>
      <c r="O37" s="758"/>
    </row>
    <row r="38" spans="1:15" s="755" customFormat="1" ht="14.25" customHeight="1">
      <c r="A38" s="769" t="s">
        <v>377</v>
      </c>
      <c r="B38" s="770">
        <v>892755519</v>
      </c>
      <c r="C38" s="770">
        <v>24334521</v>
      </c>
      <c r="D38" s="770">
        <v>44748973</v>
      </c>
      <c r="E38" s="770">
        <v>1175504</v>
      </c>
      <c r="F38" s="770">
        <v>1984871</v>
      </c>
      <c r="G38" s="770">
        <v>1650600</v>
      </c>
      <c r="H38" s="768">
        <f t="shared" si="1"/>
        <v>966649988</v>
      </c>
      <c r="I38" s="754"/>
      <c r="J38" s="758"/>
      <c r="K38" s="758"/>
      <c r="L38" s="758"/>
      <c r="M38" s="758"/>
      <c r="N38" s="758"/>
      <c r="O38" s="758"/>
    </row>
    <row r="39" spans="1:15" s="755" customFormat="1" ht="14.25" customHeight="1">
      <c r="A39" s="769" t="s">
        <v>378</v>
      </c>
      <c r="B39" s="770">
        <v>0</v>
      </c>
      <c r="C39" s="770"/>
      <c r="D39" s="770"/>
      <c r="E39" s="770"/>
      <c r="F39" s="770"/>
      <c r="G39" s="770"/>
      <c r="H39" s="768">
        <f aca="true" t="shared" si="10" ref="H39:H69">SUM(B39:G39)</f>
        <v>0</v>
      </c>
      <c r="I39" s="754"/>
      <c r="J39" s="758"/>
      <c r="K39" s="758"/>
      <c r="L39" s="758"/>
      <c r="M39" s="758"/>
      <c r="N39" s="758"/>
      <c r="O39" s="758"/>
    </row>
    <row r="40" spans="1:15" s="755" customFormat="1" ht="12" customHeight="1">
      <c r="A40" s="767" t="s">
        <v>379</v>
      </c>
      <c r="B40" s="773">
        <f aca="true" t="shared" si="11" ref="B40:G40">B59+B50+B41</f>
        <v>130506054</v>
      </c>
      <c r="C40" s="773">
        <f t="shared" si="11"/>
        <v>947628</v>
      </c>
      <c r="D40" s="773">
        <f>D59+D50+D41</f>
        <v>336491</v>
      </c>
      <c r="E40" s="773">
        <f t="shared" si="11"/>
        <v>0</v>
      </c>
      <c r="F40" s="773">
        <f t="shared" si="11"/>
        <v>30920</v>
      </c>
      <c r="G40" s="773">
        <f t="shared" si="11"/>
        <v>0</v>
      </c>
      <c r="H40" s="768">
        <f>SUM(B40:G40)</f>
        <v>131821093</v>
      </c>
      <c r="I40" s="754"/>
      <c r="J40" s="758"/>
      <c r="K40" s="758"/>
      <c r="L40" s="758"/>
      <c r="M40" s="758"/>
      <c r="N40" s="758"/>
      <c r="O40" s="758"/>
    </row>
    <row r="41" spans="1:15" s="755" customFormat="1" ht="12" customHeight="1">
      <c r="A41" s="769" t="s">
        <v>380</v>
      </c>
      <c r="B41" s="770">
        <f aca="true" t="shared" si="12" ref="B41:G41">SUM(B42:B49)</f>
        <v>109848519</v>
      </c>
      <c r="C41" s="770">
        <f t="shared" si="12"/>
        <v>947628</v>
      </c>
      <c r="D41" s="770">
        <f t="shared" si="12"/>
        <v>336491</v>
      </c>
      <c r="E41" s="770">
        <f t="shared" si="12"/>
        <v>0</v>
      </c>
      <c r="F41" s="770">
        <f t="shared" si="12"/>
        <v>30920</v>
      </c>
      <c r="G41" s="770">
        <f t="shared" si="12"/>
        <v>0</v>
      </c>
      <c r="H41" s="768">
        <f t="shared" si="10"/>
        <v>111163558</v>
      </c>
      <c r="I41" s="754"/>
      <c r="J41" s="758"/>
      <c r="K41" s="758"/>
      <c r="L41" s="758"/>
      <c r="M41" s="758"/>
      <c r="N41" s="758"/>
      <c r="O41" s="758"/>
    </row>
    <row r="42" spans="1:15" s="755" customFormat="1" ht="28.5" customHeight="1">
      <c r="A42" s="771" t="s">
        <v>381</v>
      </c>
      <c r="B42" s="770">
        <v>9816785</v>
      </c>
      <c r="C42" s="770"/>
      <c r="D42" s="770"/>
      <c r="E42" s="770"/>
      <c r="F42" s="770"/>
      <c r="G42" s="770"/>
      <c r="H42" s="768">
        <f t="shared" si="10"/>
        <v>9816785</v>
      </c>
      <c r="I42" s="754"/>
      <c r="J42" s="758"/>
      <c r="K42" s="758"/>
      <c r="L42" s="758"/>
      <c r="M42" s="758"/>
      <c r="N42" s="758"/>
      <c r="O42" s="758"/>
    </row>
    <row r="43" spans="1:15" s="755" customFormat="1" ht="29.25" customHeight="1">
      <c r="A43" s="771" t="s">
        <v>382</v>
      </c>
      <c r="B43" s="770">
        <v>383467</v>
      </c>
      <c r="C43" s="770"/>
      <c r="D43" s="770"/>
      <c r="E43" s="770"/>
      <c r="F43" s="770"/>
      <c r="G43" s="770"/>
      <c r="H43" s="768">
        <f t="shared" si="10"/>
        <v>383467</v>
      </c>
      <c r="I43" s="754"/>
      <c r="J43" s="758"/>
      <c r="K43" s="758"/>
      <c r="L43" s="758"/>
      <c r="M43" s="758"/>
      <c r="N43" s="758"/>
      <c r="O43" s="758"/>
    </row>
    <row r="44" spans="1:15" s="755" customFormat="1" ht="12" customHeight="1">
      <c r="A44" s="771" t="s">
        <v>383</v>
      </c>
      <c r="B44" s="770">
        <v>78743287</v>
      </c>
      <c r="C44" s="770"/>
      <c r="D44" s="770"/>
      <c r="E44" s="770"/>
      <c r="F44" s="770"/>
      <c r="G44" s="770"/>
      <c r="H44" s="768">
        <f t="shared" si="10"/>
        <v>78743287</v>
      </c>
      <c r="I44" s="754"/>
      <c r="J44" s="758"/>
      <c r="K44" s="758"/>
      <c r="L44" s="758"/>
      <c r="M44" s="758"/>
      <c r="N44" s="758"/>
      <c r="O44" s="758"/>
    </row>
    <row r="45" spans="1:15" s="755" customFormat="1" ht="12" customHeight="1">
      <c r="A45" s="771" t="s">
        <v>384</v>
      </c>
      <c r="B45" s="770">
        <v>2601062</v>
      </c>
      <c r="C45" s="770">
        <v>947628</v>
      </c>
      <c r="D45" s="770">
        <v>336491</v>
      </c>
      <c r="E45" s="770">
        <v>0</v>
      </c>
      <c r="F45" s="770">
        <v>30920</v>
      </c>
      <c r="G45" s="770">
        <v>0</v>
      </c>
      <c r="H45" s="768">
        <f t="shared" si="10"/>
        <v>3916101</v>
      </c>
      <c r="I45" s="754"/>
      <c r="J45" s="758"/>
      <c r="K45" s="758"/>
      <c r="L45" s="758"/>
      <c r="M45" s="758"/>
      <c r="N45" s="758"/>
      <c r="O45" s="758"/>
    </row>
    <row r="46" spans="1:15" s="755" customFormat="1" ht="12" customHeight="1">
      <c r="A46" s="771" t="s">
        <v>385</v>
      </c>
      <c r="B46" s="770">
        <v>3939273</v>
      </c>
      <c r="C46" s="770"/>
      <c r="D46" s="770"/>
      <c r="E46" s="770"/>
      <c r="F46" s="770"/>
      <c r="G46" s="770"/>
      <c r="H46" s="768">
        <f t="shared" si="10"/>
        <v>3939273</v>
      </c>
      <c r="I46" s="754"/>
      <c r="J46" s="758"/>
      <c r="K46" s="758"/>
      <c r="L46" s="758"/>
      <c r="M46" s="758"/>
      <c r="N46" s="758"/>
      <c r="O46" s="758"/>
    </row>
    <row r="47" spans="1:15" s="755" customFormat="1" ht="30.75" customHeight="1">
      <c r="A47" s="771" t="s">
        <v>386</v>
      </c>
      <c r="B47" s="770">
        <v>469663</v>
      </c>
      <c r="C47" s="770">
        <v>0</v>
      </c>
      <c r="D47" s="770"/>
      <c r="E47" s="770"/>
      <c r="F47" s="770"/>
      <c r="G47" s="770"/>
      <c r="H47" s="768">
        <f t="shared" si="10"/>
        <v>469663</v>
      </c>
      <c r="I47" s="754"/>
      <c r="J47" s="758"/>
      <c r="K47" s="758"/>
      <c r="L47" s="758"/>
      <c r="M47" s="758"/>
      <c r="N47" s="758"/>
      <c r="O47" s="758"/>
    </row>
    <row r="48" spans="1:15" s="755" customFormat="1" ht="27" customHeight="1">
      <c r="A48" s="771" t="s">
        <v>387</v>
      </c>
      <c r="B48" s="770">
        <v>13894982</v>
      </c>
      <c r="C48" s="770"/>
      <c r="D48" s="770"/>
      <c r="E48" s="770"/>
      <c r="F48" s="770"/>
      <c r="G48" s="770"/>
      <c r="H48" s="768">
        <f t="shared" si="10"/>
        <v>13894982</v>
      </c>
      <c r="I48" s="754"/>
      <c r="J48" s="758"/>
      <c r="K48" s="758"/>
      <c r="L48" s="758"/>
      <c r="M48" s="758"/>
      <c r="N48" s="758"/>
      <c r="O48" s="758"/>
    </row>
    <row r="49" spans="1:15" s="755" customFormat="1" ht="12" customHeight="1">
      <c r="A49" s="771" t="s">
        <v>388</v>
      </c>
      <c r="B49" s="770"/>
      <c r="C49" s="770"/>
      <c r="D49" s="770"/>
      <c r="E49" s="770"/>
      <c r="F49" s="770"/>
      <c r="G49" s="770"/>
      <c r="H49" s="768">
        <f t="shared" si="10"/>
        <v>0</v>
      </c>
      <c r="I49" s="754"/>
      <c r="J49" s="758"/>
      <c r="K49" s="758"/>
      <c r="L49" s="758"/>
      <c r="M49" s="758"/>
      <c r="N49" s="758"/>
      <c r="O49" s="758"/>
    </row>
    <row r="50" spans="1:15" s="755" customFormat="1" ht="12" customHeight="1">
      <c r="A50" s="769" t="s">
        <v>389</v>
      </c>
      <c r="B50" s="770">
        <f aca="true" t="shared" si="13" ref="B50:G50">SUM(B51:B58)</f>
        <v>0</v>
      </c>
      <c r="C50" s="770">
        <f t="shared" si="13"/>
        <v>0</v>
      </c>
      <c r="D50" s="770">
        <f t="shared" si="13"/>
        <v>0</v>
      </c>
      <c r="E50" s="770">
        <f t="shared" si="13"/>
        <v>0</v>
      </c>
      <c r="F50" s="770">
        <f t="shared" si="13"/>
        <v>0</v>
      </c>
      <c r="G50" s="770">
        <f t="shared" si="13"/>
        <v>0</v>
      </c>
      <c r="H50" s="768">
        <f t="shared" si="10"/>
        <v>0</v>
      </c>
      <c r="I50" s="754"/>
      <c r="J50" s="758"/>
      <c r="K50" s="758"/>
      <c r="L50" s="758"/>
      <c r="M50" s="758"/>
      <c r="N50" s="758"/>
      <c r="O50" s="758"/>
    </row>
    <row r="51" spans="1:15" s="755" customFormat="1" ht="28.5" customHeight="1">
      <c r="A51" s="771" t="s">
        <v>390</v>
      </c>
      <c r="B51" s="770"/>
      <c r="C51" s="770"/>
      <c r="D51" s="770"/>
      <c r="E51" s="770"/>
      <c r="F51" s="770"/>
      <c r="G51" s="770"/>
      <c r="H51" s="768">
        <f t="shared" si="10"/>
        <v>0</v>
      </c>
      <c r="I51" s="754"/>
      <c r="J51" s="758"/>
      <c r="K51" s="758"/>
      <c r="L51" s="758"/>
      <c r="M51" s="758"/>
      <c r="N51" s="758"/>
      <c r="O51" s="758"/>
    </row>
    <row r="52" spans="1:15" s="755" customFormat="1" ht="31.5" customHeight="1">
      <c r="A52" s="771" t="s">
        <v>391</v>
      </c>
      <c r="B52" s="770"/>
      <c r="C52" s="770"/>
      <c r="D52" s="770"/>
      <c r="E52" s="770"/>
      <c r="F52" s="770"/>
      <c r="G52" s="770"/>
      <c r="H52" s="768">
        <f t="shared" si="10"/>
        <v>0</v>
      </c>
      <c r="I52" s="754"/>
      <c r="J52" s="758"/>
      <c r="K52" s="758"/>
      <c r="L52" s="758"/>
      <c r="M52" s="758"/>
      <c r="N52" s="758"/>
      <c r="O52" s="758"/>
    </row>
    <row r="53" spans="1:15" s="755" customFormat="1" ht="25.5" customHeight="1">
      <c r="A53" s="771" t="s">
        <v>392</v>
      </c>
      <c r="B53" s="770"/>
      <c r="C53" s="770"/>
      <c r="D53" s="770"/>
      <c r="E53" s="770"/>
      <c r="F53" s="770"/>
      <c r="G53" s="770"/>
      <c r="H53" s="768">
        <f t="shared" si="10"/>
        <v>0</v>
      </c>
      <c r="I53" s="754"/>
      <c r="J53" s="758"/>
      <c r="K53" s="758"/>
      <c r="L53" s="758"/>
      <c r="M53" s="758"/>
      <c r="N53" s="758"/>
      <c r="O53" s="758"/>
    </row>
    <row r="54" spans="1:15" s="755" customFormat="1" ht="12" customHeight="1">
      <c r="A54" s="771" t="s">
        <v>393</v>
      </c>
      <c r="B54" s="770"/>
      <c r="C54" s="770"/>
      <c r="D54" s="770"/>
      <c r="E54" s="770"/>
      <c r="F54" s="770">
        <v>0</v>
      </c>
      <c r="G54" s="770"/>
      <c r="H54" s="768">
        <f t="shared" si="10"/>
        <v>0</v>
      </c>
      <c r="I54" s="754"/>
      <c r="J54" s="758"/>
      <c r="K54" s="758"/>
      <c r="L54" s="758"/>
      <c r="M54" s="758"/>
      <c r="N54" s="758"/>
      <c r="O54" s="758"/>
    </row>
    <row r="55" spans="1:15" s="755" customFormat="1" ht="26.25" customHeight="1">
      <c r="A55" s="771" t="s">
        <v>394</v>
      </c>
      <c r="B55" s="770">
        <v>0</v>
      </c>
      <c r="C55" s="770"/>
      <c r="D55" s="770"/>
      <c r="E55" s="770"/>
      <c r="F55" s="770"/>
      <c r="G55" s="770"/>
      <c r="H55" s="768">
        <f t="shared" si="10"/>
        <v>0</v>
      </c>
      <c r="I55" s="754"/>
      <c r="J55" s="758"/>
      <c r="K55" s="758"/>
      <c r="L55" s="758"/>
      <c r="M55" s="758"/>
      <c r="N55" s="758"/>
      <c r="O55" s="758"/>
    </row>
    <row r="56" spans="1:15" s="755" customFormat="1" ht="30.75" customHeight="1">
      <c r="A56" s="771" t="s">
        <v>395</v>
      </c>
      <c r="B56" s="770"/>
      <c r="C56" s="770"/>
      <c r="D56" s="770"/>
      <c r="E56" s="770"/>
      <c r="F56" s="770"/>
      <c r="G56" s="770"/>
      <c r="H56" s="768">
        <f t="shared" si="10"/>
        <v>0</v>
      </c>
      <c r="I56" s="754"/>
      <c r="J56" s="758"/>
      <c r="K56" s="758"/>
      <c r="L56" s="758"/>
      <c r="M56" s="758"/>
      <c r="N56" s="758"/>
      <c r="O56" s="758"/>
    </row>
    <row r="57" spans="1:15" s="755" customFormat="1" ht="27.75" customHeight="1">
      <c r="A57" s="771" t="s">
        <v>396</v>
      </c>
      <c r="B57" s="770"/>
      <c r="C57" s="770"/>
      <c r="D57" s="770"/>
      <c r="E57" s="770"/>
      <c r="F57" s="770"/>
      <c r="G57" s="770"/>
      <c r="H57" s="768">
        <f t="shared" si="10"/>
        <v>0</v>
      </c>
      <c r="I57" s="754"/>
      <c r="J57" s="758"/>
      <c r="K57" s="758"/>
      <c r="L57" s="758"/>
      <c r="M57" s="758"/>
      <c r="N57" s="758"/>
      <c r="O57" s="758"/>
    </row>
    <row r="58" spans="1:15" s="755" customFormat="1" ht="28.5" customHeight="1">
      <c r="A58" s="771" t="s">
        <v>397</v>
      </c>
      <c r="B58" s="770"/>
      <c r="C58" s="770"/>
      <c r="D58" s="770"/>
      <c r="E58" s="770"/>
      <c r="F58" s="770"/>
      <c r="G58" s="770"/>
      <c r="H58" s="768">
        <f t="shared" si="10"/>
        <v>0</v>
      </c>
      <c r="I58" s="754"/>
      <c r="J58" s="758"/>
      <c r="K58" s="758"/>
      <c r="L58" s="758"/>
      <c r="M58" s="758"/>
      <c r="N58" s="758"/>
      <c r="O58" s="758"/>
    </row>
    <row r="59" spans="1:15" s="755" customFormat="1" ht="12" customHeight="1">
      <c r="A59" s="771" t="s">
        <v>398</v>
      </c>
      <c r="B59" s="770">
        <f aca="true" t="shared" si="14" ref="B59:G59">SUM(B60:B68)</f>
        <v>20657535</v>
      </c>
      <c r="C59" s="770">
        <f t="shared" si="14"/>
        <v>0</v>
      </c>
      <c r="D59" s="770">
        <f t="shared" si="14"/>
        <v>0</v>
      </c>
      <c r="E59" s="770">
        <f t="shared" si="14"/>
        <v>0</v>
      </c>
      <c r="F59" s="770">
        <f t="shared" si="14"/>
        <v>0</v>
      </c>
      <c r="G59" s="770">
        <f t="shared" si="14"/>
        <v>0</v>
      </c>
      <c r="H59" s="768">
        <f t="shared" si="10"/>
        <v>20657535</v>
      </c>
      <c r="I59" s="754"/>
      <c r="J59" s="758"/>
      <c r="K59" s="758"/>
      <c r="L59" s="758"/>
      <c r="M59" s="758"/>
      <c r="N59" s="758"/>
      <c r="O59" s="758"/>
    </row>
    <row r="60" spans="1:15" s="755" customFormat="1" ht="12" customHeight="1">
      <c r="A60" s="771" t="s">
        <v>399</v>
      </c>
      <c r="B60" s="770">
        <v>2349404</v>
      </c>
      <c r="C60" s="770">
        <v>0</v>
      </c>
      <c r="D60" s="770">
        <v>0</v>
      </c>
      <c r="E60" s="770"/>
      <c r="F60" s="770"/>
      <c r="G60" s="770"/>
      <c r="H60" s="768">
        <f t="shared" si="10"/>
        <v>2349404</v>
      </c>
      <c r="I60" s="754"/>
      <c r="J60" s="758"/>
      <c r="K60" s="758"/>
      <c r="L60" s="758"/>
      <c r="M60" s="758"/>
      <c r="N60" s="758"/>
      <c r="O60" s="758"/>
    </row>
    <row r="61" spans="1:15" s="755" customFormat="1" ht="12" customHeight="1">
      <c r="A61" s="771" t="s">
        <v>400</v>
      </c>
      <c r="B61" s="770"/>
      <c r="C61" s="770"/>
      <c r="D61" s="770"/>
      <c r="E61" s="770"/>
      <c r="F61" s="770"/>
      <c r="G61" s="770"/>
      <c r="H61" s="768">
        <f t="shared" si="10"/>
        <v>0</v>
      </c>
      <c r="I61" s="754"/>
      <c r="J61" s="758"/>
      <c r="K61" s="758"/>
      <c r="L61" s="758"/>
      <c r="M61" s="758"/>
      <c r="N61" s="758"/>
      <c r="O61" s="758"/>
    </row>
    <row r="62" spans="1:15" s="755" customFormat="1" ht="12" customHeight="1">
      <c r="A62" s="771" t="s">
        <v>401</v>
      </c>
      <c r="B62" s="770"/>
      <c r="C62" s="770"/>
      <c r="D62" s="770"/>
      <c r="E62" s="770"/>
      <c r="F62" s="770"/>
      <c r="G62" s="770"/>
      <c r="H62" s="768">
        <f t="shared" si="10"/>
        <v>0</v>
      </c>
      <c r="I62" s="754"/>
      <c r="J62" s="758"/>
      <c r="K62" s="758"/>
      <c r="L62" s="758"/>
      <c r="M62" s="758"/>
      <c r="N62" s="758"/>
      <c r="O62" s="758"/>
    </row>
    <row r="63" spans="1:15" s="755" customFormat="1" ht="12" customHeight="1">
      <c r="A63" s="771" t="s">
        <v>402</v>
      </c>
      <c r="B63" s="770">
        <v>410000</v>
      </c>
      <c r="C63" s="770"/>
      <c r="D63" s="770"/>
      <c r="E63" s="770"/>
      <c r="F63" s="770"/>
      <c r="G63" s="770"/>
      <c r="H63" s="768">
        <f t="shared" si="10"/>
        <v>410000</v>
      </c>
      <c r="I63" s="754"/>
      <c r="J63" s="758"/>
      <c r="K63" s="758"/>
      <c r="L63" s="758"/>
      <c r="M63" s="758"/>
      <c r="N63" s="758"/>
      <c r="O63" s="758"/>
    </row>
    <row r="64" spans="1:15" s="755" customFormat="1" ht="27.75" customHeight="1">
      <c r="A64" s="771" t="s">
        <v>403</v>
      </c>
      <c r="B64" s="770">
        <v>17898131</v>
      </c>
      <c r="C64" s="770"/>
      <c r="D64" s="770"/>
      <c r="E64" s="770"/>
      <c r="F64" s="770"/>
      <c r="G64" s="770"/>
      <c r="H64" s="768">
        <f t="shared" si="10"/>
        <v>17898131</v>
      </c>
      <c r="I64" s="754"/>
      <c r="J64" s="758"/>
      <c r="K64" s="758"/>
      <c r="L64" s="758"/>
      <c r="M64" s="758"/>
      <c r="N64" s="758"/>
      <c r="O64" s="758"/>
    </row>
    <row r="65" spans="1:15" s="755" customFormat="1" ht="27" customHeight="1">
      <c r="A65" s="771" t="s">
        <v>404</v>
      </c>
      <c r="B65" s="770"/>
      <c r="C65" s="770"/>
      <c r="D65" s="770"/>
      <c r="E65" s="770"/>
      <c r="F65" s="770"/>
      <c r="G65" s="770"/>
      <c r="H65" s="768">
        <f t="shared" si="10"/>
        <v>0</v>
      </c>
      <c r="I65" s="754"/>
      <c r="J65" s="758"/>
      <c r="K65" s="758"/>
      <c r="L65" s="758"/>
      <c r="M65" s="758"/>
      <c r="N65" s="758"/>
      <c r="O65" s="758"/>
    </row>
    <row r="66" spans="1:15" s="755" customFormat="1" ht="30" customHeight="1">
      <c r="A66" s="771" t="s">
        <v>405</v>
      </c>
      <c r="B66" s="770"/>
      <c r="C66" s="770"/>
      <c r="D66" s="770"/>
      <c r="E66" s="770"/>
      <c r="F66" s="770"/>
      <c r="G66" s="770"/>
      <c r="H66" s="768">
        <f t="shared" si="10"/>
        <v>0</v>
      </c>
      <c r="I66" s="754"/>
      <c r="J66" s="758"/>
      <c r="K66" s="758"/>
      <c r="L66" s="758"/>
      <c r="M66" s="758"/>
      <c r="N66" s="758"/>
      <c r="O66" s="758"/>
    </row>
    <row r="67" spans="1:15" s="755" customFormat="1" ht="18" customHeight="1">
      <c r="A67" s="771" t="s">
        <v>1023</v>
      </c>
      <c r="B67" s="770"/>
      <c r="C67" s="770"/>
      <c r="D67" s="770"/>
      <c r="E67" s="770"/>
      <c r="F67" s="770"/>
      <c r="G67" s="770"/>
      <c r="H67" s="768">
        <f t="shared" si="10"/>
        <v>0</v>
      </c>
      <c r="I67" s="754"/>
      <c r="J67" s="758"/>
      <c r="K67" s="758"/>
      <c r="L67" s="758"/>
      <c r="M67" s="758"/>
      <c r="N67" s="758"/>
      <c r="O67" s="758"/>
    </row>
    <row r="68" spans="1:15" s="755" customFormat="1" ht="28.5" customHeight="1">
      <c r="A68" s="771" t="s">
        <v>406</v>
      </c>
      <c r="B68" s="770"/>
      <c r="C68" s="770"/>
      <c r="D68" s="770"/>
      <c r="E68" s="770"/>
      <c r="F68" s="770"/>
      <c r="G68" s="770"/>
      <c r="H68" s="768">
        <f t="shared" si="10"/>
        <v>0</v>
      </c>
      <c r="I68" s="754"/>
      <c r="J68" s="758"/>
      <c r="K68" s="758"/>
      <c r="L68" s="758"/>
      <c r="M68" s="758"/>
      <c r="N68" s="758"/>
      <c r="O68" s="758"/>
    </row>
    <row r="69" spans="1:15" s="755" customFormat="1" ht="12" customHeight="1">
      <c r="A69" s="766" t="s">
        <v>795</v>
      </c>
      <c r="B69" s="773">
        <v>45940</v>
      </c>
      <c r="C69" s="773">
        <v>-103393</v>
      </c>
      <c r="D69" s="773">
        <v>-22132</v>
      </c>
      <c r="E69" s="773">
        <v>0</v>
      </c>
      <c r="F69" s="773">
        <v>0</v>
      </c>
      <c r="G69" s="773">
        <v>0</v>
      </c>
      <c r="H69" s="768">
        <f t="shared" si="10"/>
        <v>-79585</v>
      </c>
      <c r="I69" s="754"/>
      <c r="J69" s="758"/>
      <c r="K69" s="758"/>
      <c r="L69" s="758"/>
      <c r="M69" s="758"/>
      <c r="N69" s="758"/>
      <c r="O69" s="758"/>
    </row>
    <row r="70" spans="1:15" s="755" customFormat="1" ht="12" customHeight="1">
      <c r="A70" s="777" t="s">
        <v>407</v>
      </c>
      <c r="B70" s="773">
        <f aca="true" t="shared" si="15" ref="B70:G70">SUM(B71:B73)</f>
        <v>16880196</v>
      </c>
      <c r="C70" s="773">
        <f t="shared" si="15"/>
        <v>116129</v>
      </c>
      <c r="D70" s="773">
        <f t="shared" si="15"/>
        <v>5025393</v>
      </c>
      <c r="E70" s="773">
        <f t="shared" si="15"/>
        <v>0</v>
      </c>
      <c r="F70" s="773">
        <f t="shared" si="15"/>
        <v>466971</v>
      </c>
      <c r="G70" s="773">
        <f t="shared" si="15"/>
        <v>0</v>
      </c>
      <c r="H70" s="768">
        <f>SUM(B70:G70)</f>
        <v>22488689</v>
      </c>
      <c r="I70" s="754"/>
      <c r="J70" s="758"/>
      <c r="K70" s="758"/>
      <c r="L70" s="758"/>
      <c r="M70" s="758"/>
      <c r="N70" s="758"/>
      <c r="O70" s="758"/>
    </row>
    <row r="71" spans="1:15" s="755" customFormat="1" ht="12" customHeight="1">
      <c r="A71" s="769" t="s">
        <v>408</v>
      </c>
      <c r="B71" s="770">
        <v>16880196</v>
      </c>
      <c r="C71" s="770"/>
      <c r="D71" s="770">
        <v>4983100</v>
      </c>
      <c r="E71" s="770"/>
      <c r="F71" s="770"/>
      <c r="G71" s="770"/>
      <c r="H71" s="768">
        <f>SUM(B71:G71)</f>
        <v>21863296</v>
      </c>
      <c r="I71" s="754"/>
      <c r="J71" s="758"/>
      <c r="K71" s="758"/>
      <c r="L71" s="758"/>
      <c r="M71" s="758"/>
      <c r="N71" s="758"/>
      <c r="O71" s="758"/>
    </row>
    <row r="72" spans="1:15" s="755" customFormat="1" ht="12" customHeight="1">
      <c r="A72" s="769" t="s">
        <v>409</v>
      </c>
      <c r="B72" s="770"/>
      <c r="C72" s="770">
        <v>116129</v>
      </c>
      <c r="D72" s="770">
        <v>42293</v>
      </c>
      <c r="E72" s="770">
        <v>0</v>
      </c>
      <c r="F72" s="770">
        <v>466971</v>
      </c>
      <c r="G72" s="770"/>
      <c r="H72" s="768">
        <f>SUM(B72:G72)</f>
        <v>625393</v>
      </c>
      <c r="I72" s="754"/>
      <c r="J72" s="758"/>
      <c r="K72" s="758"/>
      <c r="L72" s="758"/>
      <c r="M72" s="758"/>
      <c r="N72" s="758"/>
      <c r="O72" s="758"/>
    </row>
    <row r="73" spans="1:15" s="755" customFormat="1" ht="12" customHeight="1">
      <c r="A73" s="769" t="s">
        <v>410</v>
      </c>
      <c r="B73" s="770"/>
      <c r="C73" s="770"/>
      <c r="D73" s="770"/>
      <c r="E73" s="770"/>
      <c r="F73" s="770"/>
      <c r="G73" s="770"/>
      <c r="H73" s="768">
        <f>SUM(B73:G73)</f>
        <v>0</v>
      </c>
      <c r="I73" s="754"/>
      <c r="J73" s="758"/>
      <c r="K73" s="758"/>
      <c r="L73" s="758"/>
      <c r="M73" s="758"/>
      <c r="N73" s="758"/>
      <c r="O73" s="758"/>
    </row>
    <row r="74" spans="1:15" s="937" customFormat="1" ht="15" customHeight="1">
      <c r="A74" s="931" t="s">
        <v>411</v>
      </c>
      <c r="B74" s="932">
        <f aca="true" t="shared" si="16" ref="B74:G74">B7+B25+B35+B40+B69+B70</f>
        <v>14030642854</v>
      </c>
      <c r="C74" s="932">
        <f t="shared" si="16"/>
        <v>25965390</v>
      </c>
      <c r="D74" s="932">
        <f t="shared" si="16"/>
        <v>51327046</v>
      </c>
      <c r="E74" s="932">
        <f t="shared" si="16"/>
        <v>1722076</v>
      </c>
      <c r="F74" s="932">
        <f t="shared" si="16"/>
        <v>2520981</v>
      </c>
      <c r="G74" s="932">
        <f t="shared" si="16"/>
        <v>7466038</v>
      </c>
      <c r="H74" s="932">
        <f>SUM(B74:G74)</f>
        <v>14119644385</v>
      </c>
      <c r="I74" s="935"/>
      <c r="J74" s="936"/>
      <c r="K74" s="936"/>
      <c r="L74" s="936"/>
      <c r="M74" s="936"/>
      <c r="N74" s="936"/>
      <c r="O74" s="936"/>
    </row>
    <row r="75" spans="1:15" s="755" customFormat="1" ht="6" customHeight="1">
      <c r="A75" s="765"/>
      <c r="B75" s="763"/>
      <c r="C75" s="763"/>
      <c r="D75" s="763"/>
      <c r="E75" s="763"/>
      <c r="F75" s="763"/>
      <c r="G75" s="763"/>
      <c r="H75" s="760"/>
      <c r="I75" s="761"/>
      <c r="J75" s="762"/>
      <c r="K75" s="762"/>
      <c r="L75" s="762"/>
      <c r="M75" s="762"/>
      <c r="N75" s="762"/>
      <c r="O75" s="762"/>
    </row>
    <row r="76" spans="1:8" ht="12.75">
      <c r="A76" s="772" t="s">
        <v>412</v>
      </c>
      <c r="B76" s="782">
        <f aca="true" t="shared" si="17" ref="B76:G76">SUM(B77:B82)</f>
        <v>13730891592</v>
      </c>
      <c r="C76" s="782">
        <f t="shared" si="17"/>
        <v>11265716</v>
      </c>
      <c r="D76" s="782">
        <f t="shared" si="17"/>
        <v>29920156</v>
      </c>
      <c r="E76" s="782">
        <f t="shared" si="17"/>
        <v>-17085720</v>
      </c>
      <c r="F76" s="782">
        <f t="shared" si="17"/>
        <v>373241</v>
      </c>
      <c r="G76" s="782">
        <f t="shared" si="17"/>
        <v>6002075</v>
      </c>
      <c r="H76" s="782">
        <f aca="true" t="shared" si="18" ref="H76:H120">SUM(B76:G76)</f>
        <v>13761367060</v>
      </c>
    </row>
    <row r="77" spans="1:8" ht="12.75">
      <c r="A77" s="778" t="s">
        <v>413</v>
      </c>
      <c r="B77" s="785">
        <v>10209466482</v>
      </c>
      <c r="C77" s="785"/>
      <c r="D77" s="785"/>
      <c r="E77" s="785"/>
      <c r="F77" s="785">
        <v>38224</v>
      </c>
      <c r="G77" s="785">
        <v>199056</v>
      </c>
      <c r="H77" s="782">
        <f t="shared" si="18"/>
        <v>10209703762</v>
      </c>
    </row>
    <row r="78" spans="1:8" ht="12.75">
      <c r="A78" s="778" t="s">
        <v>414</v>
      </c>
      <c r="B78" s="785">
        <v>17898131</v>
      </c>
      <c r="C78" s="785"/>
      <c r="D78" s="785"/>
      <c r="E78" s="785"/>
      <c r="F78" s="785"/>
      <c r="G78" s="785"/>
      <c r="H78" s="782">
        <f t="shared" si="18"/>
        <v>17898131</v>
      </c>
    </row>
    <row r="79" spans="1:8" ht="12.75">
      <c r="A79" s="778" t="s">
        <v>415</v>
      </c>
      <c r="B79" s="785">
        <v>1433746293</v>
      </c>
      <c r="C79" s="785">
        <v>21317979</v>
      </c>
      <c r="D79" s="785">
        <v>8873032</v>
      </c>
      <c r="E79" s="785">
        <v>3519912</v>
      </c>
      <c r="F79" s="785">
        <v>2400108</v>
      </c>
      <c r="G79" s="785">
        <v>1247224</v>
      </c>
      <c r="H79" s="782">
        <f t="shared" si="18"/>
        <v>1471104548</v>
      </c>
    </row>
    <row r="80" spans="1:8" ht="12.75">
      <c r="A80" s="778" t="s">
        <v>416</v>
      </c>
      <c r="B80" s="785">
        <v>1926527006</v>
      </c>
      <c r="C80" s="785">
        <v>-17413403</v>
      </c>
      <c r="D80" s="785">
        <v>-8309979</v>
      </c>
      <c r="E80" s="785">
        <v>-11348133</v>
      </c>
      <c r="F80" s="785">
        <v>-883762</v>
      </c>
      <c r="G80" s="785">
        <v>6030429</v>
      </c>
      <c r="H80" s="782">
        <f t="shared" si="18"/>
        <v>1894602158</v>
      </c>
    </row>
    <row r="81" spans="1:8" ht="12.75">
      <c r="A81" s="778" t="s">
        <v>417</v>
      </c>
      <c r="B81" s="785"/>
      <c r="C81" s="785"/>
      <c r="D81" s="785">
        <v>0</v>
      </c>
      <c r="E81" s="785"/>
      <c r="F81" s="785"/>
      <c r="G81" s="785"/>
      <c r="H81" s="782">
        <f t="shared" si="18"/>
        <v>0</v>
      </c>
    </row>
    <row r="82" spans="1:10" ht="12.75">
      <c r="A82" s="778" t="s">
        <v>418</v>
      </c>
      <c r="B82" s="785">
        <v>143253680</v>
      </c>
      <c r="C82" s="785">
        <v>7361140</v>
      </c>
      <c r="D82" s="785">
        <v>29357103</v>
      </c>
      <c r="E82" s="785">
        <v>-9257499</v>
      </c>
      <c r="F82" s="785">
        <v>-1181329</v>
      </c>
      <c r="G82" s="785">
        <v>-1474634</v>
      </c>
      <c r="H82" s="782">
        <f t="shared" si="18"/>
        <v>168058461</v>
      </c>
      <c r="J82" s="1215"/>
    </row>
    <row r="83" spans="1:8" ht="12.75">
      <c r="A83" s="779" t="s">
        <v>419</v>
      </c>
      <c r="B83" s="782">
        <f aca="true" t="shared" si="19" ref="B83:G83">B84+B94+B104</f>
        <v>288692637</v>
      </c>
      <c r="C83" s="782">
        <f t="shared" si="19"/>
        <v>0</v>
      </c>
      <c r="D83" s="782">
        <f t="shared" si="19"/>
        <v>4565181</v>
      </c>
      <c r="E83" s="782">
        <f t="shared" si="19"/>
        <v>0</v>
      </c>
      <c r="F83" s="782">
        <f t="shared" si="19"/>
        <v>0</v>
      </c>
      <c r="G83" s="782">
        <f t="shared" si="19"/>
        <v>0</v>
      </c>
      <c r="H83" s="782">
        <f t="shared" si="18"/>
        <v>293257818</v>
      </c>
    </row>
    <row r="84" spans="1:8" ht="12.75">
      <c r="A84" s="780" t="s">
        <v>420</v>
      </c>
      <c r="B84" s="785">
        <f aca="true" t="shared" si="20" ref="B84:G84">SUM(B85:B93)</f>
        <v>0</v>
      </c>
      <c r="C84" s="785">
        <f t="shared" si="20"/>
        <v>0</v>
      </c>
      <c r="D84" s="785">
        <f t="shared" si="20"/>
        <v>0</v>
      </c>
      <c r="E84" s="785">
        <f t="shared" si="20"/>
        <v>0</v>
      </c>
      <c r="F84" s="785">
        <f t="shared" si="20"/>
        <v>0</v>
      </c>
      <c r="G84" s="785">
        <f t="shared" si="20"/>
        <v>0</v>
      </c>
      <c r="H84" s="782">
        <f t="shared" si="18"/>
        <v>0</v>
      </c>
    </row>
    <row r="85" spans="1:8" ht="19.5" customHeight="1">
      <c r="A85" s="780" t="s">
        <v>421</v>
      </c>
      <c r="B85" s="785"/>
      <c r="C85" s="785"/>
      <c r="D85" s="785"/>
      <c r="E85" s="785"/>
      <c r="F85" s="785"/>
      <c r="G85" s="785"/>
      <c r="H85" s="782">
        <f t="shared" si="18"/>
        <v>0</v>
      </c>
    </row>
    <row r="86" spans="1:8" ht="25.5">
      <c r="A86" s="780" t="s">
        <v>422</v>
      </c>
      <c r="B86" s="785"/>
      <c r="C86" s="785">
        <v>0</v>
      </c>
      <c r="D86" s="785">
        <v>0</v>
      </c>
      <c r="E86" s="785">
        <v>0</v>
      </c>
      <c r="F86" s="785"/>
      <c r="G86" s="785"/>
      <c r="H86" s="782">
        <f t="shared" si="18"/>
        <v>0</v>
      </c>
    </row>
    <row r="87" spans="1:8" ht="12.75">
      <c r="A87" s="780" t="s">
        <v>423</v>
      </c>
      <c r="B87" s="785">
        <v>0</v>
      </c>
      <c r="C87" s="785">
        <v>0</v>
      </c>
      <c r="D87" s="785">
        <v>0</v>
      </c>
      <c r="E87" s="785"/>
      <c r="F87" s="785"/>
      <c r="G87" s="785"/>
      <c r="H87" s="782">
        <f t="shared" si="18"/>
        <v>0</v>
      </c>
    </row>
    <row r="88" spans="1:8" ht="25.5">
      <c r="A88" s="780" t="s">
        <v>424</v>
      </c>
      <c r="B88" s="785"/>
      <c r="C88" s="785">
        <v>0</v>
      </c>
      <c r="D88" s="785"/>
      <c r="E88" s="785"/>
      <c r="F88" s="785"/>
      <c r="G88" s="785"/>
      <c r="H88" s="782">
        <f t="shared" si="18"/>
        <v>0</v>
      </c>
    </row>
    <row r="89" spans="1:8" ht="25.5">
      <c r="A89" s="780" t="s">
        <v>425</v>
      </c>
      <c r="B89" s="785">
        <v>0</v>
      </c>
      <c r="C89" s="785"/>
      <c r="D89" s="785"/>
      <c r="E89" s="785"/>
      <c r="F89" s="785"/>
      <c r="G89" s="785"/>
      <c r="H89" s="782">
        <f t="shared" si="18"/>
        <v>0</v>
      </c>
    </row>
    <row r="90" spans="1:8" ht="12.75">
      <c r="A90" s="780" t="s">
        <v>426</v>
      </c>
      <c r="B90" s="785">
        <v>0</v>
      </c>
      <c r="C90" s="785"/>
      <c r="D90" s="785"/>
      <c r="E90" s="785"/>
      <c r="F90" s="785"/>
      <c r="G90" s="785"/>
      <c r="H90" s="782">
        <f t="shared" si="18"/>
        <v>0</v>
      </c>
    </row>
    <row r="91" spans="1:8" ht="12.75">
      <c r="A91" s="780" t="s">
        <v>427</v>
      </c>
      <c r="B91" s="785"/>
      <c r="C91" s="785"/>
      <c r="D91" s="785"/>
      <c r="E91" s="785"/>
      <c r="F91" s="785"/>
      <c r="G91" s="785"/>
      <c r="H91" s="782">
        <f t="shared" si="18"/>
        <v>0</v>
      </c>
    </row>
    <row r="92" spans="1:8" ht="25.5">
      <c r="A92" s="780" t="s">
        <v>428</v>
      </c>
      <c r="B92" s="785"/>
      <c r="C92" s="785"/>
      <c r="D92" s="785"/>
      <c r="E92" s="785"/>
      <c r="F92" s="785"/>
      <c r="G92" s="785"/>
      <c r="H92" s="782">
        <f t="shared" si="18"/>
        <v>0</v>
      </c>
    </row>
    <row r="93" spans="1:8" ht="25.5">
      <c r="A93" s="780" t="s">
        <v>429</v>
      </c>
      <c r="B93" s="785">
        <v>0</v>
      </c>
      <c r="C93" s="785"/>
      <c r="D93" s="785"/>
      <c r="E93" s="785"/>
      <c r="F93" s="785"/>
      <c r="G93" s="785"/>
      <c r="H93" s="782">
        <f t="shared" si="18"/>
        <v>0</v>
      </c>
    </row>
    <row r="94" spans="1:8" ht="12.75">
      <c r="A94" s="780" t="s">
        <v>430</v>
      </c>
      <c r="B94" s="785">
        <f aca="true" t="shared" si="21" ref="B94:G94">SUM(B95:B103)</f>
        <v>230826053</v>
      </c>
      <c r="C94" s="785">
        <f t="shared" si="21"/>
        <v>0</v>
      </c>
      <c r="D94" s="785">
        <f t="shared" si="21"/>
        <v>0</v>
      </c>
      <c r="E94" s="785">
        <f t="shared" si="21"/>
        <v>0</v>
      </c>
      <c r="F94" s="785">
        <f t="shared" si="21"/>
        <v>0</v>
      </c>
      <c r="G94" s="785">
        <f t="shared" si="21"/>
        <v>0</v>
      </c>
      <c r="H94" s="782">
        <f t="shared" si="18"/>
        <v>230826053</v>
      </c>
    </row>
    <row r="95" spans="1:8" ht="25.5">
      <c r="A95" s="780" t="s">
        <v>431</v>
      </c>
      <c r="B95" s="785"/>
      <c r="C95" s="785"/>
      <c r="D95" s="785"/>
      <c r="E95" s="785"/>
      <c r="F95" s="785"/>
      <c r="G95" s="785"/>
      <c r="H95" s="782">
        <f t="shared" si="18"/>
        <v>0</v>
      </c>
    </row>
    <row r="96" spans="1:8" ht="25.5">
      <c r="A96" s="780" t="s">
        <v>432</v>
      </c>
      <c r="B96" s="785"/>
      <c r="C96" s="785"/>
      <c r="D96" s="785"/>
      <c r="E96" s="785"/>
      <c r="F96" s="785"/>
      <c r="G96" s="785"/>
      <c r="H96" s="782">
        <f t="shared" si="18"/>
        <v>0</v>
      </c>
    </row>
    <row r="97" spans="1:8" ht="18" customHeight="1">
      <c r="A97" s="780" t="s">
        <v>433</v>
      </c>
      <c r="B97" s="785"/>
      <c r="C97" s="785"/>
      <c r="D97" s="785"/>
      <c r="E97" s="785"/>
      <c r="F97" s="785"/>
      <c r="G97" s="785"/>
      <c r="H97" s="782">
        <f t="shared" si="18"/>
        <v>0</v>
      </c>
    </row>
    <row r="98" spans="1:8" ht="25.5">
      <c r="A98" s="780" t="s">
        <v>434</v>
      </c>
      <c r="B98" s="785"/>
      <c r="C98" s="785"/>
      <c r="D98" s="785"/>
      <c r="E98" s="785"/>
      <c r="F98" s="785"/>
      <c r="G98" s="785"/>
      <c r="H98" s="782">
        <f t="shared" si="18"/>
        <v>0</v>
      </c>
    </row>
    <row r="99" spans="1:8" ht="25.5">
      <c r="A99" s="780" t="s">
        <v>435</v>
      </c>
      <c r="B99" s="785"/>
      <c r="C99" s="785"/>
      <c r="D99" s="785"/>
      <c r="E99" s="785"/>
      <c r="F99" s="785"/>
      <c r="G99" s="785"/>
      <c r="H99" s="782">
        <f t="shared" si="18"/>
        <v>0</v>
      </c>
    </row>
    <row r="100" spans="1:8" ht="12.75">
      <c r="A100" s="780" t="s">
        <v>436</v>
      </c>
      <c r="B100" s="785"/>
      <c r="C100" s="785"/>
      <c r="D100" s="785"/>
      <c r="E100" s="785"/>
      <c r="F100" s="785"/>
      <c r="G100" s="785"/>
      <c r="H100" s="782">
        <f t="shared" si="18"/>
        <v>0</v>
      </c>
    </row>
    <row r="101" spans="1:8" ht="12.75">
      <c r="A101" s="780" t="s">
        <v>437</v>
      </c>
      <c r="B101" s="785"/>
      <c r="C101" s="785"/>
      <c r="D101" s="785"/>
      <c r="E101" s="785"/>
      <c r="F101" s="785"/>
      <c r="G101" s="785"/>
      <c r="H101" s="782">
        <f t="shared" si="18"/>
        <v>0</v>
      </c>
    </row>
    <row r="102" spans="1:8" ht="25.5">
      <c r="A102" s="780" t="s">
        <v>438</v>
      </c>
      <c r="B102" s="785"/>
      <c r="C102" s="785"/>
      <c r="D102" s="785"/>
      <c r="E102" s="785"/>
      <c r="F102" s="785"/>
      <c r="G102" s="785"/>
      <c r="H102" s="782">
        <f t="shared" si="18"/>
        <v>0</v>
      </c>
    </row>
    <row r="103" spans="1:8" ht="25.5">
      <c r="A103" s="780" t="s">
        <v>439</v>
      </c>
      <c r="B103" s="785">
        <v>230826053</v>
      </c>
      <c r="C103" s="785"/>
      <c r="D103" s="785"/>
      <c r="E103" s="785"/>
      <c r="F103" s="785"/>
      <c r="G103" s="785"/>
      <c r="H103" s="782">
        <f t="shared" si="18"/>
        <v>230826053</v>
      </c>
    </row>
    <row r="104" spans="1:8" ht="12.75">
      <c r="A104" s="780" t="s">
        <v>440</v>
      </c>
      <c r="B104" s="785">
        <f aca="true" t="shared" si="22" ref="B104:G104">SUM(B105:B114)</f>
        <v>57866584</v>
      </c>
      <c r="C104" s="785">
        <f t="shared" si="22"/>
        <v>0</v>
      </c>
      <c r="D104" s="785">
        <f t="shared" si="22"/>
        <v>4565181</v>
      </c>
      <c r="E104" s="785">
        <f t="shared" si="22"/>
        <v>0</v>
      </c>
      <c r="F104" s="785">
        <f t="shared" si="22"/>
        <v>0</v>
      </c>
      <c r="G104" s="785">
        <f t="shared" si="22"/>
        <v>0</v>
      </c>
      <c r="H104" s="782">
        <f t="shared" si="18"/>
        <v>62431765</v>
      </c>
    </row>
    <row r="105" spans="1:8" ht="12.75">
      <c r="A105" s="780" t="s">
        <v>441</v>
      </c>
      <c r="B105" s="785">
        <v>55849575</v>
      </c>
      <c r="C105" s="785"/>
      <c r="D105" s="785">
        <v>4565181</v>
      </c>
      <c r="E105" s="785"/>
      <c r="F105" s="785"/>
      <c r="G105" s="785"/>
      <c r="H105" s="782">
        <f t="shared" si="18"/>
        <v>60414756</v>
      </c>
    </row>
    <row r="106" spans="1:8" ht="12.75">
      <c r="A106" s="780" t="s">
        <v>442</v>
      </c>
      <c r="B106" s="785"/>
      <c r="C106" s="785"/>
      <c r="D106" s="785"/>
      <c r="E106" s="785"/>
      <c r="F106" s="785"/>
      <c r="G106" s="785"/>
      <c r="H106" s="782">
        <f t="shared" si="18"/>
        <v>0</v>
      </c>
    </row>
    <row r="107" spans="1:8" ht="12.75">
      <c r="A107" s="780" t="s">
        <v>443</v>
      </c>
      <c r="B107" s="785">
        <v>1736968</v>
      </c>
      <c r="C107" s="785"/>
      <c r="D107" s="785"/>
      <c r="E107" s="785"/>
      <c r="F107" s="785"/>
      <c r="G107" s="785"/>
      <c r="H107" s="782">
        <f t="shared" si="18"/>
        <v>1736968</v>
      </c>
    </row>
    <row r="108" spans="1:8" ht="12.75">
      <c r="A108" s="780" t="s">
        <v>444</v>
      </c>
      <c r="B108" s="785"/>
      <c r="C108" s="785"/>
      <c r="D108" s="785"/>
      <c r="E108" s="785"/>
      <c r="F108" s="785"/>
      <c r="G108" s="785"/>
      <c r="H108" s="782">
        <f t="shared" si="18"/>
        <v>0</v>
      </c>
    </row>
    <row r="109" spans="1:8" ht="25.5">
      <c r="A109" s="780" t="s">
        <v>830</v>
      </c>
      <c r="B109" s="785"/>
      <c r="C109" s="785"/>
      <c r="D109" s="785"/>
      <c r="E109" s="785"/>
      <c r="F109" s="785"/>
      <c r="G109" s="785"/>
      <c r="H109" s="782">
        <f t="shared" si="18"/>
        <v>0</v>
      </c>
    </row>
    <row r="110" spans="1:8" ht="25.5">
      <c r="A110" s="780" t="s">
        <v>445</v>
      </c>
      <c r="B110" s="785"/>
      <c r="C110" s="785"/>
      <c r="D110" s="785"/>
      <c r="E110" s="785"/>
      <c r="F110" s="785"/>
      <c r="G110" s="785"/>
      <c r="H110" s="782">
        <f t="shared" si="18"/>
        <v>0</v>
      </c>
    </row>
    <row r="111" spans="1:8" ht="25.5">
      <c r="A111" s="780" t="s">
        <v>446</v>
      </c>
      <c r="B111" s="785"/>
      <c r="C111" s="785"/>
      <c r="D111" s="785"/>
      <c r="E111" s="785"/>
      <c r="F111" s="785"/>
      <c r="G111" s="785"/>
      <c r="H111" s="782">
        <f t="shared" si="18"/>
        <v>0</v>
      </c>
    </row>
    <row r="112" spans="1:8" ht="19.5" customHeight="1">
      <c r="A112" s="780" t="s">
        <v>447</v>
      </c>
      <c r="B112" s="785">
        <v>280041</v>
      </c>
      <c r="C112" s="785"/>
      <c r="D112" s="785"/>
      <c r="E112" s="785"/>
      <c r="F112" s="785"/>
      <c r="G112" s="785"/>
      <c r="H112" s="782">
        <f t="shared" si="18"/>
        <v>280041</v>
      </c>
    </row>
    <row r="113" spans="1:8" ht="12.75">
      <c r="A113" s="780" t="s">
        <v>448</v>
      </c>
      <c r="B113" s="785"/>
      <c r="C113" s="785"/>
      <c r="D113" s="785"/>
      <c r="E113" s="785"/>
      <c r="F113" s="785"/>
      <c r="G113" s="785"/>
      <c r="H113" s="782">
        <f t="shared" si="18"/>
        <v>0</v>
      </c>
    </row>
    <row r="114" spans="1:8" ht="12.75">
      <c r="A114" s="780" t="s">
        <v>449</v>
      </c>
      <c r="B114" s="785"/>
      <c r="C114" s="785"/>
      <c r="D114" s="785"/>
      <c r="E114" s="785"/>
      <c r="F114" s="785"/>
      <c r="G114" s="785"/>
      <c r="H114" s="782">
        <f t="shared" si="18"/>
        <v>0</v>
      </c>
    </row>
    <row r="115" spans="1:8" ht="12.75">
      <c r="A115" s="764" t="s">
        <v>1024</v>
      </c>
      <c r="B115" s="782">
        <v>0</v>
      </c>
      <c r="C115" s="782">
        <v>0</v>
      </c>
      <c r="D115" s="782">
        <v>0</v>
      </c>
      <c r="E115" s="782">
        <v>0</v>
      </c>
      <c r="F115" s="782">
        <v>0</v>
      </c>
      <c r="G115" s="782">
        <v>0</v>
      </c>
      <c r="H115" s="782">
        <f t="shared" si="18"/>
        <v>0</v>
      </c>
    </row>
    <row r="116" spans="1:8" ht="12.75">
      <c r="A116" s="781" t="s">
        <v>1025</v>
      </c>
      <c r="B116" s="782">
        <f aca="true" t="shared" si="23" ref="B116:G116">SUM(B117:B119)</f>
        <v>11058625</v>
      </c>
      <c r="C116" s="782">
        <f t="shared" si="23"/>
        <v>14699674</v>
      </c>
      <c r="D116" s="782">
        <f t="shared" si="23"/>
        <v>16841709</v>
      </c>
      <c r="E116" s="782">
        <f t="shared" si="23"/>
        <v>18807796</v>
      </c>
      <c r="F116" s="782">
        <f t="shared" si="23"/>
        <v>2147740</v>
      </c>
      <c r="G116" s="782">
        <f t="shared" si="23"/>
        <v>1463963</v>
      </c>
      <c r="H116" s="782">
        <f t="shared" si="18"/>
        <v>65019507</v>
      </c>
    </row>
    <row r="117" spans="1:8" ht="12.75">
      <c r="A117" s="778" t="s">
        <v>450</v>
      </c>
      <c r="B117" s="785"/>
      <c r="C117" s="785"/>
      <c r="D117" s="785"/>
      <c r="E117" s="785"/>
      <c r="F117" s="785"/>
      <c r="G117" s="785"/>
      <c r="H117" s="782">
        <f t="shared" si="18"/>
        <v>0</v>
      </c>
    </row>
    <row r="118" spans="1:8" ht="12.75">
      <c r="A118" s="778" t="s">
        <v>451</v>
      </c>
      <c r="B118" s="785">
        <v>11058625</v>
      </c>
      <c r="C118" s="785">
        <v>14699674</v>
      </c>
      <c r="D118" s="785">
        <v>16841709</v>
      </c>
      <c r="E118" s="785">
        <v>18807796</v>
      </c>
      <c r="F118" s="785">
        <v>2147740</v>
      </c>
      <c r="G118" s="785">
        <v>1463963</v>
      </c>
      <c r="H118" s="782">
        <f t="shared" si="18"/>
        <v>65019507</v>
      </c>
    </row>
    <row r="119" spans="1:8" ht="12.75">
      <c r="A119" s="778" t="s">
        <v>452</v>
      </c>
      <c r="B119" s="785"/>
      <c r="C119" s="785"/>
      <c r="D119" s="785"/>
      <c r="E119" s="785"/>
      <c r="F119" s="785"/>
      <c r="G119" s="785"/>
      <c r="H119" s="782">
        <f t="shared" si="18"/>
        <v>0</v>
      </c>
    </row>
    <row r="120" spans="1:8" s="934" customFormat="1" ht="15">
      <c r="A120" s="931" t="s">
        <v>453</v>
      </c>
      <c r="B120" s="932">
        <f aca="true" t="shared" si="24" ref="B120:G120">B76+B83+B115+B116</f>
        <v>14030642854</v>
      </c>
      <c r="C120" s="932">
        <f t="shared" si="24"/>
        <v>25965390</v>
      </c>
      <c r="D120" s="932">
        <f t="shared" si="24"/>
        <v>51327046</v>
      </c>
      <c r="E120" s="932">
        <f t="shared" si="24"/>
        <v>1722076</v>
      </c>
      <c r="F120" s="932">
        <f t="shared" si="24"/>
        <v>2520981</v>
      </c>
      <c r="G120" s="932">
        <f t="shared" si="24"/>
        <v>7466038</v>
      </c>
      <c r="H120" s="933">
        <f t="shared" si="18"/>
        <v>14119644385</v>
      </c>
    </row>
  </sheetData>
  <sheetProtection/>
  <mergeCells count="9">
    <mergeCell ref="A1:H1"/>
    <mergeCell ref="A3:A6"/>
    <mergeCell ref="B3:B6"/>
    <mergeCell ref="H3:H6"/>
    <mergeCell ref="C3:C6"/>
    <mergeCell ref="D3:D6"/>
    <mergeCell ref="E3:E6"/>
    <mergeCell ref="F3:F6"/>
    <mergeCell ref="G3:G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2"/>
  <rowBreaks count="3" manualBreakCount="3">
    <brk id="39" max="255" man="1"/>
    <brk id="65" max="255" man="1"/>
    <brk id="9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51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74.125" style="948" customWidth="1"/>
    <col min="2" max="2" width="12.875" style="948" customWidth="1"/>
    <col min="3" max="3" width="15.875" style="948" customWidth="1"/>
    <col min="4" max="5" width="9.25390625" style="751" customWidth="1"/>
    <col min="6" max="6" width="6.125" style="751" customWidth="1"/>
    <col min="7" max="7" width="9.375" style="751" customWidth="1"/>
    <col min="8" max="8" width="8.875" style="751" customWidth="1"/>
    <col min="9" max="9" width="6.375" style="751" customWidth="1"/>
    <col min="10" max="10" width="9.00390625" style="751" customWidth="1"/>
    <col min="11" max="16384" width="9.125" style="751" customWidth="1"/>
  </cols>
  <sheetData>
    <row r="1" spans="1:3" ht="12" customHeight="1">
      <c r="A1" s="1957" t="s">
        <v>1107</v>
      </c>
      <c r="B1" s="1957"/>
      <c r="C1" s="1957"/>
    </row>
    <row r="2" spans="2:3" ht="17.25" customHeight="1">
      <c r="B2" s="1796"/>
      <c r="C2" s="1796"/>
    </row>
    <row r="3" spans="2:3" ht="21.75" customHeight="1">
      <c r="B3" s="949"/>
      <c r="C3" s="949" t="s">
        <v>1091</v>
      </c>
    </row>
    <row r="4" spans="1:10" s="755" customFormat="1" ht="7.5" customHeight="1">
      <c r="A4" s="1797" t="s">
        <v>601</v>
      </c>
      <c r="B4" s="1798" t="s">
        <v>599</v>
      </c>
      <c r="C4" s="1798" t="s">
        <v>600</v>
      </c>
      <c r="D4" s="753"/>
      <c r="E4" s="754"/>
      <c r="F4" s="754"/>
      <c r="G4" s="754"/>
      <c r="H4" s="754"/>
      <c r="I4" s="754"/>
      <c r="J4" s="754"/>
    </row>
    <row r="5" spans="1:10" s="755" customFormat="1" ht="12" customHeight="1">
      <c r="A5" s="1797"/>
      <c r="B5" s="1798"/>
      <c r="C5" s="1798"/>
      <c r="D5" s="756"/>
      <c r="E5" s="754"/>
      <c r="F5" s="754"/>
      <c r="G5" s="754"/>
      <c r="H5" s="754"/>
      <c r="I5" s="754"/>
      <c r="J5" s="754"/>
    </row>
    <row r="6" spans="1:10" s="755" customFormat="1" ht="12" customHeight="1">
      <c r="A6" s="1797"/>
      <c r="B6" s="1798"/>
      <c r="C6" s="1798"/>
      <c r="D6" s="756"/>
      <c r="E6" s="754"/>
      <c r="F6" s="754"/>
      <c r="G6" s="754"/>
      <c r="H6" s="754"/>
      <c r="I6" s="754"/>
      <c r="J6" s="754"/>
    </row>
    <row r="7" spans="1:10" s="755" customFormat="1" ht="5.25" customHeight="1">
      <c r="A7" s="1797"/>
      <c r="B7" s="1798"/>
      <c r="C7" s="1798"/>
      <c r="D7" s="753"/>
      <c r="E7" s="754"/>
      <c r="F7" s="754"/>
      <c r="G7" s="754"/>
      <c r="H7" s="754"/>
      <c r="I7" s="754"/>
      <c r="J7" s="754"/>
    </row>
    <row r="8" spans="1:9" s="755" customFormat="1" ht="7.5" customHeight="1">
      <c r="A8" s="959"/>
      <c r="B8" s="960"/>
      <c r="C8" s="960"/>
      <c r="I8" s="753"/>
    </row>
    <row r="9" spans="1:9" s="755" customFormat="1" ht="12" customHeight="1">
      <c r="A9" s="961" t="s">
        <v>602</v>
      </c>
      <c r="B9" s="962">
        <f>B10+B17</f>
        <v>12634103</v>
      </c>
      <c r="C9" s="962">
        <f>C10+C17</f>
        <v>12490793</v>
      </c>
      <c r="I9" s="753"/>
    </row>
    <row r="10" spans="1:10" s="755" customFormat="1" ht="12" customHeight="1">
      <c r="A10" s="963" t="s">
        <v>603</v>
      </c>
      <c r="B10" s="964">
        <f>SUM(B11:B14)</f>
        <v>4876759</v>
      </c>
      <c r="C10" s="964">
        <f>SUM(C11:C14)</f>
        <v>4859082</v>
      </c>
      <c r="D10" s="754"/>
      <c r="E10" s="758"/>
      <c r="F10" s="758"/>
      <c r="G10" s="758"/>
      <c r="H10" s="758"/>
      <c r="I10" s="758"/>
      <c r="J10" s="758"/>
    </row>
    <row r="11" spans="1:10" s="755" customFormat="1" ht="12" customHeight="1">
      <c r="A11" s="963" t="s">
        <v>604</v>
      </c>
      <c r="B11" s="965">
        <v>2970191</v>
      </c>
      <c r="C11" s="965">
        <v>3993000</v>
      </c>
      <c r="D11" s="754"/>
      <c r="E11" s="758"/>
      <c r="F11" s="758"/>
      <c r="G11" s="758"/>
      <c r="H11" s="758"/>
      <c r="I11" s="758"/>
      <c r="J11" s="758"/>
    </row>
    <row r="12" spans="1:10" s="755" customFormat="1" ht="12" customHeight="1">
      <c r="A12" s="963" t="s">
        <v>605</v>
      </c>
      <c r="B12" s="965">
        <v>730584</v>
      </c>
      <c r="C12" s="965">
        <v>772227</v>
      </c>
      <c r="D12" s="754"/>
      <c r="E12" s="758"/>
      <c r="F12" s="758"/>
      <c r="G12" s="758"/>
      <c r="H12" s="758"/>
      <c r="I12" s="758"/>
      <c r="J12" s="758"/>
    </row>
    <row r="13" spans="1:3" s="755" customFormat="1" ht="12" customHeight="1">
      <c r="A13" s="963" t="s">
        <v>606</v>
      </c>
      <c r="B13" s="966">
        <v>702701</v>
      </c>
      <c r="C13" s="966">
        <v>0</v>
      </c>
    </row>
    <row r="14" spans="1:3" s="755" customFormat="1" ht="12" customHeight="1">
      <c r="A14" s="963" t="s">
        <v>607</v>
      </c>
      <c r="B14" s="966">
        <v>473283</v>
      </c>
      <c r="C14" s="966">
        <v>93855</v>
      </c>
    </row>
    <row r="15" spans="1:3" s="755" customFormat="1" ht="12" customHeight="1">
      <c r="A15" s="963" t="s">
        <v>608</v>
      </c>
      <c r="B15" s="966"/>
      <c r="C15" s="966"/>
    </row>
    <row r="16" spans="1:10" s="755" customFormat="1" ht="12" customHeight="1">
      <c r="A16" s="963" t="s">
        <v>609</v>
      </c>
      <c r="B16" s="965"/>
      <c r="C16" s="965"/>
      <c r="D16" s="754"/>
      <c r="E16" s="758"/>
      <c r="F16" s="758"/>
      <c r="G16" s="758"/>
      <c r="H16" s="758"/>
      <c r="I16" s="758"/>
      <c r="J16" s="758"/>
    </row>
    <row r="17" spans="1:10" s="755" customFormat="1" ht="12" customHeight="1">
      <c r="A17" s="963" t="s">
        <v>610</v>
      </c>
      <c r="B17" s="964">
        <f>SUM(B18:B24)</f>
        <v>7757344</v>
      </c>
      <c r="C17" s="964">
        <f>SUM(C18:C24)</f>
        <v>7631711</v>
      </c>
      <c r="D17" s="754"/>
      <c r="E17" s="758"/>
      <c r="F17" s="758"/>
      <c r="G17" s="758"/>
      <c r="H17" s="758"/>
      <c r="I17" s="758"/>
      <c r="J17" s="758"/>
    </row>
    <row r="18" spans="1:10" s="755" customFormat="1" ht="12" customHeight="1">
      <c r="A18" s="963" t="s">
        <v>611</v>
      </c>
      <c r="B18" s="965">
        <v>4300954</v>
      </c>
      <c r="C18" s="965">
        <v>5291739</v>
      </c>
      <c r="D18" s="754"/>
      <c r="E18" s="758"/>
      <c r="F18" s="758"/>
      <c r="G18" s="758"/>
      <c r="H18" s="758"/>
      <c r="I18" s="758"/>
      <c r="J18" s="758"/>
    </row>
    <row r="19" spans="1:10" s="755" customFormat="1" ht="12" customHeight="1">
      <c r="A19" s="963" t="s">
        <v>612</v>
      </c>
      <c r="B19" s="965">
        <v>59490</v>
      </c>
      <c r="C19" s="965">
        <v>38433</v>
      </c>
      <c r="D19" s="754"/>
      <c r="E19" s="758"/>
      <c r="F19" s="758"/>
      <c r="G19" s="758"/>
      <c r="H19" s="758"/>
      <c r="I19" s="758"/>
      <c r="J19" s="758"/>
    </row>
    <row r="20" spans="1:3" s="755" customFormat="1" ht="12" customHeight="1">
      <c r="A20" s="963" t="s">
        <v>613</v>
      </c>
      <c r="B20" s="966">
        <v>236771</v>
      </c>
      <c r="C20" s="966">
        <v>178443</v>
      </c>
    </row>
    <row r="21" spans="1:3" s="755" customFormat="1" ht="12" customHeight="1">
      <c r="A21" s="963" t="s">
        <v>614</v>
      </c>
      <c r="B21" s="966">
        <v>11565</v>
      </c>
      <c r="C21" s="966">
        <v>11865</v>
      </c>
    </row>
    <row r="22" spans="1:3" s="755" customFormat="1" ht="12" customHeight="1">
      <c r="A22" s="963" t="s">
        <v>615</v>
      </c>
      <c r="B22" s="966">
        <v>3148564</v>
      </c>
      <c r="C22" s="966">
        <v>2111231</v>
      </c>
    </row>
    <row r="23" spans="1:10" s="755" customFormat="1" ht="12" customHeight="1">
      <c r="A23" s="967" t="s">
        <v>616</v>
      </c>
      <c r="B23" s="965"/>
      <c r="C23" s="965"/>
      <c r="D23" s="754"/>
      <c r="E23" s="758"/>
      <c r="F23" s="758"/>
      <c r="G23" s="758"/>
      <c r="H23" s="758"/>
      <c r="I23" s="758"/>
      <c r="J23" s="758"/>
    </row>
    <row r="24" spans="1:10" s="755" customFormat="1" ht="29.25" customHeight="1">
      <c r="A24" s="967" t="s">
        <v>617</v>
      </c>
      <c r="B24" s="965"/>
      <c r="C24" s="965"/>
      <c r="D24" s="754"/>
      <c r="E24" s="758"/>
      <c r="F24" s="758"/>
      <c r="G24" s="758"/>
      <c r="H24" s="758"/>
      <c r="I24" s="758"/>
      <c r="J24" s="758"/>
    </row>
    <row r="25" spans="1:3" s="755" customFormat="1" ht="12" customHeight="1">
      <c r="A25" s="968" t="s">
        <v>618</v>
      </c>
      <c r="B25" s="969">
        <f>SUM(B26:B27)</f>
        <v>545052</v>
      </c>
      <c r="C25" s="969">
        <f>SUM(C26:C27)</f>
        <v>495632</v>
      </c>
    </row>
    <row r="26" spans="1:3" s="755" customFormat="1" ht="12" customHeight="1">
      <c r="A26" s="970" t="s">
        <v>619</v>
      </c>
      <c r="B26" s="966">
        <v>545052</v>
      </c>
      <c r="C26" s="966">
        <v>495632</v>
      </c>
    </row>
    <row r="27" spans="1:10" s="755" customFormat="1" ht="12" customHeight="1">
      <c r="A27" s="970" t="s">
        <v>620</v>
      </c>
      <c r="B27" s="965"/>
      <c r="C27" s="965"/>
      <c r="D27" s="754"/>
      <c r="E27" s="758"/>
      <c r="F27" s="758"/>
      <c r="G27" s="758"/>
      <c r="H27" s="758"/>
      <c r="I27" s="758"/>
      <c r="J27" s="758"/>
    </row>
    <row r="28" spans="1:10" s="755" customFormat="1" ht="12" customHeight="1">
      <c r="A28" s="961" t="s">
        <v>2</v>
      </c>
      <c r="B28" s="962">
        <f>B9+B25</f>
        <v>13179155</v>
      </c>
      <c r="C28" s="962">
        <f>C9+C25</f>
        <v>12986425</v>
      </c>
      <c r="D28" s="761"/>
      <c r="E28" s="762"/>
      <c r="F28" s="762"/>
      <c r="G28" s="762"/>
      <c r="H28" s="762"/>
      <c r="I28" s="762"/>
      <c r="J28" s="762"/>
    </row>
    <row r="29" spans="1:2" ht="12" customHeight="1">
      <c r="A29" s="1799" t="s">
        <v>621</v>
      </c>
      <c r="B29" s="1799"/>
    </row>
    <row r="30" spans="1:3" ht="12" customHeight="1">
      <c r="A30" s="950"/>
      <c r="C30" s="949" t="s">
        <v>508</v>
      </c>
    </row>
    <row r="31" spans="1:10" s="755" customFormat="1" ht="12" customHeight="1">
      <c r="A31" s="1797" t="s">
        <v>622</v>
      </c>
      <c r="B31" s="1798" t="s">
        <v>599</v>
      </c>
      <c r="C31" s="1798" t="s">
        <v>600</v>
      </c>
      <c r="D31" s="753"/>
      <c r="E31" s="754"/>
      <c r="F31" s="754"/>
      <c r="G31" s="754"/>
      <c r="H31" s="754"/>
      <c r="I31" s="754"/>
      <c r="J31" s="754"/>
    </row>
    <row r="32" spans="1:10" s="755" customFormat="1" ht="12" customHeight="1">
      <c r="A32" s="1797"/>
      <c r="B32" s="1798"/>
      <c r="C32" s="1798"/>
      <c r="D32" s="756"/>
      <c r="E32" s="754"/>
      <c r="F32" s="754"/>
      <c r="G32" s="754"/>
      <c r="H32" s="754"/>
      <c r="I32" s="754"/>
      <c r="J32" s="754"/>
    </row>
    <row r="33" spans="1:10" s="755" customFormat="1" ht="12" customHeight="1">
      <c r="A33" s="1797"/>
      <c r="B33" s="1798"/>
      <c r="C33" s="1798"/>
      <c r="D33" s="756"/>
      <c r="E33" s="754"/>
      <c r="F33" s="754"/>
      <c r="G33" s="754"/>
      <c r="H33" s="754"/>
      <c r="I33" s="754"/>
      <c r="J33" s="754"/>
    </row>
    <row r="34" spans="1:10" s="755" customFormat="1" ht="12" customHeight="1">
      <c r="A34" s="1797"/>
      <c r="B34" s="1798"/>
      <c r="C34" s="1798"/>
      <c r="D34" s="753"/>
      <c r="E34" s="754"/>
      <c r="F34" s="754"/>
      <c r="G34" s="754"/>
      <c r="H34" s="754"/>
      <c r="I34" s="754"/>
      <c r="J34" s="754"/>
    </row>
    <row r="35" spans="1:10" s="755" customFormat="1" ht="29.25" customHeight="1">
      <c r="A35" s="970" t="s">
        <v>623</v>
      </c>
      <c r="B35" s="965">
        <v>393926144</v>
      </c>
      <c r="C35" s="965">
        <v>409439940</v>
      </c>
      <c r="D35" s="754"/>
      <c r="E35" s="758"/>
      <c r="F35" s="758"/>
      <c r="G35" s="758"/>
      <c r="H35" s="758"/>
      <c r="I35" s="758"/>
      <c r="J35" s="758"/>
    </row>
    <row r="36" spans="1:10" s="755" customFormat="1" ht="63" customHeight="1">
      <c r="A36" s="970" t="s">
        <v>624</v>
      </c>
      <c r="B36" s="965"/>
      <c r="C36" s="965"/>
      <c r="D36" s="754"/>
      <c r="E36" s="758"/>
      <c r="F36" s="758"/>
      <c r="G36" s="758"/>
      <c r="H36" s="758"/>
      <c r="I36" s="758"/>
      <c r="J36" s="758"/>
    </row>
    <row r="37" spans="1:10" s="755" customFormat="1" ht="49.5" customHeight="1">
      <c r="A37" s="970" t="s">
        <v>625</v>
      </c>
      <c r="B37" s="965"/>
      <c r="C37" s="965"/>
      <c r="D37" s="754"/>
      <c r="E37" s="758"/>
      <c r="F37" s="758"/>
      <c r="G37" s="758"/>
      <c r="H37" s="758"/>
      <c r="I37" s="758"/>
      <c r="J37" s="758"/>
    </row>
    <row r="38" spans="1:10" s="755" customFormat="1" ht="12" customHeight="1">
      <c r="A38" s="951"/>
      <c r="B38" s="952"/>
      <c r="C38" s="952"/>
      <c r="D38" s="754"/>
      <c r="E38" s="758"/>
      <c r="F38" s="758"/>
      <c r="G38" s="758"/>
      <c r="H38" s="758"/>
      <c r="I38" s="758"/>
      <c r="J38" s="758"/>
    </row>
    <row r="39" spans="1:3" ht="12" customHeight="1">
      <c r="A39" s="1794" t="s">
        <v>626</v>
      </c>
      <c r="B39" s="1794"/>
      <c r="C39" s="1794"/>
    </row>
    <row r="40" spans="1:3" ht="12" customHeight="1">
      <c r="A40" s="1795" t="s">
        <v>627</v>
      </c>
      <c r="B40" s="1795"/>
      <c r="C40" s="1795"/>
    </row>
    <row r="41" spans="1:3" ht="15">
      <c r="A41" s="950"/>
      <c r="C41" s="949" t="s">
        <v>508</v>
      </c>
    </row>
    <row r="42" spans="1:10" s="953" customFormat="1" ht="14.25">
      <c r="A42" s="956" t="s">
        <v>853</v>
      </c>
      <c r="B42" s="957" t="s">
        <v>628</v>
      </c>
      <c r="C42" s="957" t="s">
        <v>629</v>
      </c>
      <c r="D42" s="954"/>
      <c r="E42" s="954"/>
      <c r="F42" s="954"/>
      <c r="G42" s="954"/>
      <c r="H42" s="954"/>
      <c r="I42" s="954"/>
      <c r="J42" s="954"/>
    </row>
    <row r="43" spans="1:10" s="953" customFormat="1" ht="14.25">
      <c r="A43" s="1077" t="s">
        <v>658</v>
      </c>
      <c r="B43" s="1947">
        <f>B44</f>
        <v>396500</v>
      </c>
      <c r="C43" s="1947">
        <f>C44</f>
        <v>0</v>
      </c>
      <c r="D43" s="954"/>
      <c r="E43" s="954"/>
      <c r="F43" s="954"/>
      <c r="G43" s="954"/>
      <c r="H43" s="954"/>
      <c r="I43" s="954"/>
      <c r="J43" s="954"/>
    </row>
    <row r="44" spans="1:3" s="1073" customFormat="1" ht="15">
      <c r="A44" s="1074" t="s">
        <v>693</v>
      </c>
      <c r="B44" s="1948">
        <v>396500</v>
      </c>
      <c r="C44" s="1948">
        <v>0</v>
      </c>
    </row>
    <row r="45" spans="1:3" s="954" customFormat="1" ht="14.25">
      <c r="A45" s="1075" t="s">
        <v>689</v>
      </c>
      <c r="B45" s="1947">
        <f>SUM(B46:B50)</f>
        <v>11646916</v>
      </c>
      <c r="C45" s="1947">
        <v>0</v>
      </c>
    </row>
    <row r="46" spans="1:3" ht="15">
      <c r="A46" s="1076" t="s">
        <v>690</v>
      </c>
      <c r="B46" s="1949">
        <v>1977255</v>
      </c>
      <c r="C46" s="1948">
        <v>0</v>
      </c>
    </row>
    <row r="47" spans="1:3" ht="15">
      <c r="A47" s="1076" t="s">
        <v>691</v>
      </c>
      <c r="B47" s="1949">
        <v>756033</v>
      </c>
      <c r="C47" s="1948">
        <v>0</v>
      </c>
    </row>
    <row r="48" spans="1:3" ht="15">
      <c r="A48" s="1076" t="s">
        <v>1089</v>
      </c>
      <c r="B48" s="1949">
        <v>744645</v>
      </c>
      <c r="C48" s="1948">
        <v>0</v>
      </c>
    </row>
    <row r="49" spans="1:3" ht="15">
      <c r="A49" s="1076" t="s">
        <v>1090</v>
      </c>
      <c r="B49" s="1949">
        <v>4680642</v>
      </c>
      <c r="C49" s="1948">
        <v>0</v>
      </c>
    </row>
    <row r="50" spans="1:3" ht="15">
      <c r="A50" s="1076" t="s">
        <v>692</v>
      </c>
      <c r="B50" s="1949">
        <v>3488341</v>
      </c>
      <c r="C50" s="1948">
        <v>0</v>
      </c>
    </row>
    <row r="51" spans="1:3" ht="14.25">
      <c r="A51" s="958" t="s">
        <v>694</v>
      </c>
      <c r="B51" s="1947">
        <f>B45+B43</f>
        <v>12043416</v>
      </c>
      <c r="C51" s="1947">
        <f>C45+C43</f>
        <v>0</v>
      </c>
    </row>
  </sheetData>
  <sheetProtection/>
  <mergeCells count="11">
    <mergeCell ref="A1:C1"/>
    <mergeCell ref="A39:C39"/>
    <mergeCell ref="A40:C40"/>
    <mergeCell ref="B2:C2"/>
    <mergeCell ref="A4:A7"/>
    <mergeCell ref="B4:B7"/>
    <mergeCell ref="C4:C7"/>
    <mergeCell ref="A29:B29"/>
    <mergeCell ref="A31:A34"/>
    <mergeCell ref="B31:B34"/>
    <mergeCell ref="C31:C3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BL58"/>
  <sheetViews>
    <sheetView view="pageBreakPreview" zoomScaleSheetLayoutView="100" zoomScalePageLayoutView="0" workbookViewId="0" topLeftCell="A1">
      <selection activeCell="AS1" sqref="AS1:BI1"/>
    </sheetView>
  </sheetViews>
  <sheetFormatPr defaultColWidth="11.375" defaultRowHeight="12.75"/>
  <cols>
    <col min="1" max="25" width="2.75390625" style="971" customWidth="1"/>
    <col min="26" max="26" width="1.75390625" style="971" customWidth="1"/>
    <col min="27" max="44" width="2.75390625" style="1061" customWidth="1"/>
    <col min="45" max="45" width="2.875" style="1061" customWidth="1"/>
    <col min="46" max="56" width="2.75390625" style="1061" customWidth="1"/>
    <col min="57" max="60" width="2.75390625" style="975" customWidth="1"/>
    <col min="61" max="61" width="4.00390625" style="975" customWidth="1"/>
    <col min="62" max="79" width="2.75390625" style="971" customWidth="1"/>
    <col min="80" max="16384" width="11.375" style="971" customWidth="1"/>
  </cols>
  <sheetData>
    <row r="1" spans="45:61" ht="57" customHeight="1">
      <c r="AS1" s="1963" t="s">
        <v>1108</v>
      </c>
      <c r="AT1" s="1963"/>
      <c r="AU1" s="1963"/>
      <c r="AV1" s="1963"/>
      <c r="AW1" s="1963"/>
      <c r="AX1" s="1963"/>
      <c r="AY1" s="1963"/>
      <c r="AZ1" s="1963"/>
      <c r="BA1" s="1963"/>
      <c r="BB1" s="1963"/>
      <c r="BC1" s="1963"/>
      <c r="BD1" s="1963"/>
      <c r="BE1" s="1963"/>
      <c r="BF1" s="1963"/>
      <c r="BG1" s="1963"/>
      <c r="BH1" s="1963"/>
      <c r="BI1" s="1963"/>
    </row>
    <row r="2" spans="1:62" s="973" customFormat="1" ht="12.75" customHeight="1">
      <c r="A2" s="1831"/>
      <c r="B2" s="1832"/>
      <c r="C2" s="1832"/>
      <c r="D2" s="1832"/>
      <c r="E2" s="1832"/>
      <c r="F2" s="1832"/>
      <c r="G2" s="1832"/>
      <c r="H2" s="1832"/>
      <c r="I2" s="1832"/>
      <c r="J2" s="1832"/>
      <c r="K2" s="1832"/>
      <c r="L2" s="1832"/>
      <c r="M2" s="1832"/>
      <c r="N2" s="1832"/>
      <c r="O2" s="1832"/>
      <c r="P2" s="1832"/>
      <c r="Q2" s="1832"/>
      <c r="R2" s="1832"/>
      <c r="S2" s="1832"/>
      <c r="T2" s="1832"/>
      <c r="U2" s="1832"/>
      <c r="V2" s="1832"/>
      <c r="W2" s="1832"/>
      <c r="X2" s="1832"/>
      <c r="Y2" s="1832"/>
      <c r="Z2" s="1832"/>
      <c r="AA2" s="1832"/>
      <c r="AB2" s="1832"/>
      <c r="AC2" s="1832"/>
      <c r="AD2" s="1832"/>
      <c r="AE2" s="1832"/>
      <c r="AF2" s="1832"/>
      <c r="AG2" s="1832"/>
      <c r="AH2" s="1832"/>
      <c r="AI2" s="1832"/>
      <c r="AJ2" s="1832"/>
      <c r="AK2" s="1832"/>
      <c r="AL2" s="1832"/>
      <c r="AM2" s="1832"/>
      <c r="AN2" s="1832"/>
      <c r="AO2" s="1832"/>
      <c r="AP2" s="1832"/>
      <c r="AQ2" s="1832"/>
      <c r="AR2" s="1832"/>
      <c r="AS2" s="1832"/>
      <c r="AT2" s="1832"/>
      <c r="AU2" s="1832"/>
      <c r="AV2" s="1832"/>
      <c r="AW2" s="1832"/>
      <c r="AX2" s="1832"/>
      <c r="AY2" s="1832"/>
      <c r="AZ2" s="1832"/>
      <c r="BA2" s="1832"/>
      <c r="BB2" s="1832"/>
      <c r="BC2" s="1832"/>
      <c r="BD2" s="1832"/>
      <c r="BE2" s="1832"/>
      <c r="BF2" s="1832"/>
      <c r="BG2" s="1832"/>
      <c r="BH2" s="1832"/>
      <c r="BI2" s="1832"/>
      <c r="BJ2" s="974"/>
    </row>
    <row r="3" spans="1:61" ht="12.75" customHeight="1">
      <c r="A3" s="1833" t="s">
        <v>508</v>
      </c>
      <c r="B3" s="1834"/>
      <c r="C3" s="1834"/>
      <c r="D3" s="1834"/>
      <c r="E3" s="1834"/>
      <c r="F3" s="1834"/>
      <c r="G3" s="1834"/>
      <c r="H3" s="1834"/>
      <c r="I3" s="1834"/>
      <c r="J3" s="1834"/>
      <c r="K3" s="1834"/>
      <c r="L3" s="1834"/>
      <c r="M3" s="1834"/>
      <c r="N3" s="1834"/>
      <c r="O3" s="1834"/>
      <c r="P3" s="1834"/>
      <c r="Q3" s="1834"/>
      <c r="R3" s="1834"/>
      <c r="S3" s="1834"/>
      <c r="T3" s="1834"/>
      <c r="U3" s="1834"/>
      <c r="V3" s="1834"/>
      <c r="W3" s="1834"/>
      <c r="X3" s="1834"/>
      <c r="Y3" s="1834"/>
      <c r="Z3" s="1834"/>
      <c r="AA3" s="1834"/>
      <c r="AB3" s="1834"/>
      <c r="AC3" s="1834"/>
      <c r="AD3" s="1834"/>
      <c r="AE3" s="1834"/>
      <c r="AF3" s="1834"/>
      <c r="AG3" s="1834"/>
      <c r="AH3" s="1834"/>
      <c r="AI3" s="1834"/>
      <c r="AJ3" s="1834"/>
      <c r="AK3" s="1834"/>
      <c r="AL3" s="1834"/>
      <c r="AM3" s="1834"/>
      <c r="AN3" s="1834"/>
      <c r="AO3" s="1834"/>
      <c r="AP3" s="1834"/>
      <c r="AQ3" s="1834"/>
      <c r="AR3" s="1834"/>
      <c r="AS3" s="1834"/>
      <c r="AT3" s="1834"/>
      <c r="AU3" s="1834"/>
      <c r="AV3" s="1834"/>
      <c r="AW3" s="1834"/>
      <c r="AX3" s="1834"/>
      <c r="AY3" s="1834"/>
      <c r="AZ3" s="1834"/>
      <c r="BA3" s="1834"/>
      <c r="BB3" s="1834"/>
      <c r="BC3" s="1834"/>
      <c r="BD3" s="1834"/>
      <c r="BE3" s="1834"/>
      <c r="BF3" s="1834"/>
      <c r="BG3" s="1834"/>
      <c r="BH3" s="1834"/>
      <c r="BI3" s="1835"/>
    </row>
    <row r="4" spans="1:64" ht="64.5" customHeight="1">
      <c r="A4" s="1836" t="s">
        <v>54</v>
      </c>
      <c r="B4" s="1836"/>
      <c r="C4" s="1836" t="s">
        <v>457</v>
      </c>
      <c r="D4" s="1836"/>
      <c r="E4" s="1836"/>
      <c r="F4" s="1836"/>
      <c r="G4" s="1836"/>
      <c r="H4" s="1836"/>
      <c r="I4" s="1836"/>
      <c r="J4" s="1836"/>
      <c r="K4" s="1836"/>
      <c r="L4" s="1836"/>
      <c r="M4" s="1836"/>
      <c r="N4" s="1836"/>
      <c r="O4" s="1836"/>
      <c r="P4" s="1836"/>
      <c r="Q4" s="1836"/>
      <c r="R4" s="1836"/>
      <c r="S4" s="1836"/>
      <c r="T4" s="1836"/>
      <c r="U4" s="1836"/>
      <c r="V4" s="1836"/>
      <c r="W4" s="1836"/>
      <c r="X4" s="1836"/>
      <c r="Y4" s="1836"/>
      <c r="Z4" s="1836"/>
      <c r="AA4" s="1827" t="s">
        <v>658</v>
      </c>
      <c r="AB4" s="1827"/>
      <c r="AC4" s="1827"/>
      <c r="AD4" s="1827"/>
      <c r="AE4" s="1827"/>
      <c r="AF4" s="1827" t="s">
        <v>657</v>
      </c>
      <c r="AG4" s="1827"/>
      <c r="AH4" s="1827"/>
      <c r="AI4" s="1827"/>
      <c r="AJ4" s="1827"/>
      <c r="AK4" s="1827" t="s">
        <v>656</v>
      </c>
      <c r="AL4" s="1827"/>
      <c r="AM4" s="1827"/>
      <c r="AN4" s="1827"/>
      <c r="AO4" s="1827"/>
      <c r="AP4" s="1827" t="s">
        <v>655</v>
      </c>
      <c r="AQ4" s="1827"/>
      <c r="AR4" s="1827"/>
      <c r="AS4" s="1827"/>
      <c r="AT4" s="1827"/>
      <c r="AU4" s="1827" t="s">
        <v>654</v>
      </c>
      <c r="AV4" s="1827"/>
      <c r="AW4" s="1827"/>
      <c r="AX4" s="1827"/>
      <c r="AY4" s="1827"/>
      <c r="AZ4" s="1827" t="s">
        <v>653</v>
      </c>
      <c r="BA4" s="1827"/>
      <c r="BB4" s="1827"/>
      <c r="BC4" s="1827"/>
      <c r="BD4" s="1827"/>
      <c r="BE4" s="1827" t="s">
        <v>865</v>
      </c>
      <c r="BF4" s="1827"/>
      <c r="BG4" s="1827"/>
      <c r="BH4" s="1827"/>
      <c r="BI4" s="1827"/>
      <c r="BJ4" s="1811"/>
      <c r="BK4" s="1811"/>
      <c r="BL4" s="1811"/>
    </row>
    <row r="5" spans="1:64" ht="12.75" customHeight="1">
      <c r="A5" s="1828" t="s">
        <v>311</v>
      </c>
      <c r="B5" s="1828"/>
      <c r="C5" s="1829" t="s">
        <v>652</v>
      </c>
      <c r="D5" s="1830"/>
      <c r="E5" s="1830"/>
      <c r="F5" s="1830"/>
      <c r="G5" s="1830"/>
      <c r="H5" s="1830"/>
      <c r="I5" s="1830"/>
      <c r="J5" s="1830"/>
      <c r="K5" s="1830"/>
      <c r="L5" s="1830"/>
      <c r="M5" s="1830"/>
      <c r="N5" s="1830"/>
      <c r="O5" s="1830"/>
      <c r="P5" s="1830"/>
      <c r="Q5" s="1830"/>
      <c r="R5" s="1830"/>
      <c r="S5" s="1830"/>
      <c r="T5" s="1830"/>
      <c r="U5" s="1830"/>
      <c r="V5" s="1830"/>
      <c r="W5" s="1830"/>
      <c r="X5" s="1830"/>
      <c r="Y5" s="1830"/>
      <c r="Z5" s="1830"/>
      <c r="AA5" s="1802">
        <f>46482+72903026</f>
        <v>72949508</v>
      </c>
      <c r="AB5" s="1802"/>
      <c r="AC5" s="1802"/>
      <c r="AD5" s="1802"/>
      <c r="AE5" s="1802"/>
      <c r="AF5" s="1802">
        <v>13179155326</v>
      </c>
      <c r="AG5" s="1802"/>
      <c r="AH5" s="1802"/>
      <c r="AI5" s="1802"/>
      <c r="AJ5" s="1802"/>
      <c r="AK5" s="1802">
        <f>7395008+1147989167</f>
        <v>1155384175</v>
      </c>
      <c r="AL5" s="1802"/>
      <c r="AM5" s="1802"/>
      <c r="AN5" s="1802"/>
      <c r="AO5" s="1802"/>
      <c r="AP5" s="1802"/>
      <c r="AQ5" s="1802"/>
      <c r="AR5" s="1802"/>
      <c r="AS5" s="1802"/>
      <c r="AT5" s="1802"/>
      <c r="AU5" s="1802">
        <v>219588217</v>
      </c>
      <c r="AV5" s="1802"/>
      <c r="AW5" s="1802"/>
      <c r="AX5" s="1802"/>
      <c r="AY5" s="1802"/>
      <c r="AZ5" s="1802"/>
      <c r="BA5" s="1802"/>
      <c r="BB5" s="1802"/>
      <c r="BC5" s="1802"/>
      <c r="BD5" s="1802"/>
      <c r="BE5" s="1800">
        <f>SUM(AA5:BD5)</f>
        <v>14627077226</v>
      </c>
      <c r="BF5" s="1800"/>
      <c r="BG5" s="1800"/>
      <c r="BH5" s="1800"/>
      <c r="BI5" s="1800"/>
      <c r="BJ5" s="1811"/>
      <c r="BK5" s="1811"/>
      <c r="BL5" s="1811"/>
    </row>
    <row r="6" spans="1:64" ht="12.75" customHeight="1">
      <c r="A6" s="1804" t="s">
        <v>313</v>
      </c>
      <c r="B6" s="1804"/>
      <c r="C6" s="1812" t="s">
        <v>651</v>
      </c>
      <c r="D6" s="1824"/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4"/>
      <c r="P6" s="1824"/>
      <c r="Q6" s="1824"/>
      <c r="R6" s="1824"/>
      <c r="S6" s="1824"/>
      <c r="T6" s="1824"/>
      <c r="U6" s="1824"/>
      <c r="V6" s="1824"/>
      <c r="W6" s="1824"/>
      <c r="X6" s="1824"/>
      <c r="Y6" s="1824"/>
      <c r="Z6" s="1824"/>
      <c r="AA6" s="1810">
        <v>9055371</v>
      </c>
      <c r="AB6" s="1803"/>
      <c r="AC6" s="1803"/>
      <c r="AD6" s="1803"/>
      <c r="AE6" s="1803"/>
      <c r="AF6" s="1816"/>
      <c r="AG6" s="1816"/>
      <c r="AH6" s="1816"/>
      <c r="AI6" s="1816"/>
      <c r="AJ6" s="1817"/>
      <c r="AK6" s="1816"/>
      <c r="AL6" s="1816"/>
      <c r="AM6" s="1816"/>
      <c r="AN6" s="1816"/>
      <c r="AO6" s="1817"/>
      <c r="AP6" s="1816"/>
      <c r="AQ6" s="1816"/>
      <c r="AR6" s="1816"/>
      <c r="AS6" s="1816"/>
      <c r="AT6" s="1817"/>
      <c r="AU6" s="1803">
        <v>43441607</v>
      </c>
      <c r="AV6" s="1803"/>
      <c r="AW6" s="1803"/>
      <c r="AX6" s="1803"/>
      <c r="AY6" s="1803"/>
      <c r="AZ6" s="1816"/>
      <c r="BA6" s="1816"/>
      <c r="BB6" s="1816"/>
      <c r="BC6" s="1816"/>
      <c r="BD6" s="1817"/>
      <c r="BE6" s="1800">
        <f aca="true" t="shared" si="0" ref="BE6:BE30">SUM(AA6:BD6)</f>
        <v>52496978</v>
      </c>
      <c r="BF6" s="1800"/>
      <c r="BG6" s="1800"/>
      <c r="BH6" s="1800"/>
      <c r="BI6" s="1800"/>
      <c r="BJ6" s="1811"/>
      <c r="BK6" s="1811"/>
      <c r="BL6" s="1811"/>
    </row>
    <row r="7" spans="1:64" ht="12.75" customHeight="1">
      <c r="A7" s="1804" t="s">
        <v>317</v>
      </c>
      <c r="B7" s="1804"/>
      <c r="C7" s="1812" t="s">
        <v>650</v>
      </c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4"/>
      <c r="S7" s="1824"/>
      <c r="T7" s="1824"/>
      <c r="U7" s="1824"/>
      <c r="V7" s="1824"/>
      <c r="W7" s="1824"/>
      <c r="X7" s="1824"/>
      <c r="Y7" s="1824"/>
      <c r="Z7" s="1824"/>
      <c r="AA7" s="1816"/>
      <c r="AB7" s="1816"/>
      <c r="AC7" s="1816"/>
      <c r="AD7" s="1816"/>
      <c r="AE7" s="1817"/>
      <c r="AF7" s="1816"/>
      <c r="AG7" s="1816"/>
      <c r="AH7" s="1816"/>
      <c r="AI7" s="1816"/>
      <c r="AJ7" s="1817"/>
      <c r="AK7" s="1816"/>
      <c r="AL7" s="1816"/>
      <c r="AM7" s="1816"/>
      <c r="AN7" s="1816"/>
      <c r="AO7" s="1817"/>
      <c r="AP7" s="1816"/>
      <c r="AQ7" s="1816"/>
      <c r="AR7" s="1816"/>
      <c r="AS7" s="1816"/>
      <c r="AT7" s="1817"/>
      <c r="AU7" s="1803"/>
      <c r="AV7" s="1803"/>
      <c r="AW7" s="1803"/>
      <c r="AX7" s="1803"/>
      <c r="AY7" s="1803"/>
      <c r="AZ7" s="1816"/>
      <c r="BA7" s="1816"/>
      <c r="BB7" s="1816"/>
      <c r="BC7" s="1816"/>
      <c r="BD7" s="1817"/>
      <c r="BE7" s="1800">
        <f t="shared" si="0"/>
        <v>0</v>
      </c>
      <c r="BF7" s="1800"/>
      <c r="BG7" s="1800"/>
      <c r="BH7" s="1800"/>
      <c r="BI7" s="1800"/>
      <c r="BJ7" s="1811"/>
      <c r="BK7" s="1811"/>
      <c r="BL7" s="1811"/>
    </row>
    <row r="8" spans="1:64" ht="12.75" customHeight="1">
      <c r="A8" s="1804" t="s">
        <v>319</v>
      </c>
      <c r="B8" s="1804"/>
      <c r="C8" s="1812" t="s">
        <v>649</v>
      </c>
      <c r="D8" s="1824"/>
      <c r="E8" s="1824"/>
      <c r="F8" s="1824"/>
      <c r="G8" s="1824"/>
      <c r="H8" s="1824"/>
      <c r="I8" s="1824"/>
      <c r="J8" s="1824"/>
      <c r="K8" s="1824"/>
      <c r="L8" s="1824"/>
      <c r="M8" s="1824"/>
      <c r="N8" s="1824"/>
      <c r="O8" s="1824"/>
      <c r="P8" s="1824"/>
      <c r="Q8" s="1824"/>
      <c r="R8" s="1824"/>
      <c r="S8" s="1824"/>
      <c r="T8" s="1824"/>
      <c r="U8" s="1824"/>
      <c r="V8" s="1824"/>
      <c r="W8" s="1824"/>
      <c r="X8" s="1824"/>
      <c r="Y8" s="1824"/>
      <c r="Z8" s="1824"/>
      <c r="AA8" s="1816"/>
      <c r="AB8" s="1816"/>
      <c r="AC8" s="1816"/>
      <c r="AD8" s="1816"/>
      <c r="AE8" s="1817"/>
      <c r="AF8" s="1810">
        <v>122503554</v>
      </c>
      <c r="AG8" s="1803"/>
      <c r="AH8" s="1803"/>
      <c r="AI8" s="1803"/>
      <c r="AJ8" s="1803"/>
      <c r="AK8" s="1810">
        <f>64567+710196+2091224+27350632</f>
        <v>30216619</v>
      </c>
      <c r="AL8" s="1803"/>
      <c r="AM8" s="1803"/>
      <c r="AN8" s="1803"/>
      <c r="AO8" s="1803"/>
      <c r="AP8" s="1810"/>
      <c r="AQ8" s="1803"/>
      <c r="AR8" s="1803"/>
      <c r="AS8" s="1803"/>
      <c r="AT8" s="1803"/>
      <c r="AU8" s="1816"/>
      <c r="AV8" s="1816"/>
      <c r="AW8" s="1816"/>
      <c r="AX8" s="1816"/>
      <c r="AY8" s="1817"/>
      <c r="AZ8" s="1816"/>
      <c r="BA8" s="1816"/>
      <c r="BB8" s="1816"/>
      <c r="BC8" s="1816"/>
      <c r="BD8" s="1817"/>
      <c r="BE8" s="1800">
        <f t="shared" si="0"/>
        <v>152720173</v>
      </c>
      <c r="BF8" s="1800"/>
      <c r="BG8" s="1800"/>
      <c r="BH8" s="1800"/>
      <c r="BI8" s="1800"/>
      <c r="BJ8" s="1811"/>
      <c r="BK8" s="1811"/>
      <c r="BL8" s="1811"/>
    </row>
    <row r="9" spans="1:64" ht="12.75" customHeight="1">
      <c r="A9" s="1804" t="s">
        <v>324</v>
      </c>
      <c r="B9" s="1804"/>
      <c r="C9" s="1805" t="s">
        <v>648</v>
      </c>
      <c r="D9" s="1825"/>
      <c r="E9" s="1825"/>
      <c r="F9" s="1825"/>
      <c r="G9" s="1825"/>
      <c r="H9" s="1825"/>
      <c r="I9" s="1825"/>
      <c r="J9" s="1825"/>
      <c r="K9" s="1825"/>
      <c r="L9" s="1825"/>
      <c r="M9" s="1825"/>
      <c r="N9" s="1825"/>
      <c r="O9" s="1825"/>
      <c r="P9" s="1825"/>
      <c r="Q9" s="1825"/>
      <c r="R9" s="1825"/>
      <c r="S9" s="1825"/>
      <c r="T9" s="1825"/>
      <c r="U9" s="1825"/>
      <c r="V9" s="1825"/>
      <c r="W9" s="1825"/>
      <c r="X9" s="1825"/>
      <c r="Y9" s="1825"/>
      <c r="Z9" s="1825"/>
      <c r="AA9" s="1810"/>
      <c r="AB9" s="1803"/>
      <c r="AC9" s="1803"/>
      <c r="AD9" s="1803"/>
      <c r="AE9" s="1803"/>
      <c r="AF9" s="1810">
        <v>133971039</v>
      </c>
      <c r="AG9" s="1803"/>
      <c r="AH9" s="1803"/>
      <c r="AI9" s="1803"/>
      <c r="AJ9" s="1803"/>
      <c r="AK9" s="1810">
        <v>2083150</v>
      </c>
      <c r="AL9" s="1803"/>
      <c r="AM9" s="1803"/>
      <c r="AN9" s="1803"/>
      <c r="AO9" s="1803"/>
      <c r="AP9" s="1810"/>
      <c r="AQ9" s="1803"/>
      <c r="AR9" s="1803"/>
      <c r="AS9" s="1803"/>
      <c r="AT9" s="1803"/>
      <c r="AU9" s="1803"/>
      <c r="AV9" s="1803"/>
      <c r="AW9" s="1803"/>
      <c r="AX9" s="1803"/>
      <c r="AY9" s="1803"/>
      <c r="AZ9" s="1816"/>
      <c r="BA9" s="1816"/>
      <c r="BB9" s="1816"/>
      <c r="BC9" s="1816"/>
      <c r="BD9" s="1817"/>
      <c r="BE9" s="1800">
        <f t="shared" si="0"/>
        <v>136054189</v>
      </c>
      <c r="BF9" s="1800"/>
      <c r="BG9" s="1800"/>
      <c r="BH9" s="1800"/>
      <c r="BI9" s="1800"/>
      <c r="BJ9" s="1811"/>
      <c r="BK9" s="1811"/>
      <c r="BL9" s="1811"/>
    </row>
    <row r="10" spans="1:64" ht="25.5" customHeight="1">
      <c r="A10" s="1804" t="s">
        <v>326</v>
      </c>
      <c r="B10" s="1804"/>
      <c r="C10" s="1812" t="s">
        <v>647</v>
      </c>
      <c r="D10" s="1824"/>
      <c r="E10" s="1824"/>
      <c r="F10" s="1824"/>
      <c r="G10" s="1824"/>
      <c r="H10" s="1824"/>
      <c r="I10" s="1824"/>
      <c r="J10" s="1824"/>
      <c r="K10" s="1824"/>
      <c r="L10" s="1824"/>
      <c r="M10" s="1824"/>
      <c r="N10" s="1824"/>
      <c r="O10" s="1824"/>
      <c r="P10" s="1824"/>
      <c r="Q10" s="1824"/>
      <c r="R10" s="1824"/>
      <c r="S10" s="1824"/>
      <c r="T10" s="1824"/>
      <c r="U10" s="1824"/>
      <c r="V10" s="1824"/>
      <c r="W10" s="1824"/>
      <c r="X10" s="1824"/>
      <c r="Y10" s="1824"/>
      <c r="Z10" s="1824"/>
      <c r="AA10" s="1803"/>
      <c r="AB10" s="1803"/>
      <c r="AC10" s="1803"/>
      <c r="AD10" s="1803"/>
      <c r="AE10" s="1803"/>
      <c r="AF10" s="1803"/>
      <c r="AG10" s="1803"/>
      <c r="AH10" s="1803"/>
      <c r="AI10" s="1803"/>
      <c r="AJ10" s="1803"/>
      <c r="AK10" s="1803"/>
      <c r="AL10" s="1803"/>
      <c r="AM10" s="1803"/>
      <c r="AN10" s="1803"/>
      <c r="AO10" s="1803"/>
      <c r="AP10" s="1803"/>
      <c r="AQ10" s="1803"/>
      <c r="AR10" s="1803"/>
      <c r="AS10" s="1803"/>
      <c r="AT10" s="1803"/>
      <c r="AU10" s="1803"/>
      <c r="AV10" s="1803"/>
      <c r="AW10" s="1803"/>
      <c r="AX10" s="1803"/>
      <c r="AY10" s="1803"/>
      <c r="AZ10" s="1816"/>
      <c r="BA10" s="1816"/>
      <c r="BB10" s="1816"/>
      <c r="BC10" s="1816"/>
      <c r="BD10" s="1817"/>
      <c r="BE10" s="1800">
        <f t="shared" si="0"/>
        <v>0</v>
      </c>
      <c r="BF10" s="1800"/>
      <c r="BG10" s="1800"/>
      <c r="BH10" s="1800"/>
      <c r="BI10" s="1800"/>
      <c r="BJ10" s="1811"/>
      <c r="BK10" s="1811"/>
      <c r="BL10" s="1811"/>
    </row>
    <row r="11" spans="1:64" ht="12.75" customHeight="1">
      <c r="A11" s="1804" t="s">
        <v>330</v>
      </c>
      <c r="B11" s="1804"/>
      <c r="C11" s="1805" t="s">
        <v>646</v>
      </c>
      <c r="D11" s="1825"/>
      <c r="E11" s="1825"/>
      <c r="F11" s="1825"/>
      <c r="G11" s="1825"/>
      <c r="H11" s="1825"/>
      <c r="I11" s="1825"/>
      <c r="J11" s="1825"/>
      <c r="K11" s="1825"/>
      <c r="L11" s="1825"/>
      <c r="M11" s="1825"/>
      <c r="N11" s="1825"/>
      <c r="O11" s="1825"/>
      <c r="P11" s="1825"/>
      <c r="Q11" s="1825"/>
      <c r="R11" s="1825"/>
      <c r="S11" s="1825"/>
      <c r="T11" s="1825"/>
      <c r="U11" s="1825"/>
      <c r="V11" s="1825"/>
      <c r="W11" s="1825"/>
      <c r="X11" s="1825"/>
      <c r="Y11" s="1825"/>
      <c r="Z11" s="1825"/>
      <c r="AA11" s="1803"/>
      <c r="AB11" s="1803"/>
      <c r="AC11" s="1803"/>
      <c r="AD11" s="1803"/>
      <c r="AE11" s="1803"/>
      <c r="AF11" s="1803"/>
      <c r="AG11" s="1803"/>
      <c r="AH11" s="1803"/>
      <c r="AI11" s="1803"/>
      <c r="AJ11" s="1803"/>
      <c r="AK11" s="1803"/>
      <c r="AL11" s="1803"/>
      <c r="AM11" s="1803"/>
      <c r="AN11" s="1803"/>
      <c r="AO11" s="1803"/>
      <c r="AP11" s="1803"/>
      <c r="AQ11" s="1803"/>
      <c r="AR11" s="1803"/>
      <c r="AS11" s="1803"/>
      <c r="AT11" s="1803"/>
      <c r="AU11" s="1803"/>
      <c r="AV11" s="1803"/>
      <c r="AW11" s="1803"/>
      <c r="AX11" s="1803"/>
      <c r="AY11" s="1803"/>
      <c r="AZ11" s="1810"/>
      <c r="BA11" s="1803"/>
      <c r="BB11" s="1803"/>
      <c r="BC11" s="1803"/>
      <c r="BD11" s="1803"/>
      <c r="BE11" s="1800">
        <f t="shared" si="0"/>
        <v>0</v>
      </c>
      <c r="BF11" s="1800"/>
      <c r="BG11" s="1800"/>
      <c r="BH11" s="1800"/>
      <c r="BI11" s="1800"/>
      <c r="BJ11" s="1811"/>
      <c r="BK11" s="1811"/>
      <c r="BL11" s="1811"/>
    </row>
    <row r="12" spans="1:64" s="975" customFormat="1" ht="12.75" customHeight="1">
      <c r="A12" s="1806" t="s">
        <v>332</v>
      </c>
      <c r="B12" s="1806"/>
      <c r="C12" s="1820" t="s">
        <v>659</v>
      </c>
      <c r="D12" s="1826"/>
      <c r="E12" s="1826"/>
      <c r="F12" s="1826"/>
      <c r="G12" s="1826"/>
      <c r="H12" s="1826"/>
      <c r="I12" s="1826"/>
      <c r="J12" s="1826"/>
      <c r="K12" s="1826"/>
      <c r="L12" s="1826"/>
      <c r="M12" s="1826"/>
      <c r="N12" s="1826"/>
      <c r="O12" s="1826"/>
      <c r="P12" s="1826"/>
      <c r="Q12" s="1826"/>
      <c r="R12" s="1826"/>
      <c r="S12" s="1826"/>
      <c r="T12" s="1826"/>
      <c r="U12" s="1826"/>
      <c r="V12" s="1826"/>
      <c r="W12" s="1826"/>
      <c r="X12" s="1826"/>
      <c r="Y12" s="1826"/>
      <c r="Z12" s="1826"/>
      <c r="AA12" s="1800">
        <f>SUM(AA6:AE11)</f>
        <v>9055371</v>
      </c>
      <c r="AB12" s="1808"/>
      <c r="AC12" s="1808"/>
      <c r="AD12" s="1808"/>
      <c r="AE12" s="1808"/>
      <c r="AF12" s="1800">
        <f>SUM(AF6:AJ11)</f>
        <v>256474593</v>
      </c>
      <c r="AG12" s="1808"/>
      <c r="AH12" s="1808"/>
      <c r="AI12" s="1808"/>
      <c r="AJ12" s="1808"/>
      <c r="AK12" s="1800">
        <f>SUM(AK6:AO11)</f>
        <v>32299769</v>
      </c>
      <c r="AL12" s="1808"/>
      <c r="AM12" s="1808"/>
      <c r="AN12" s="1808"/>
      <c r="AO12" s="1808"/>
      <c r="AP12" s="1800">
        <f>SUM(AP6:AT11)</f>
        <v>0</v>
      </c>
      <c r="AQ12" s="1808"/>
      <c r="AR12" s="1808"/>
      <c r="AS12" s="1808"/>
      <c r="AT12" s="1808"/>
      <c r="AU12" s="1800">
        <f>SUM(AU6:AY11)</f>
        <v>43441607</v>
      </c>
      <c r="AV12" s="1808"/>
      <c r="AW12" s="1808"/>
      <c r="AX12" s="1808"/>
      <c r="AY12" s="1808"/>
      <c r="AZ12" s="1800">
        <f>SUM(AZ6:BD11)</f>
        <v>0</v>
      </c>
      <c r="BA12" s="1808"/>
      <c r="BB12" s="1808"/>
      <c r="BC12" s="1808"/>
      <c r="BD12" s="1808"/>
      <c r="BE12" s="1800">
        <f>SUM(AA12:BD12)</f>
        <v>341271340</v>
      </c>
      <c r="BF12" s="1800"/>
      <c r="BG12" s="1800"/>
      <c r="BH12" s="1800"/>
      <c r="BI12" s="1800"/>
      <c r="BJ12" s="1814"/>
      <c r="BK12" s="1814"/>
      <c r="BL12" s="1814"/>
    </row>
    <row r="13" spans="1:64" ht="12.75" customHeight="1">
      <c r="A13" s="1804" t="s">
        <v>468</v>
      </c>
      <c r="B13" s="1804"/>
      <c r="C13" s="1805" t="s">
        <v>645</v>
      </c>
      <c r="D13" s="1825"/>
      <c r="E13" s="1825"/>
      <c r="F13" s="1825"/>
      <c r="G13" s="1825"/>
      <c r="H13" s="1825"/>
      <c r="I13" s="1825"/>
      <c r="J13" s="1825"/>
      <c r="K13" s="1825"/>
      <c r="L13" s="1825"/>
      <c r="M13" s="1825"/>
      <c r="N13" s="1825"/>
      <c r="O13" s="1825"/>
      <c r="P13" s="1825"/>
      <c r="Q13" s="1825"/>
      <c r="R13" s="1825"/>
      <c r="S13" s="1825"/>
      <c r="T13" s="1825"/>
      <c r="U13" s="1825"/>
      <c r="V13" s="1825"/>
      <c r="W13" s="1825"/>
      <c r="X13" s="1825"/>
      <c r="Y13" s="1825"/>
      <c r="Z13" s="1825"/>
      <c r="AA13" s="1802"/>
      <c r="AB13" s="1802"/>
      <c r="AC13" s="1802"/>
      <c r="AD13" s="1802"/>
      <c r="AE13" s="1802"/>
      <c r="AF13" s="1803">
        <v>68304903</v>
      </c>
      <c r="AG13" s="1803"/>
      <c r="AH13" s="1803"/>
      <c r="AI13" s="1803"/>
      <c r="AJ13" s="1803"/>
      <c r="AK13" s="1802"/>
      <c r="AL13" s="1802"/>
      <c r="AM13" s="1802"/>
      <c r="AN13" s="1802"/>
      <c r="AO13" s="1802"/>
      <c r="AP13" s="1802"/>
      <c r="AQ13" s="1802"/>
      <c r="AR13" s="1802"/>
      <c r="AS13" s="1802"/>
      <c r="AT13" s="1802"/>
      <c r="AU13" s="1816"/>
      <c r="AV13" s="1816"/>
      <c r="AW13" s="1816"/>
      <c r="AX13" s="1816"/>
      <c r="AY13" s="1817"/>
      <c r="AZ13" s="1816"/>
      <c r="BA13" s="1816"/>
      <c r="BB13" s="1816"/>
      <c r="BC13" s="1816"/>
      <c r="BD13" s="1817"/>
      <c r="BE13" s="1800">
        <f t="shared" si="0"/>
        <v>68304903</v>
      </c>
      <c r="BF13" s="1800"/>
      <c r="BG13" s="1800"/>
      <c r="BH13" s="1800"/>
      <c r="BI13" s="1800"/>
      <c r="BJ13" s="1811"/>
      <c r="BK13" s="1811"/>
      <c r="BL13" s="1811"/>
    </row>
    <row r="14" spans="1:64" ht="12.75" customHeight="1">
      <c r="A14" s="1804" t="s">
        <v>470</v>
      </c>
      <c r="B14" s="1804"/>
      <c r="C14" s="1812" t="s">
        <v>644</v>
      </c>
      <c r="D14" s="1824"/>
      <c r="E14" s="1824"/>
      <c r="F14" s="1824"/>
      <c r="G14" s="1824"/>
      <c r="H14" s="1824"/>
      <c r="I14" s="1824"/>
      <c r="J14" s="1824"/>
      <c r="K14" s="1824"/>
      <c r="L14" s="1824"/>
      <c r="M14" s="1824"/>
      <c r="N14" s="1824"/>
      <c r="O14" s="1824"/>
      <c r="P14" s="1824"/>
      <c r="Q14" s="1824"/>
      <c r="R14" s="1824"/>
      <c r="S14" s="1824"/>
      <c r="T14" s="1824"/>
      <c r="U14" s="1824"/>
      <c r="V14" s="1824"/>
      <c r="W14" s="1824"/>
      <c r="X14" s="1824"/>
      <c r="Y14" s="1824"/>
      <c r="Z14" s="1824"/>
      <c r="AA14" s="1802">
        <v>15000</v>
      </c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>
        <f>650000+2648933</f>
        <v>3298933</v>
      </c>
      <c r="AL14" s="1802"/>
      <c r="AM14" s="1802"/>
      <c r="AN14" s="1802"/>
      <c r="AO14" s="1802"/>
      <c r="AP14" s="1802"/>
      <c r="AQ14" s="1802"/>
      <c r="AR14" s="1802"/>
      <c r="AS14" s="1802"/>
      <c r="AT14" s="1802"/>
      <c r="AU14" s="1802">
        <v>12143650</v>
      </c>
      <c r="AV14" s="1802"/>
      <c r="AW14" s="1802"/>
      <c r="AX14" s="1802"/>
      <c r="AY14" s="1802"/>
      <c r="AZ14" s="1810"/>
      <c r="BA14" s="1803"/>
      <c r="BB14" s="1803"/>
      <c r="BC14" s="1803"/>
      <c r="BD14" s="1803"/>
      <c r="BE14" s="1800">
        <f t="shared" si="0"/>
        <v>15457583</v>
      </c>
      <c r="BF14" s="1800"/>
      <c r="BG14" s="1800"/>
      <c r="BH14" s="1800"/>
      <c r="BI14" s="1800"/>
      <c r="BJ14" s="1811"/>
      <c r="BK14" s="1811"/>
      <c r="BL14" s="1811"/>
    </row>
    <row r="15" spans="1:64" ht="12.75" customHeight="1">
      <c r="A15" s="1804" t="s">
        <v>472</v>
      </c>
      <c r="B15" s="1804"/>
      <c r="C15" s="1805" t="s">
        <v>643</v>
      </c>
      <c r="D15" s="1825"/>
      <c r="E15" s="1825"/>
      <c r="F15" s="1825"/>
      <c r="G15" s="1825"/>
      <c r="H15" s="1825"/>
      <c r="I15" s="1825"/>
      <c r="J15" s="1825"/>
      <c r="K15" s="1825"/>
      <c r="L15" s="1825"/>
      <c r="M15" s="1825"/>
      <c r="N15" s="1825"/>
      <c r="O15" s="1825"/>
      <c r="P15" s="1825"/>
      <c r="Q15" s="1825"/>
      <c r="R15" s="1825"/>
      <c r="S15" s="1825"/>
      <c r="T15" s="1825"/>
      <c r="U15" s="1825"/>
      <c r="V15" s="1825"/>
      <c r="W15" s="1825"/>
      <c r="X15" s="1825"/>
      <c r="Y15" s="1825"/>
      <c r="Z15" s="1825"/>
      <c r="AA15" s="1802">
        <v>589200</v>
      </c>
      <c r="AB15" s="1802"/>
      <c r="AC15" s="1802"/>
      <c r="AD15" s="1802"/>
      <c r="AE15" s="1802"/>
      <c r="AF15" s="1802"/>
      <c r="AG15" s="1802"/>
      <c r="AH15" s="1802"/>
      <c r="AI15" s="1802"/>
      <c r="AJ15" s="1802"/>
      <c r="AK15" s="1802">
        <v>1300000</v>
      </c>
      <c r="AL15" s="1802"/>
      <c r="AM15" s="1802"/>
      <c r="AN15" s="1802"/>
      <c r="AO15" s="1802"/>
      <c r="AP15" s="1802"/>
      <c r="AQ15" s="1802"/>
      <c r="AR15" s="1802"/>
      <c r="AS15" s="1802"/>
      <c r="AT15" s="1802"/>
      <c r="AU15" s="1802"/>
      <c r="AV15" s="1802"/>
      <c r="AW15" s="1802"/>
      <c r="AX15" s="1802"/>
      <c r="AY15" s="1802"/>
      <c r="AZ15" s="1816"/>
      <c r="BA15" s="1816"/>
      <c r="BB15" s="1816"/>
      <c r="BC15" s="1816"/>
      <c r="BD15" s="1817"/>
      <c r="BE15" s="1800">
        <f t="shared" si="0"/>
        <v>1889200</v>
      </c>
      <c r="BF15" s="1800"/>
      <c r="BG15" s="1800"/>
      <c r="BH15" s="1800"/>
      <c r="BI15" s="1800"/>
      <c r="BJ15" s="1811"/>
      <c r="BK15" s="1811"/>
      <c r="BL15" s="1811"/>
    </row>
    <row r="16" spans="1:64" ht="25.5" customHeight="1">
      <c r="A16" s="1804" t="s">
        <v>474</v>
      </c>
      <c r="B16" s="1804"/>
      <c r="C16" s="1812" t="s">
        <v>642</v>
      </c>
      <c r="D16" s="1824"/>
      <c r="E16" s="1824"/>
      <c r="F16" s="1824"/>
      <c r="G16" s="1824"/>
      <c r="H16" s="1824"/>
      <c r="I16" s="1824"/>
      <c r="J16" s="1824"/>
      <c r="K16" s="1824"/>
      <c r="L16" s="1824"/>
      <c r="M16" s="1824"/>
      <c r="N16" s="1824"/>
      <c r="O16" s="1824"/>
      <c r="P16" s="1824"/>
      <c r="Q16" s="1824"/>
      <c r="R16" s="1824"/>
      <c r="S16" s="1824"/>
      <c r="T16" s="1824"/>
      <c r="U16" s="1824"/>
      <c r="V16" s="1824"/>
      <c r="W16" s="1824"/>
      <c r="X16" s="1824"/>
      <c r="Y16" s="1824"/>
      <c r="Z16" s="1824"/>
      <c r="AA16" s="1802"/>
      <c r="AB16" s="1802"/>
      <c r="AC16" s="1802"/>
      <c r="AD16" s="1802"/>
      <c r="AE16" s="1802"/>
      <c r="AF16" s="1802"/>
      <c r="AG16" s="1802"/>
      <c r="AH16" s="1802"/>
      <c r="AI16" s="1802"/>
      <c r="AJ16" s="1802"/>
      <c r="AK16" s="1802"/>
      <c r="AL16" s="1802"/>
      <c r="AM16" s="1802"/>
      <c r="AN16" s="1802"/>
      <c r="AO16" s="1802"/>
      <c r="AP16" s="1802"/>
      <c r="AQ16" s="1802"/>
      <c r="AR16" s="1802"/>
      <c r="AS16" s="1802"/>
      <c r="AT16" s="1802"/>
      <c r="AU16" s="1810"/>
      <c r="AV16" s="1803"/>
      <c r="AW16" s="1803"/>
      <c r="AX16" s="1803"/>
      <c r="AY16" s="1803"/>
      <c r="AZ16" s="1816"/>
      <c r="BA16" s="1816"/>
      <c r="BB16" s="1816"/>
      <c r="BC16" s="1816"/>
      <c r="BD16" s="1817"/>
      <c r="BE16" s="1800">
        <f t="shared" si="0"/>
        <v>0</v>
      </c>
      <c r="BF16" s="1800"/>
      <c r="BG16" s="1800"/>
      <c r="BH16" s="1800"/>
      <c r="BI16" s="1800"/>
      <c r="BJ16" s="1811"/>
      <c r="BK16" s="1811"/>
      <c r="BL16" s="1811"/>
    </row>
    <row r="17" spans="1:64" ht="12.75" customHeight="1">
      <c r="A17" s="1804" t="s">
        <v>476</v>
      </c>
      <c r="B17" s="1804"/>
      <c r="C17" s="1812" t="s">
        <v>641</v>
      </c>
      <c r="D17" s="1824"/>
      <c r="E17" s="1824"/>
      <c r="F17" s="1824"/>
      <c r="G17" s="1824"/>
      <c r="H17" s="1824"/>
      <c r="I17" s="1824"/>
      <c r="J17" s="1824"/>
      <c r="K17" s="1824"/>
      <c r="L17" s="1824"/>
      <c r="M17" s="1824"/>
      <c r="N17" s="1824"/>
      <c r="O17" s="1824"/>
      <c r="P17" s="1824"/>
      <c r="Q17" s="1824"/>
      <c r="R17" s="1824"/>
      <c r="S17" s="1824"/>
      <c r="T17" s="1824"/>
      <c r="U17" s="1824"/>
      <c r="V17" s="1824"/>
      <c r="W17" s="1824"/>
      <c r="X17" s="1824"/>
      <c r="Y17" s="1824"/>
      <c r="Z17" s="1824"/>
      <c r="AA17" s="1803"/>
      <c r="AB17" s="1803"/>
      <c r="AC17" s="1803"/>
      <c r="AD17" s="1803"/>
      <c r="AE17" s="1803"/>
      <c r="AF17" s="1803">
        <v>380899980</v>
      </c>
      <c r="AG17" s="1803"/>
      <c r="AH17" s="1803"/>
      <c r="AI17" s="1803"/>
      <c r="AJ17" s="1803"/>
      <c r="AK17" s="1803">
        <f>4+40116347</f>
        <v>40116351</v>
      </c>
      <c r="AL17" s="1803"/>
      <c r="AM17" s="1803"/>
      <c r="AN17" s="1803"/>
      <c r="AO17" s="1803"/>
      <c r="AP17" s="1803"/>
      <c r="AQ17" s="1803"/>
      <c r="AR17" s="1803"/>
      <c r="AS17" s="1803"/>
      <c r="AT17" s="1803"/>
      <c r="AU17" s="1803">
        <v>160679587</v>
      </c>
      <c r="AV17" s="1803"/>
      <c r="AW17" s="1803"/>
      <c r="AX17" s="1803"/>
      <c r="AY17" s="1803"/>
      <c r="AZ17" s="1810"/>
      <c r="BA17" s="1803"/>
      <c r="BB17" s="1803"/>
      <c r="BC17" s="1803"/>
      <c r="BD17" s="1803"/>
      <c r="BE17" s="1800">
        <f t="shared" si="0"/>
        <v>581695918</v>
      </c>
      <c r="BF17" s="1800"/>
      <c r="BG17" s="1800"/>
      <c r="BH17" s="1800"/>
      <c r="BI17" s="1800"/>
      <c r="BJ17" s="1822"/>
      <c r="BK17" s="1811"/>
      <c r="BL17" s="1811"/>
    </row>
    <row r="18" spans="1:64" s="975" customFormat="1" ht="12.75" customHeight="1">
      <c r="A18" s="1806" t="s">
        <v>478</v>
      </c>
      <c r="B18" s="1806"/>
      <c r="C18" s="1807" t="s">
        <v>660</v>
      </c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3"/>
      <c r="R18" s="1823"/>
      <c r="S18" s="1823"/>
      <c r="T18" s="1823"/>
      <c r="U18" s="1823"/>
      <c r="V18" s="1823"/>
      <c r="W18" s="1823"/>
      <c r="X18" s="1823"/>
      <c r="Y18" s="1823"/>
      <c r="Z18" s="1823"/>
      <c r="AA18" s="1800">
        <f>SUM(AA13:AE17)</f>
        <v>604200</v>
      </c>
      <c r="AB18" s="1808"/>
      <c r="AC18" s="1808"/>
      <c r="AD18" s="1808"/>
      <c r="AE18" s="1808"/>
      <c r="AF18" s="1800">
        <f>SUM(AF13:AJ17)</f>
        <v>449204883</v>
      </c>
      <c r="AG18" s="1808"/>
      <c r="AH18" s="1808"/>
      <c r="AI18" s="1808"/>
      <c r="AJ18" s="1808"/>
      <c r="AK18" s="1800">
        <f>SUM(AK13:AO17)</f>
        <v>44715284</v>
      </c>
      <c r="AL18" s="1808"/>
      <c r="AM18" s="1808"/>
      <c r="AN18" s="1808"/>
      <c r="AO18" s="1808"/>
      <c r="AP18" s="1800">
        <f>SUM(AP13:AT17)</f>
        <v>0</v>
      </c>
      <c r="AQ18" s="1808"/>
      <c r="AR18" s="1808"/>
      <c r="AS18" s="1808"/>
      <c r="AT18" s="1808"/>
      <c r="AU18" s="1800">
        <f>SUM(AU13:AY17)</f>
        <v>172823237</v>
      </c>
      <c r="AV18" s="1808"/>
      <c r="AW18" s="1808"/>
      <c r="AX18" s="1808"/>
      <c r="AY18" s="1808"/>
      <c r="AZ18" s="1800">
        <f>SUM(AZ13:BD17)</f>
        <v>0</v>
      </c>
      <c r="BA18" s="1808"/>
      <c r="BB18" s="1808"/>
      <c r="BC18" s="1808"/>
      <c r="BD18" s="1808"/>
      <c r="BE18" s="1800">
        <f t="shared" si="0"/>
        <v>667347604</v>
      </c>
      <c r="BF18" s="1800"/>
      <c r="BG18" s="1800"/>
      <c r="BH18" s="1800"/>
      <c r="BI18" s="1800"/>
      <c r="BJ18" s="1819"/>
      <c r="BK18" s="1814"/>
      <c r="BL18" s="1814"/>
    </row>
    <row r="19" spans="1:64" s="975" customFormat="1" ht="12.75" customHeight="1">
      <c r="A19" s="1806" t="s">
        <v>480</v>
      </c>
      <c r="B19" s="1806"/>
      <c r="C19" s="1821" t="s">
        <v>661</v>
      </c>
      <c r="D19" s="1821"/>
      <c r="E19" s="1821"/>
      <c r="F19" s="1821"/>
      <c r="G19" s="1821"/>
      <c r="H19" s="1821"/>
      <c r="I19" s="1821"/>
      <c r="J19" s="1821"/>
      <c r="K19" s="1821"/>
      <c r="L19" s="1821"/>
      <c r="M19" s="1821"/>
      <c r="N19" s="1821"/>
      <c r="O19" s="1821"/>
      <c r="P19" s="1821"/>
      <c r="Q19" s="1821"/>
      <c r="R19" s="1821"/>
      <c r="S19" s="1821"/>
      <c r="T19" s="1821"/>
      <c r="U19" s="1821"/>
      <c r="V19" s="1821"/>
      <c r="W19" s="1821"/>
      <c r="X19" s="1821"/>
      <c r="Y19" s="1821"/>
      <c r="Z19" s="1821"/>
      <c r="AA19" s="1800">
        <f>AA5+AA12-AA18</f>
        <v>81400679</v>
      </c>
      <c r="AB19" s="1808"/>
      <c r="AC19" s="1808"/>
      <c r="AD19" s="1808"/>
      <c r="AE19" s="1808"/>
      <c r="AF19" s="1800">
        <f>AF5+AF12-AF18</f>
        <v>12986425036</v>
      </c>
      <c r="AG19" s="1808"/>
      <c r="AH19" s="1808"/>
      <c r="AI19" s="1808"/>
      <c r="AJ19" s="1808"/>
      <c r="AK19" s="1800">
        <f>AK5+AK12-AK18</f>
        <v>1142968660</v>
      </c>
      <c r="AL19" s="1808"/>
      <c r="AM19" s="1808"/>
      <c r="AN19" s="1808"/>
      <c r="AO19" s="1808"/>
      <c r="AP19" s="1800">
        <f>AP5+AP12-AP18</f>
        <v>0</v>
      </c>
      <c r="AQ19" s="1808"/>
      <c r="AR19" s="1808"/>
      <c r="AS19" s="1808"/>
      <c r="AT19" s="1808"/>
      <c r="AU19" s="1800">
        <f>AU5+AU12-AU18</f>
        <v>90206587</v>
      </c>
      <c r="AV19" s="1808"/>
      <c r="AW19" s="1808"/>
      <c r="AX19" s="1808"/>
      <c r="AY19" s="1808"/>
      <c r="AZ19" s="1800">
        <f>AZ5+AZ12-AZ18</f>
        <v>0</v>
      </c>
      <c r="BA19" s="1808"/>
      <c r="BB19" s="1808"/>
      <c r="BC19" s="1808"/>
      <c r="BD19" s="1808"/>
      <c r="BE19" s="1801">
        <f t="shared" si="0"/>
        <v>14301000962</v>
      </c>
      <c r="BF19" s="1801"/>
      <c r="BG19" s="1801"/>
      <c r="BH19" s="1801"/>
      <c r="BI19" s="1801"/>
      <c r="BJ19" s="1819"/>
      <c r="BK19" s="1814"/>
      <c r="BL19" s="1814"/>
    </row>
    <row r="20" spans="1:64" s="975" customFormat="1" ht="12.75" customHeight="1">
      <c r="A20" s="1806" t="s">
        <v>489</v>
      </c>
      <c r="B20" s="1806"/>
      <c r="C20" s="1820" t="s">
        <v>640</v>
      </c>
      <c r="D20" s="1820"/>
      <c r="E20" s="1820"/>
      <c r="F20" s="1820"/>
      <c r="G20" s="1820"/>
      <c r="H20" s="1820"/>
      <c r="I20" s="1820"/>
      <c r="J20" s="1820"/>
      <c r="K20" s="1820"/>
      <c r="L20" s="1820"/>
      <c r="M20" s="1820"/>
      <c r="N20" s="1820"/>
      <c r="O20" s="1820"/>
      <c r="P20" s="1820"/>
      <c r="Q20" s="1820"/>
      <c r="R20" s="1820"/>
      <c r="S20" s="1820"/>
      <c r="T20" s="1820"/>
      <c r="U20" s="1820"/>
      <c r="V20" s="1820"/>
      <c r="W20" s="1820"/>
      <c r="X20" s="1820"/>
      <c r="Y20" s="1820"/>
      <c r="Z20" s="1820"/>
      <c r="AA20" s="1803">
        <f>46482+44632123</f>
        <v>44678605</v>
      </c>
      <c r="AB20" s="1803"/>
      <c r="AC20" s="1803"/>
      <c r="AD20" s="1803"/>
      <c r="AE20" s="1803"/>
      <c r="AF20" s="1803">
        <v>1908668399</v>
      </c>
      <c r="AG20" s="1803"/>
      <c r="AH20" s="1803"/>
      <c r="AI20" s="1803"/>
      <c r="AJ20" s="1803"/>
      <c r="AK20" s="1803">
        <f>1100022+306758154</f>
        <v>307858176</v>
      </c>
      <c r="AL20" s="1803"/>
      <c r="AM20" s="1803"/>
      <c r="AN20" s="1803"/>
      <c r="AO20" s="1803"/>
      <c r="AP20" s="1803"/>
      <c r="AQ20" s="1803"/>
      <c r="AR20" s="1803"/>
      <c r="AS20" s="1803"/>
      <c r="AT20" s="1803"/>
      <c r="AU20" s="1816"/>
      <c r="AV20" s="1816"/>
      <c r="AW20" s="1816"/>
      <c r="AX20" s="1816"/>
      <c r="AY20" s="1817"/>
      <c r="AZ20" s="1803"/>
      <c r="BA20" s="1803"/>
      <c r="BB20" s="1803"/>
      <c r="BC20" s="1803"/>
      <c r="BD20" s="1803"/>
      <c r="BE20" s="1801">
        <f t="shared" si="0"/>
        <v>2261205180</v>
      </c>
      <c r="BF20" s="1801"/>
      <c r="BG20" s="1801"/>
      <c r="BH20" s="1801"/>
      <c r="BI20" s="1801"/>
      <c r="BJ20" s="1818"/>
      <c r="BK20" s="1818"/>
      <c r="BL20" s="1818"/>
    </row>
    <row r="21" spans="1:64" ht="12.75" customHeight="1">
      <c r="A21" s="1804" t="s">
        <v>491</v>
      </c>
      <c r="B21" s="1804"/>
      <c r="C21" s="1805" t="s">
        <v>639</v>
      </c>
      <c r="D21" s="1805"/>
      <c r="E21" s="1805"/>
      <c r="F21" s="1805"/>
      <c r="G21" s="1805"/>
      <c r="H21" s="1805"/>
      <c r="I21" s="1805"/>
      <c r="J21" s="1805"/>
      <c r="K21" s="1805"/>
      <c r="L21" s="1805"/>
      <c r="M21" s="1805"/>
      <c r="N21" s="1805"/>
      <c r="O21" s="1805"/>
      <c r="P21" s="1805"/>
      <c r="Q21" s="1805"/>
      <c r="R21" s="1805"/>
      <c r="S21" s="1805"/>
      <c r="T21" s="1805"/>
      <c r="U21" s="1805"/>
      <c r="V21" s="1805"/>
      <c r="W21" s="1805"/>
      <c r="X21" s="1805"/>
      <c r="Y21" s="1805"/>
      <c r="Z21" s="1805"/>
      <c r="AA21" s="1803">
        <v>14556193</v>
      </c>
      <c r="AB21" s="1803"/>
      <c r="AC21" s="1803"/>
      <c r="AD21" s="1803"/>
      <c r="AE21" s="1803"/>
      <c r="AF21" s="1803">
        <v>374830517</v>
      </c>
      <c r="AG21" s="1803"/>
      <c r="AH21" s="1803"/>
      <c r="AI21" s="1803"/>
      <c r="AJ21" s="1803"/>
      <c r="AK21" s="1803">
        <f>64567+168347+1592747+142927023</f>
        <v>144752684</v>
      </c>
      <c r="AL21" s="1803"/>
      <c r="AM21" s="1803"/>
      <c r="AN21" s="1803"/>
      <c r="AO21" s="1803"/>
      <c r="AP21" s="1803"/>
      <c r="AQ21" s="1803"/>
      <c r="AR21" s="1803"/>
      <c r="AS21" s="1803"/>
      <c r="AT21" s="1803"/>
      <c r="AU21" s="1816"/>
      <c r="AV21" s="1816"/>
      <c r="AW21" s="1816"/>
      <c r="AX21" s="1816"/>
      <c r="AY21" s="1817"/>
      <c r="AZ21" s="1803"/>
      <c r="BA21" s="1803"/>
      <c r="BB21" s="1803"/>
      <c r="BC21" s="1803"/>
      <c r="BD21" s="1803"/>
      <c r="BE21" s="1801">
        <f t="shared" si="0"/>
        <v>534139394</v>
      </c>
      <c r="BF21" s="1801"/>
      <c r="BG21" s="1801"/>
      <c r="BH21" s="1801"/>
      <c r="BI21" s="1801"/>
      <c r="BJ21" s="1809"/>
      <c r="BK21" s="1809"/>
      <c r="BL21" s="1809"/>
    </row>
    <row r="22" spans="1:64" ht="12.75" customHeight="1">
      <c r="A22" s="1804" t="s">
        <v>492</v>
      </c>
      <c r="B22" s="1804"/>
      <c r="C22" s="1805" t="s">
        <v>638</v>
      </c>
      <c r="D22" s="1805"/>
      <c r="E22" s="1805"/>
      <c r="F22" s="1805"/>
      <c r="G22" s="1805"/>
      <c r="H22" s="1805"/>
      <c r="I22" s="1805"/>
      <c r="J22" s="1805"/>
      <c r="K22" s="1805"/>
      <c r="L22" s="1805"/>
      <c r="M22" s="1805"/>
      <c r="N22" s="1805"/>
      <c r="O22" s="1805"/>
      <c r="P22" s="1805"/>
      <c r="Q22" s="1805"/>
      <c r="R22" s="1805"/>
      <c r="S22" s="1805"/>
      <c r="T22" s="1805"/>
      <c r="U22" s="1805"/>
      <c r="V22" s="1805"/>
      <c r="W22" s="1805"/>
      <c r="X22" s="1805"/>
      <c r="Y22" s="1805"/>
      <c r="Z22" s="1805"/>
      <c r="AA22" s="1803"/>
      <c r="AB22" s="1803"/>
      <c r="AC22" s="1803"/>
      <c r="AD22" s="1803"/>
      <c r="AE22" s="1803"/>
      <c r="AF22" s="1803">
        <v>94919534</v>
      </c>
      <c r="AG22" s="1803"/>
      <c r="AH22" s="1803"/>
      <c r="AI22" s="1803"/>
      <c r="AJ22" s="1803"/>
      <c r="AK22" s="1803">
        <f>795981+40859561</f>
        <v>41655542</v>
      </c>
      <c r="AL22" s="1803"/>
      <c r="AM22" s="1803"/>
      <c r="AN22" s="1803"/>
      <c r="AO22" s="1803"/>
      <c r="AP22" s="1803"/>
      <c r="AQ22" s="1803"/>
      <c r="AR22" s="1803"/>
      <c r="AS22" s="1803"/>
      <c r="AT22" s="1803"/>
      <c r="AU22" s="1816"/>
      <c r="AV22" s="1816"/>
      <c r="AW22" s="1816"/>
      <c r="AX22" s="1816"/>
      <c r="AY22" s="1817"/>
      <c r="AZ22" s="1803"/>
      <c r="BA22" s="1803"/>
      <c r="BB22" s="1803"/>
      <c r="BC22" s="1803"/>
      <c r="BD22" s="1803"/>
      <c r="BE22" s="1801">
        <f t="shared" si="0"/>
        <v>136575076</v>
      </c>
      <c r="BF22" s="1801"/>
      <c r="BG22" s="1801"/>
      <c r="BH22" s="1801"/>
      <c r="BI22" s="1801"/>
      <c r="BJ22" s="1809"/>
      <c r="BK22" s="1809"/>
      <c r="BL22" s="1809"/>
    </row>
    <row r="23" spans="1:64" s="975" customFormat="1" ht="12.75" customHeight="1">
      <c r="A23" s="1806" t="s">
        <v>494</v>
      </c>
      <c r="B23" s="1806"/>
      <c r="C23" s="1807" t="s">
        <v>662</v>
      </c>
      <c r="D23" s="1807"/>
      <c r="E23" s="1807"/>
      <c r="F23" s="1807"/>
      <c r="G23" s="1807"/>
      <c r="H23" s="1807"/>
      <c r="I23" s="1807"/>
      <c r="J23" s="1807"/>
      <c r="K23" s="1807"/>
      <c r="L23" s="1807"/>
      <c r="M23" s="1807"/>
      <c r="N23" s="1807"/>
      <c r="O23" s="1807"/>
      <c r="P23" s="1807"/>
      <c r="Q23" s="1807"/>
      <c r="R23" s="1807"/>
      <c r="S23" s="1807"/>
      <c r="T23" s="1807"/>
      <c r="U23" s="1807"/>
      <c r="V23" s="1807"/>
      <c r="W23" s="1807"/>
      <c r="X23" s="1807"/>
      <c r="Y23" s="1807"/>
      <c r="Z23" s="1807"/>
      <c r="AA23" s="1800">
        <f>AA20+AA21-AA22</f>
        <v>59234798</v>
      </c>
      <c r="AB23" s="1808"/>
      <c r="AC23" s="1808"/>
      <c r="AD23" s="1808"/>
      <c r="AE23" s="1808"/>
      <c r="AF23" s="1800">
        <f>AF20+AF21-AF22</f>
        <v>2188579382</v>
      </c>
      <c r="AG23" s="1808"/>
      <c r="AH23" s="1808"/>
      <c r="AI23" s="1808"/>
      <c r="AJ23" s="1808"/>
      <c r="AK23" s="1800">
        <f>AK20+AK21-AK22</f>
        <v>410955318</v>
      </c>
      <c r="AL23" s="1808"/>
      <c r="AM23" s="1808"/>
      <c r="AN23" s="1808"/>
      <c r="AO23" s="1808"/>
      <c r="AP23" s="1800">
        <f>AP20+AP21-AP22</f>
        <v>0</v>
      </c>
      <c r="AQ23" s="1808"/>
      <c r="AR23" s="1808"/>
      <c r="AS23" s="1808"/>
      <c r="AT23" s="1808"/>
      <c r="AU23" s="1800">
        <f>AU20+AU21-AU22</f>
        <v>0</v>
      </c>
      <c r="AV23" s="1808"/>
      <c r="AW23" s="1808"/>
      <c r="AX23" s="1808"/>
      <c r="AY23" s="1808"/>
      <c r="AZ23" s="1800">
        <f>AZ20+AZ21-AZ22</f>
        <v>0</v>
      </c>
      <c r="BA23" s="1808"/>
      <c r="BB23" s="1808"/>
      <c r="BC23" s="1808"/>
      <c r="BD23" s="1808"/>
      <c r="BE23" s="1801">
        <f t="shared" si="0"/>
        <v>2658769498</v>
      </c>
      <c r="BF23" s="1801"/>
      <c r="BG23" s="1801"/>
      <c r="BH23" s="1801"/>
      <c r="BI23" s="1801"/>
      <c r="BJ23" s="1814"/>
      <c r="BK23" s="1814"/>
      <c r="BL23" s="1814"/>
    </row>
    <row r="24" spans="1:64" s="975" customFormat="1" ht="12.75" customHeight="1">
      <c r="A24" s="1806" t="s">
        <v>495</v>
      </c>
      <c r="B24" s="1806"/>
      <c r="C24" s="1807" t="s">
        <v>637</v>
      </c>
      <c r="D24" s="1807"/>
      <c r="E24" s="1807"/>
      <c r="F24" s="1807"/>
      <c r="G24" s="1807"/>
      <c r="H24" s="1807"/>
      <c r="I24" s="1807"/>
      <c r="J24" s="1807"/>
      <c r="K24" s="1807"/>
      <c r="L24" s="1807"/>
      <c r="M24" s="1807"/>
      <c r="N24" s="1807"/>
      <c r="O24" s="1807"/>
      <c r="P24" s="1807"/>
      <c r="Q24" s="1807"/>
      <c r="R24" s="1807"/>
      <c r="S24" s="1807"/>
      <c r="T24" s="1807"/>
      <c r="U24" s="1807"/>
      <c r="V24" s="1807"/>
      <c r="W24" s="1807"/>
      <c r="X24" s="1807"/>
      <c r="Y24" s="1807"/>
      <c r="Z24" s="1807"/>
      <c r="AA24" s="1813"/>
      <c r="AB24" s="1813"/>
      <c r="AC24" s="1813"/>
      <c r="AD24" s="1813"/>
      <c r="AE24" s="1813"/>
      <c r="AF24" s="1802">
        <v>1872828</v>
      </c>
      <c r="AG24" s="1802"/>
      <c r="AH24" s="1802"/>
      <c r="AI24" s="1802"/>
      <c r="AJ24" s="1802"/>
      <c r="AK24" s="1802">
        <v>162900745</v>
      </c>
      <c r="AL24" s="1802"/>
      <c r="AM24" s="1802"/>
      <c r="AN24" s="1802"/>
      <c r="AO24" s="1802"/>
      <c r="AP24" s="1802"/>
      <c r="AQ24" s="1802"/>
      <c r="AR24" s="1802"/>
      <c r="AS24" s="1802"/>
      <c r="AT24" s="1802"/>
      <c r="AU24" s="1815"/>
      <c r="AV24" s="1813"/>
      <c r="AW24" s="1813"/>
      <c r="AX24" s="1813"/>
      <c r="AY24" s="1813"/>
      <c r="AZ24" s="1813"/>
      <c r="BA24" s="1813"/>
      <c r="BB24" s="1813"/>
      <c r="BC24" s="1813"/>
      <c r="BD24" s="1813"/>
      <c r="BE24" s="1801">
        <f t="shared" si="0"/>
        <v>164773573</v>
      </c>
      <c r="BF24" s="1801"/>
      <c r="BG24" s="1801"/>
      <c r="BH24" s="1801"/>
      <c r="BI24" s="1801"/>
      <c r="BJ24" s="1814"/>
      <c r="BK24" s="1814"/>
      <c r="BL24" s="1814"/>
    </row>
    <row r="25" spans="1:64" ht="12.75" customHeight="1">
      <c r="A25" s="1804" t="s">
        <v>497</v>
      </c>
      <c r="B25" s="1804"/>
      <c r="C25" s="1812" t="s">
        <v>636</v>
      </c>
      <c r="D25" s="1812"/>
      <c r="E25" s="1812"/>
      <c r="F25" s="1812"/>
      <c r="G25" s="1812"/>
      <c r="H25" s="1812"/>
      <c r="I25" s="1812"/>
      <c r="J25" s="1812"/>
      <c r="K25" s="1812"/>
      <c r="L25" s="1812"/>
      <c r="M25" s="1812"/>
      <c r="N25" s="1812"/>
      <c r="O25" s="1812"/>
      <c r="P25" s="1812"/>
      <c r="Q25" s="1812"/>
      <c r="R25" s="1812"/>
      <c r="S25" s="1812"/>
      <c r="T25" s="1812"/>
      <c r="U25" s="1812"/>
      <c r="V25" s="1812"/>
      <c r="W25" s="1812"/>
      <c r="X25" s="1812"/>
      <c r="Y25" s="1812"/>
      <c r="Z25" s="1812"/>
      <c r="AA25" s="1802">
        <v>15000</v>
      </c>
      <c r="AB25" s="1802"/>
      <c r="AC25" s="1802"/>
      <c r="AD25" s="1802"/>
      <c r="AE25" s="1802"/>
      <c r="AF25" s="1802"/>
      <c r="AG25" s="1802"/>
      <c r="AH25" s="1802"/>
      <c r="AI25" s="1802"/>
      <c r="AJ25" s="1802"/>
      <c r="AK25" s="1802"/>
      <c r="AL25" s="1802"/>
      <c r="AM25" s="1802"/>
      <c r="AN25" s="1802"/>
      <c r="AO25" s="1802"/>
      <c r="AP25" s="1802"/>
      <c r="AQ25" s="1802"/>
      <c r="AR25" s="1802"/>
      <c r="AS25" s="1802"/>
      <c r="AT25" s="1802"/>
      <c r="AU25" s="1810"/>
      <c r="AV25" s="1803"/>
      <c r="AW25" s="1803"/>
      <c r="AX25" s="1803"/>
      <c r="AY25" s="1803"/>
      <c r="AZ25" s="1803"/>
      <c r="BA25" s="1803"/>
      <c r="BB25" s="1803"/>
      <c r="BC25" s="1803"/>
      <c r="BD25" s="1803"/>
      <c r="BE25" s="1800">
        <f t="shared" si="0"/>
        <v>15000</v>
      </c>
      <c r="BF25" s="1800"/>
      <c r="BG25" s="1800"/>
      <c r="BH25" s="1800"/>
      <c r="BI25" s="1800"/>
      <c r="BJ25" s="1811"/>
      <c r="BK25" s="1811"/>
      <c r="BL25" s="1811"/>
    </row>
    <row r="26" spans="1:64" ht="12.75" customHeight="1">
      <c r="A26" s="1804" t="s">
        <v>502</v>
      </c>
      <c r="B26" s="1804"/>
      <c r="C26" s="1812" t="s">
        <v>635</v>
      </c>
      <c r="D26" s="1812"/>
      <c r="E26" s="1812"/>
      <c r="F26" s="1812"/>
      <c r="G26" s="1812"/>
      <c r="H26" s="1812"/>
      <c r="I26" s="1812"/>
      <c r="J26" s="1812"/>
      <c r="K26" s="1812"/>
      <c r="L26" s="1812"/>
      <c r="M26" s="1812"/>
      <c r="N26" s="1812"/>
      <c r="O26" s="1812"/>
      <c r="P26" s="1812"/>
      <c r="Q26" s="1812"/>
      <c r="R26" s="1812"/>
      <c r="S26" s="1812"/>
      <c r="T26" s="1812"/>
      <c r="U26" s="1812"/>
      <c r="V26" s="1812"/>
      <c r="W26" s="1812"/>
      <c r="X26" s="1812"/>
      <c r="Y26" s="1812"/>
      <c r="Z26" s="1812"/>
      <c r="AA26" s="1802"/>
      <c r="AB26" s="1802"/>
      <c r="AC26" s="1802"/>
      <c r="AD26" s="1802"/>
      <c r="AE26" s="1802"/>
      <c r="AF26" s="1802"/>
      <c r="AG26" s="1802"/>
      <c r="AH26" s="1802"/>
      <c r="AI26" s="1802"/>
      <c r="AJ26" s="1802"/>
      <c r="AK26" s="1802"/>
      <c r="AL26" s="1802"/>
      <c r="AM26" s="1802"/>
      <c r="AN26" s="1802"/>
      <c r="AO26" s="1802"/>
      <c r="AP26" s="1802"/>
      <c r="AQ26" s="1802"/>
      <c r="AR26" s="1802"/>
      <c r="AS26" s="1802"/>
      <c r="AT26" s="1802"/>
      <c r="AU26" s="1802"/>
      <c r="AV26" s="1802"/>
      <c r="AW26" s="1802"/>
      <c r="AX26" s="1802"/>
      <c r="AY26" s="1802"/>
      <c r="AZ26" s="1803"/>
      <c r="BA26" s="1803"/>
      <c r="BB26" s="1803"/>
      <c r="BC26" s="1803"/>
      <c r="BD26" s="1803"/>
      <c r="BE26" s="1800">
        <f t="shared" si="0"/>
        <v>0</v>
      </c>
      <c r="BF26" s="1800"/>
      <c r="BG26" s="1800"/>
      <c r="BH26" s="1800"/>
      <c r="BI26" s="1800"/>
      <c r="BJ26" s="1809"/>
      <c r="BK26" s="1809"/>
      <c r="BL26" s="1809"/>
    </row>
    <row r="27" spans="1:64" s="975" customFormat="1" ht="12.75" customHeight="1">
      <c r="A27" s="1806" t="s">
        <v>503</v>
      </c>
      <c r="B27" s="1806"/>
      <c r="C27" s="1807" t="s">
        <v>663</v>
      </c>
      <c r="D27" s="1807"/>
      <c r="E27" s="1807"/>
      <c r="F27" s="1807"/>
      <c r="G27" s="1807"/>
      <c r="H27" s="1807"/>
      <c r="I27" s="1807"/>
      <c r="J27" s="1807"/>
      <c r="K27" s="1807"/>
      <c r="L27" s="1807"/>
      <c r="M27" s="1807"/>
      <c r="N27" s="1807"/>
      <c r="O27" s="1807"/>
      <c r="P27" s="1807"/>
      <c r="Q27" s="1807"/>
      <c r="R27" s="1807"/>
      <c r="S27" s="1807"/>
      <c r="T27" s="1807"/>
      <c r="U27" s="1807"/>
      <c r="V27" s="1807"/>
      <c r="W27" s="1807"/>
      <c r="X27" s="1807"/>
      <c r="Y27" s="1807"/>
      <c r="Z27" s="1807"/>
      <c r="AA27" s="1800">
        <f>AA24+AA25-AA26</f>
        <v>15000</v>
      </c>
      <c r="AB27" s="1808"/>
      <c r="AC27" s="1808"/>
      <c r="AD27" s="1808"/>
      <c r="AE27" s="1808"/>
      <c r="AF27" s="1800">
        <f>AF24+AF25-AF26</f>
        <v>1872828</v>
      </c>
      <c r="AG27" s="1808"/>
      <c r="AH27" s="1808"/>
      <c r="AI27" s="1808"/>
      <c r="AJ27" s="1808"/>
      <c r="AK27" s="1800">
        <f>AK24+AK25-AK26</f>
        <v>162900745</v>
      </c>
      <c r="AL27" s="1808"/>
      <c r="AM27" s="1808"/>
      <c r="AN27" s="1808"/>
      <c r="AO27" s="1808"/>
      <c r="AP27" s="1800">
        <f>AP24+AP25-AP26</f>
        <v>0</v>
      </c>
      <c r="AQ27" s="1808"/>
      <c r="AR27" s="1808"/>
      <c r="AS27" s="1808"/>
      <c r="AT27" s="1808"/>
      <c r="AU27" s="1800">
        <f>AU24+AU25-AU26</f>
        <v>0</v>
      </c>
      <c r="AV27" s="1808"/>
      <c r="AW27" s="1808"/>
      <c r="AX27" s="1808"/>
      <c r="AY27" s="1808"/>
      <c r="AZ27" s="1800">
        <f>AZ24+AZ25-AZ26</f>
        <v>0</v>
      </c>
      <c r="BA27" s="1808"/>
      <c r="BB27" s="1808"/>
      <c r="BC27" s="1808"/>
      <c r="BD27" s="1808"/>
      <c r="BE27" s="1800">
        <f t="shared" si="0"/>
        <v>164788573</v>
      </c>
      <c r="BF27" s="1800"/>
      <c r="BG27" s="1800"/>
      <c r="BH27" s="1800"/>
      <c r="BI27" s="1800"/>
      <c r="BJ27" s="976"/>
      <c r="BK27" s="976"/>
      <c r="BL27" s="976"/>
    </row>
    <row r="28" spans="1:64" s="975" customFormat="1" ht="12.75" customHeight="1">
      <c r="A28" s="1806" t="s">
        <v>634</v>
      </c>
      <c r="B28" s="1806"/>
      <c r="C28" s="1807" t="s">
        <v>664</v>
      </c>
      <c r="D28" s="1807"/>
      <c r="E28" s="1807"/>
      <c r="F28" s="1807"/>
      <c r="G28" s="1807"/>
      <c r="H28" s="1807"/>
      <c r="I28" s="1807"/>
      <c r="J28" s="1807"/>
      <c r="K28" s="1807"/>
      <c r="L28" s="1807"/>
      <c r="M28" s="1807"/>
      <c r="N28" s="1807"/>
      <c r="O28" s="1807"/>
      <c r="P28" s="1807"/>
      <c r="Q28" s="1807"/>
      <c r="R28" s="1807"/>
      <c r="S28" s="1807"/>
      <c r="T28" s="1807"/>
      <c r="U28" s="1807"/>
      <c r="V28" s="1807"/>
      <c r="W28" s="1807"/>
      <c r="X28" s="1807"/>
      <c r="Y28" s="1807"/>
      <c r="Z28" s="1807"/>
      <c r="AA28" s="1800">
        <f>AA23+AA27</f>
        <v>59249798</v>
      </c>
      <c r="AB28" s="1808"/>
      <c r="AC28" s="1808"/>
      <c r="AD28" s="1808"/>
      <c r="AE28" s="1808"/>
      <c r="AF28" s="1800">
        <f>AF23+AF27</f>
        <v>2190452210</v>
      </c>
      <c r="AG28" s="1808"/>
      <c r="AH28" s="1808"/>
      <c r="AI28" s="1808"/>
      <c r="AJ28" s="1808"/>
      <c r="AK28" s="1800">
        <f>AK23+AK27</f>
        <v>573856063</v>
      </c>
      <c r="AL28" s="1808"/>
      <c r="AM28" s="1808"/>
      <c r="AN28" s="1808"/>
      <c r="AO28" s="1808"/>
      <c r="AP28" s="1800">
        <f>AP23+AP27</f>
        <v>0</v>
      </c>
      <c r="AQ28" s="1808"/>
      <c r="AR28" s="1808"/>
      <c r="AS28" s="1808"/>
      <c r="AT28" s="1808"/>
      <c r="AU28" s="1800">
        <f>AU23+AU27</f>
        <v>0</v>
      </c>
      <c r="AV28" s="1808"/>
      <c r="AW28" s="1808"/>
      <c r="AX28" s="1808"/>
      <c r="AY28" s="1808"/>
      <c r="AZ28" s="1800">
        <f>AZ23+AZ27</f>
        <v>0</v>
      </c>
      <c r="BA28" s="1808"/>
      <c r="BB28" s="1808"/>
      <c r="BC28" s="1808"/>
      <c r="BD28" s="1808"/>
      <c r="BE28" s="1801">
        <f t="shared" si="0"/>
        <v>2823558071</v>
      </c>
      <c r="BF28" s="1801"/>
      <c r="BG28" s="1801"/>
      <c r="BH28" s="1801"/>
      <c r="BI28" s="1801"/>
      <c r="BJ28" s="976"/>
      <c r="BK28" s="976"/>
      <c r="BL28" s="976"/>
    </row>
    <row r="29" spans="1:64" s="975" customFormat="1" ht="12.75" customHeight="1">
      <c r="A29" s="1806" t="s">
        <v>633</v>
      </c>
      <c r="B29" s="1806"/>
      <c r="C29" s="1807" t="s">
        <v>665</v>
      </c>
      <c r="D29" s="1807"/>
      <c r="E29" s="1807"/>
      <c r="F29" s="1807"/>
      <c r="G29" s="1807"/>
      <c r="H29" s="1807"/>
      <c r="I29" s="1807"/>
      <c r="J29" s="1807"/>
      <c r="K29" s="1807"/>
      <c r="L29" s="1807"/>
      <c r="M29" s="1807"/>
      <c r="N29" s="1807"/>
      <c r="O29" s="1807"/>
      <c r="P29" s="1807"/>
      <c r="Q29" s="1807"/>
      <c r="R29" s="1807"/>
      <c r="S29" s="1807"/>
      <c r="T29" s="1807"/>
      <c r="U29" s="1807"/>
      <c r="V29" s="1807"/>
      <c r="W29" s="1807"/>
      <c r="X29" s="1807"/>
      <c r="Y29" s="1807"/>
      <c r="Z29" s="1807"/>
      <c r="AA29" s="1800">
        <f>AA19-AA28</f>
        <v>22150881</v>
      </c>
      <c r="AB29" s="1808"/>
      <c r="AC29" s="1808"/>
      <c r="AD29" s="1808"/>
      <c r="AE29" s="1808"/>
      <c r="AF29" s="1800">
        <f>AF19-AF28</f>
        <v>10795972826</v>
      </c>
      <c r="AG29" s="1808"/>
      <c r="AH29" s="1808"/>
      <c r="AI29" s="1808"/>
      <c r="AJ29" s="1808"/>
      <c r="AK29" s="1800">
        <f>AK19-AK28</f>
        <v>569112597</v>
      </c>
      <c r="AL29" s="1808"/>
      <c r="AM29" s="1808"/>
      <c r="AN29" s="1808"/>
      <c r="AO29" s="1808"/>
      <c r="AP29" s="1800">
        <f>AP19-AP28</f>
        <v>0</v>
      </c>
      <c r="AQ29" s="1808"/>
      <c r="AR29" s="1808"/>
      <c r="AS29" s="1808"/>
      <c r="AT29" s="1808"/>
      <c r="AU29" s="1800">
        <f>AU19-AU28</f>
        <v>90206587</v>
      </c>
      <c r="AV29" s="1808"/>
      <c r="AW29" s="1808"/>
      <c r="AX29" s="1808"/>
      <c r="AY29" s="1808"/>
      <c r="AZ29" s="1800">
        <f>AZ19-AZ28</f>
        <v>0</v>
      </c>
      <c r="BA29" s="1808"/>
      <c r="BB29" s="1808"/>
      <c r="BC29" s="1808"/>
      <c r="BD29" s="1808"/>
      <c r="BE29" s="1801">
        <f t="shared" si="0"/>
        <v>11477442891</v>
      </c>
      <c r="BF29" s="1801"/>
      <c r="BG29" s="1801"/>
      <c r="BH29" s="1801"/>
      <c r="BI29" s="1801"/>
      <c r="BJ29" s="976"/>
      <c r="BK29" s="976"/>
      <c r="BL29" s="976"/>
    </row>
    <row r="30" spans="1:64" ht="12.75" customHeight="1">
      <c r="A30" s="1804" t="s">
        <v>632</v>
      </c>
      <c r="B30" s="1804"/>
      <c r="C30" s="1805" t="s">
        <v>631</v>
      </c>
      <c r="D30" s="1805"/>
      <c r="E30" s="1805"/>
      <c r="F30" s="1805"/>
      <c r="G30" s="1805"/>
      <c r="H30" s="1805"/>
      <c r="I30" s="1805"/>
      <c r="J30" s="1805"/>
      <c r="K30" s="1805"/>
      <c r="L30" s="1805"/>
      <c r="M30" s="1805"/>
      <c r="N30" s="1805"/>
      <c r="O30" s="1805"/>
      <c r="P30" s="1805"/>
      <c r="Q30" s="1805"/>
      <c r="R30" s="1805"/>
      <c r="S30" s="1805"/>
      <c r="T30" s="1805"/>
      <c r="U30" s="1805"/>
      <c r="V30" s="1805"/>
      <c r="W30" s="1805"/>
      <c r="X30" s="1805"/>
      <c r="Y30" s="1805"/>
      <c r="Z30" s="1805"/>
      <c r="AA30" s="1802">
        <f>46482+34418716</f>
        <v>34465198</v>
      </c>
      <c r="AB30" s="1802"/>
      <c r="AC30" s="1802"/>
      <c r="AD30" s="1802"/>
      <c r="AE30" s="1802"/>
      <c r="AF30" s="1802">
        <f>13316767</f>
        <v>13316767</v>
      </c>
      <c r="AG30" s="1802"/>
      <c r="AH30" s="1802"/>
      <c r="AI30" s="1802"/>
      <c r="AJ30" s="1802"/>
      <c r="AK30" s="1802">
        <f>64567+470520+1581220+359541668</f>
        <v>361657975</v>
      </c>
      <c r="AL30" s="1802"/>
      <c r="AM30" s="1802"/>
      <c r="AN30" s="1802"/>
      <c r="AO30" s="1802"/>
      <c r="AP30" s="1802"/>
      <c r="AQ30" s="1802"/>
      <c r="AR30" s="1802"/>
      <c r="AS30" s="1802"/>
      <c r="AT30" s="1802"/>
      <c r="AU30" s="1802"/>
      <c r="AV30" s="1802"/>
      <c r="AW30" s="1802"/>
      <c r="AX30" s="1802"/>
      <c r="AY30" s="1802"/>
      <c r="AZ30" s="1803"/>
      <c r="BA30" s="1803"/>
      <c r="BB30" s="1803"/>
      <c r="BC30" s="1803"/>
      <c r="BD30" s="1803"/>
      <c r="BE30" s="1801">
        <f t="shared" si="0"/>
        <v>409439940</v>
      </c>
      <c r="BF30" s="1801"/>
      <c r="BG30" s="1801"/>
      <c r="BH30" s="1801"/>
      <c r="BI30" s="1801"/>
      <c r="BJ30" s="972"/>
      <c r="BK30" s="972"/>
      <c r="BL30" s="972"/>
    </row>
    <row r="31" spans="59:64" ht="12.75">
      <c r="BG31" s="977"/>
      <c r="BH31" s="977"/>
      <c r="BI31" s="977"/>
      <c r="BJ31" s="972"/>
      <c r="BK31" s="972"/>
      <c r="BL31" s="972"/>
    </row>
    <row r="32" spans="59:64" ht="12.75">
      <c r="BG32" s="976"/>
      <c r="BH32" s="976"/>
      <c r="BI32" s="976"/>
      <c r="BJ32" s="972"/>
      <c r="BK32" s="972"/>
      <c r="BL32" s="972"/>
    </row>
    <row r="33" spans="59:64" ht="12.75">
      <c r="BG33" s="976"/>
      <c r="BH33" s="976"/>
      <c r="BI33" s="976"/>
      <c r="BJ33" s="972"/>
      <c r="BK33" s="972"/>
      <c r="BL33" s="972"/>
    </row>
    <row r="34" spans="59:64" ht="12.75">
      <c r="BG34" s="976"/>
      <c r="BH34" s="976"/>
      <c r="BI34" s="976"/>
      <c r="BJ34" s="972"/>
      <c r="BK34" s="972"/>
      <c r="BL34" s="972"/>
    </row>
    <row r="35" spans="57:64" ht="12.75">
      <c r="BE35" s="1837"/>
      <c r="BF35" s="1838"/>
      <c r="BG35" s="1838"/>
      <c r="BH35" s="1838"/>
      <c r="BI35" s="1838"/>
      <c r="BJ35" s="1838"/>
      <c r="BK35" s="1838"/>
      <c r="BL35" s="972"/>
    </row>
    <row r="36" spans="57:64" ht="12.75">
      <c r="BE36" s="1838"/>
      <c r="BF36" s="1838"/>
      <c r="BG36" s="1838"/>
      <c r="BH36" s="1838"/>
      <c r="BI36" s="1838"/>
      <c r="BJ36" s="1838"/>
      <c r="BK36" s="1838"/>
      <c r="BL36" s="972"/>
    </row>
    <row r="37" spans="59:64" ht="12.75">
      <c r="BG37" s="976"/>
      <c r="BH37" s="976"/>
      <c r="BI37" s="976"/>
      <c r="BJ37" s="972"/>
      <c r="BK37" s="972"/>
      <c r="BL37" s="972"/>
    </row>
    <row r="38" spans="59:64" ht="12.75">
      <c r="BG38" s="976"/>
      <c r="BH38" s="976"/>
      <c r="BI38" s="976"/>
      <c r="BJ38" s="972"/>
      <c r="BK38" s="972"/>
      <c r="BL38" s="972"/>
    </row>
    <row r="39" spans="59:64" ht="12.75">
      <c r="BG39" s="976"/>
      <c r="BH39" s="976"/>
      <c r="BI39" s="976"/>
      <c r="BJ39" s="972"/>
      <c r="BK39" s="972"/>
      <c r="BL39" s="972"/>
    </row>
    <row r="40" spans="59:64" ht="12.75">
      <c r="BG40" s="976"/>
      <c r="BH40" s="976"/>
      <c r="BI40" s="976"/>
      <c r="BJ40" s="972"/>
      <c r="BK40" s="972"/>
      <c r="BL40" s="972"/>
    </row>
    <row r="41" spans="59:64" ht="12.75">
      <c r="BG41" s="976"/>
      <c r="BH41" s="976"/>
      <c r="BI41" s="976"/>
      <c r="BJ41" s="972"/>
      <c r="BK41" s="972"/>
      <c r="BL41" s="972"/>
    </row>
    <row r="42" spans="59:64" ht="12.75">
      <c r="BG42" s="976"/>
      <c r="BH42" s="976"/>
      <c r="BI42" s="976"/>
      <c r="BJ42" s="972"/>
      <c r="BK42" s="972"/>
      <c r="BL42" s="972"/>
    </row>
    <row r="43" spans="59:64" ht="12.75">
      <c r="BG43" s="976"/>
      <c r="BH43" s="976"/>
      <c r="BI43" s="976"/>
      <c r="BJ43" s="972"/>
      <c r="BK43" s="972"/>
      <c r="BL43" s="972"/>
    </row>
    <row r="44" spans="59:64" ht="12.75">
      <c r="BG44" s="976"/>
      <c r="BH44" s="976"/>
      <c r="BI44" s="976"/>
      <c r="BJ44" s="972"/>
      <c r="BK44" s="972"/>
      <c r="BL44" s="972"/>
    </row>
    <row r="45" spans="59:64" ht="12.75">
      <c r="BG45" s="976"/>
      <c r="BH45" s="976"/>
      <c r="BI45" s="976"/>
      <c r="BJ45" s="972"/>
      <c r="BK45" s="972"/>
      <c r="BL45" s="972"/>
    </row>
    <row r="46" spans="59:64" ht="12.75">
      <c r="BG46" s="976"/>
      <c r="BH46" s="976"/>
      <c r="BI46" s="976"/>
      <c r="BJ46" s="972"/>
      <c r="BK46" s="972"/>
      <c r="BL46" s="972"/>
    </row>
    <row r="47" spans="59:64" ht="12.75">
      <c r="BG47" s="976"/>
      <c r="BH47" s="976"/>
      <c r="BI47" s="976"/>
      <c r="BJ47" s="972"/>
      <c r="BK47" s="972"/>
      <c r="BL47" s="972"/>
    </row>
    <row r="48" spans="59:64" ht="12.75">
      <c r="BG48" s="976"/>
      <c r="BH48" s="976"/>
      <c r="BI48" s="976"/>
      <c r="BJ48" s="972"/>
      <c r="BK48" s="972"/>
      <c r="BL48" s="972"/>
    </row>
    <row r="49" spans="59:64" ht="12.75">
      <c r="BG49" s="976"/>
      <c r="BH49" s="976"/>
      <c r="BI49" s="976"/>
      <c r="BJ49" s="972"/>
      <c r="BK49" s="972"/>
      <c r="BL49" s="972"/>
    </row>
    <row r="50" spans="59:64" ht="12.75">
      <c r="BG50" s="976"/>
      <c r="BH50" s="976"/>
      <c r="BI50" s="976"/>
      <c r="BJ50" s="972"/>
      <c r="BK50" s="972"/>
      <c r="BL50" s="972"/>
    </row>
    <row r="51" spans="59:64" ht="12.75">
      <c r="BG51" s="976"/>
      <c r="BH51" s="976"/>
      <c r="BI51" s="976"/>
      <c r="BJ51" s="972"/>
      <c r="BK51" s="972"/>
      <c r="BL51" s="972"/>
    </row>
    <row r="52" spans="59:61" ht="12.75">
      <c r="BG52" s="976"/>
      <c r="BH52" s="976"/>
      <c r="BI52" s="976"/>
    </row>
    <row r="53" spans="59:61" ht="12.75">
      <c r="BG53" s="976"/>
      <c r="BH53" s="976"/>
      <c r="BI53" s="976"/>
    </row>
    <row r="54" spans="59:61" ht="12.75">
      <c r="BG54" s="976"/>
      <c r="BH54" s="976"/>
      <c r="BI54" s="976"/>
    </row>
    <row r="55" spans="59:61" ht="12.75">
      <c r="BG55" s="976"/>
      <c r="BH55" s="976"/>
      <c r="BI55" s="976"/>
    </row>
    <row r="56" spans="59:61" ht="12.75">
      <c r="BG56" s="976"/>
      <c r="BH56" s="976"/>
      <c r="BI56" s="976"/>
    </row>
    <row r="57" spans="59:61" ht="12.75">
      <c r="BG57" s="976"/>
      <c r="BH57" s="976"/>
      <c r="BI57" s="976"/>
    </row>
    <row r="58" spans="59:61" ht="12.75">
      <c r="BG58" s="976"/>
      <c r="BH58" s="976"/>
      <c r="BI58" s="976"/>
    </row>
  </sheetData>
  <sheetProtection/>
  <mergeCells count="270">
    <mergeCell ref="AS1:BI1"/>
    <mergeCell ref="BE10:BI10"/>
    <mergeCell ref="BJ5:BL5"/>
    <mergeCell ref="AK4:AO4"/>
    <mergeCell ref="BE4:BI4"/>
    <mergeCell ref="BE35:BK36"/>
    <mergeCell ref="BE11:BI11"/>
    <mergeCell ref="BE12:BI12"/>
    <mergeCell ref="BE5:BI5"/>
    <mergeCell ref="BE6:BI6"/>
    <mergeCell ref="BE7:BI7"/>
    <mergeCell ref="BE8:BI8"/>
    <mergeCell ref="BE9:BI9"/>
    <mergeCell ref="A2:BI2"/>
    <mergeCell ref="BJ4:BL4"/>
    <mergeCell ref="AP4:AT4"/>
    <mergeCell ref="AU4:AY4"/>
    <mergeCell ref="AZ4:BD4"/>
    <mergeCell ref="A3:BI3"/>
    <mergeCell ref="A4:B4"/>
    <mergeCell ref="C4:Z4"/>
    <mergeCell ref="AA4:AE4"/>
    <mergeCell ref="AF4:AJ4"/>
    <mergeCell ref="AP5:AT5"/>
    <mergeCell ref="A5:B5"/>
    <mergeCell ref="C5:Z5"/>
    <mergeCell ref="AA5:AE5"/>
    <mergeCell ref="AF5:AJ5"/>
    <mergeCell ref="AK5:AO5"/>
    <mergeCell ref="AU6:AY6"/>
    <mergeCell ref="A6:B6"/>
    <mergeCell ref="C6:Z6"/>
    <mergeCell ref="AA6:AE6"/>
    <mergeCell ref="AF6:AJ6"/>
    <mergeCell ref="AK6:AO6"/>
    <mergeCell ref="AZ7:BD7"/>
    <mergeCell ref="AU5:AY5"/>
    <mergeCell ref="AZ5:BD5"/>
    <mergeCell ref="BJ6:BL6"/>
    <mergeCell ref="A7:B7"/>
    <mergeCell ref="C7:Z7"/>
    <mergeCell ref="AA7:AE7"/>
    <mergeCell ref="AF7:AJ7"/>
    <mergeCell ref="AK7:AO7"/>
    <mergeCell ref="AP6:AT6"/>
    <mergeCell ref="BJ9:BL9"/>
    <mergeCell ref="AZ6:BD6"/>
    <mergeCell ref="BJ7:BL7"/>
    <mergeCell ref="A8:B8"/>
    <mergeCell ref="C8:Z8"/>
    <mergeCell ref="AA8:AE8"/>
    <mergeCell ref="AF8:AJ8"/>
    <mergeCell ref="AK8:AO8"/>
    <mergeCell ref="AP7:AT7"/>
    <mergeCell ref="AU7:AY7"/>
    <mergeCell ref="AP9:AT9"/>
    <mergeCell ref="BJ8:BL8"/>
    <mergeCell ref="A9:B9"/>
    <mergeCell ref="C9:Z9"/>
    <mergeCell ref="AA9:AE9"/>
    <mergeCell ref="AF9:AJ9"/>
    <mergeCell ref="AK9:AO9"/>
    <mergeCell ref="AP8:AT8"/>
    <mergeCell ref="AU8:AY8"/>
    <mergeCell ref="AZ8:BD8"/>
    <mergeCell ref="AU10:AY10"/>
    <mergeCell ref="A10:B10"/>
    <mergeCell ref="C10:Z10"/>
    <mergeCell ref="AA10:AE10"/>
    <mergeCell ref="AF10:AJ10"/>
    <mergeCell ref="AK10:AO10"/>
    <mergeCell ref="AZ11:BD11"/>
    <mergeCell ref="AU9:AY9"/>
    <mergeCell ref="AZ9:BD9"/>
    <mergeCell ref="BJ10:BL10"/>
    <mergeCell ref="A11:B11"/>
    <mergeCell ref="C11:Z11"/>
    <mergeCell ref="AA11:AE11"/>
    <mergeCell ref="AF11:AJ11"/>
    <mergeCell ref="AK11:AO11"/>
    <mergeCell ref="AP10:AT10"/>
    <mergeCell ref="BJ13:BL13"/>
    <mergeCell ref="AZ10:BD10"/>
    <mergeCell ref="BJ11:BL11"/>
    <mergeCell ref="A12:B12"/>
    <mergeCell ref="C12:Z12"/>
    <mergeCell ref="AA12:AE12"/>
    <mergeCell ref="AF12:AJ12"/>
    <mergeCell ref="AK12:AO12"/>
    <mergeCell ref="AP11:AT11"/>
    <mergeCell ref="AU11:AY11"/>
    <mergeCell ref="AP13:AT13"/>
    <mergeCell ref="BJ12:BL12"/>
    <mergeCell ref="A13:B13"/>
    <mergeCell ref="C13:Z13"/>
    <mergeCell ref="AA13:AE13"/>
    <mergeCell ref="AF13:AJ13"/>
    <mergeCell ref="AK13:AO13"/>
    <mergeCell ref="AP12:AT12"/>
    <mergeCell ref="AU12:AY12"/>
    <mergeCell ref="AZ12:BD12"/>
    <mergeCell ref="AU14:AY14"/>
    <mergeCell ref="A14:B14"/>
    <mergeCell ref="C14:Z14"/>
    <mergeCell ref="AA14:AE14"/>
    <mergeCell ref="AF14:AJ14"/>
    <mergeCell ref="AK14:AO14"/>
    <mergeCell ref="AZ15:BD15"/>
    <mergeCell ref="AU13:AY13"/>
    <mergeCell ref="AZ13:BD13"/>
    <mergeCell ref="BJ14:BL14"/>
    <mergeCell ref="A15:B15"/>
    <mergeCell ref="C15:Z15"/>
    <mergeCell ref="AA15:AE15"/>
    <mergeCell ref="AF15:AJ15"/>
    <mergeCell ref="AK15:AO15"/>
    <mergeCell ref="AP14:AT14"/>
    <mergeCell ref="AP16:AT16"/>
    <mergeCell ref="AZ14:BD14"/>
    <mergeCell ref="BJ15:BL15"/>
    <mergeCell ref="A16:B16"/>
    <mergeCell ref="C16:Z16"/>
    <mergeCell ref="AA16:AE16"/>
    <mergeCell ref="AF16:AJ16"/>
    <mergeCell ref="AK16:AO16"/>
    <mergeCell ref="AP15:AT15"/>
    <mergeCell ref="AU15:AY15"/>
    <mergeCell ref="AK17:AO17"/>
    <mergeCell ref="A18:B18"/>
    <mergeCell ref="C18:Z18"/>
    <mergeCell ref="AA18:AE18"/>
    <mergeCell ref="AF18:AJ18"/>
    <mergeCell ref="AK18:AO18"/>
    <mergeCell ref="C17:Z17"/>
    <mergeCell ref="AA17:AE17"/>
    <mergeCell ref="A17:B17"/>
    <mergeCell ref="BJ18:BL18"/>
    <mergeCell ref="AP17:AT17"/>
    <mergeCell ref="AU17:AY17"/>
    <mergeCell ref="AZ17:BD17"/>
    <mergeCell ref="AU16:AY16"/>
    <mergeCell ref="AZ16:BD16"/>
    <mergeCell ref="BJ17:BL17"/>
    <mergeCell ref="AP18:AT18"/>
    <mergeCell ref="AZ18:BD18"/>
    <mergeCell ref="BJ16:BL16"/>
    <mergeCell ref="A19:B19"/>
    <mergeCell ref="C19:Z19"/>
    <mergeCell ref="AA19:AE19"/>
    <mergeCell ref="AF19:AJ19"/>
    <mergeCell ref="AK19:AO19"/>
    <mergeCell ref="AZ19:BD19"/>
    <mergeCell ref="C20:Z20"/>
    <mergeCell ref="AA20:AE20"/>
    <mergeCell ref="AF20:AJ20"/>
    <mergeCell ref="AP20:AT20"/>
    <mergeCell ref="AU19:AY19"/>
    <mergeCell ref="AU20:AY20"/>
    <mergeCell ref="AK20:AO20"/>
    <mergeCell ref="AP19:AT19"/>
    <mergeCell ref="AU18:AY18"/>
    <mergeCell ref="AF17:AJ17"/>
    <mergeCell ref="BJ19:BL19"/>
    <mergeCell ref="BJ21:BL21"/>
    <mergeCell ref="A21:B21"/>
    <mergeCell ref="C21:Z21"/>
    <mergeCell ref="AA21:AE21"/>
    <mergeCell ref="AF21:AJ21"/>
    <mergeCell ref="AK21:AO21"/>
    <mergeCell ref="AP21:AT21"/>
    <mergeCell ref="A20:B20"/>
    <mergeCell ref="A22:B22"/>
    <mergeCell ref="C22:Z22"/>
    <mergeCell ref="BJ20:BL20"/>
    <mergeCell ref="AA22:AE22"/>
    <mergeCell ref="AF22:AJ22"/>
    <mergeCell ref="AK22:AO22"/>
    <mergeCell ref="AP22:AT22"/>
    <mergeCell ref="AU21:AY21"/>
    <mergeCell ref="AZ20:BD20"/>
    <mergeCell ref="AZ21:BD21"/>
    <mergeCell ref="A23:B23"/>
    <mergeCell ref="C23:Z23"/>
    <mergeCell ref="AA23:AE23"/>
    <mergeCell ref="AF23:AJ23"/>
    <mergeCell ref="AK23:AO23"/>
    <mergeCell ref="AP23:AT23"/>
    <mergeCell ref="AU22:AY22"/>
    <mergeCell ref="AZ22:BD22"/>
    <mergeCell ref="AU23:AY23"/>
    <mergeCell ref="AK24:AO24"/>
    <mergeCell ref="AP24:AT24"/>
    <mergeCell ref="AZ23:BD23"/>
    <mergeCell ref="BJ22:BL22"/>
    <mergeCell ref="BJ23:BL23"/>
    <mergeCell ref="AU24:AY24"/>
    <mergeCell ref="AZ24:BD24"/>
    <mergeCell ref="BJ24:BL24"/>
    <mergeCell ref="A24:B24"/>
    <mergeCell ref="C24:Z24"/>
    <mergeCell ref="AA24:AE24"/>
    <mergeCell ref="AF24:AJ24"/>
    <mergeCell ref="AA25:AE25"/>
    <mergeCell ref="AF25:AJ25"/>
    <mergeCell ref="BJ25:BL25"/>
    <mergeCell ref="BE25:BI25"/>
    <mergeCell ref="BE24:BI24"/>
    <mergeCell ref="A26:B26"/>
    <mergeCell ref="C26:Z26"/>
    <mergeCell ref="AA26:AE26"/>
    <mergeCell ref="AF26:AJ26"/>
    <mergeCell ref="AK26:AO26"/>
    <mergeCell ref="A25:B25"/>
    <mergeCell ref="C25:Z25"/>
    <mergeCell ref="AF27:AJ27"/>
    <mergeCell ref="AK27:AO27"/>
    <mergeCell ref="AP27:AT27"/>
    <mergeCell ref="AU25:AY25"/>
    <mergeCell ref="AZ25:BD25"/>
    <mergeCell ref="AU26:AY26"/>
    <mergeCell ref="AZ26:BD26"/>
    <mergeCell ref="AP26:AT26"/>
    <mergeCell ref="AK25:AO25"/>
    <mergeCell ref="AP25:AT25"/>
    <mergeCell ref="A28:B28"/>
    <mergeCell ref="C28:Z28"/>
    <mergeCell ref="AA28:AE28"/>
    <mergeCell ref="AF28:AJ28"/>
    <mergeCell ref="BJ26:BL26"/>
    <mergeCell ref="AU27:AY27"/>
    <mergeCell ref="AZ27:BD27"/>
    <mergeCell ref="A27:B27"/>
    <mergeCell ref="C27:Z27"/>
    <mergeCell ref="AA27:AE27"/>
    <mergeCell ref="AU29:AY29"/>
    <mergeCell ref="AZ29:BD29"/>
    <mergeCell ref="AK28:AO28"/>
    <mergeCell ref="AP28:AT28"/>
    <mergeCell ref="AU28:AY28"/>
    <mergeCell ref="AZ28:BD28"/>
    <mergeCell ref="A29:B29"/>
    <mergeCell ref="C29:Z29"/>
    <mergeCell ref="AA29:AE29"/>
    <mergeCell ref="AF29:AJ29"/>
    <mergeCell ref="AK29:AO29"/>
    <mergeCell ref="AP29:AT29"/>
    <mergeCell ref="AK30:AO30"/>
    <mergeCell ref="AP30:AT30"/>
    <mergeCell ref="AU30:AY30"/>
    <mergeCell ref="AZ30:BD30"/>
    <mergeCell ref="A30:B30"/>
    <mergeCell ref="C30:Z30"/>
    <mergeCell ref="AA30:AE30"/>
    <mergeCell ref="AF30:AJ30"/>
    <mergeCell ref="BE13:BI13"/>
    <mergeCell ref="BE14:BI14"/>
    <mergeCell ref="BE15:BI15"/>
    <mergeCell ref="BE16:BI16"/>
    <mergeCell ref="BE17:BI17"/>
    <mergeCell ref="BE18:BI18"/>
    <mergeCell ref="BE26:BI26"/>
    <mergeCell ref="BE27:BI27"/>
    <mergeCell ref="BE28:BI28"/>
    <mergeCell ref="BE29:BI29"/>
    <mergeCell ref="BE30:BI30"/>
    <mergeCell ref="BE19:BI19"/>
    <mergeCell ref="BE20:BI20"/>
    <mergeCell ref="BE21:BI21"/>
    <mergeCell ref="BE22:BI22"/>
    <mergeCell ref="BE23:BI23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landscape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BA44"/>
  <sheetViews>
    <sheetView view="pageBreakPreview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2" width="2.75390625" style="792" customWidth="1"/>
    <col min="3" max="3" width="3.625" style="792" customWidth="1"/>
    <col min="4" max="20" width="2.75390625" style="792" customWidth="1"/>
    <col min="21" max="21" width="8.125" style="792" customWidth="1"/>
    <col min="22" max="22" width="4.875" style="792" customWidth="1"/>
    <col min="23" max="23" width="6.75390625" style="792" customWidth="1"/>
    <col min="24" max="24" width="14.00390625" style="1348" customWidth="1"/>
    <col min="25" max="25" width="13.00390625" style="1060" customWidth="1"/>
    <col min="26" max="26" width="18.00390625" style="1060" customWidth="1"/>
    <col min="27" max="27" width="12.25390625" style="1060" customWidth="1"/>
    <col min="28" max="28" width="12.00390625" style="1060" customWidth="1"/>
    <col min="29" max="29" width="13.875" style="1060" customWidth="1"/>
    <col min="30" max="30" width="2.875" style="793" customWidth="1"/>
    <col min="31" max="32" width="1.75390625" style="793" customWidth="1"/>
    <col min="33" max="33" width="1.875" style="793" customWidth="1"/>
    <col min="34" max="34" width="5.875" style="793" customWidth="1"/>
    <col min="35" max="41" width="2.75390625" style="792" customWidth="1"/>
    <col min="42" max="16384" width="9.125" style="792" customWidth="1"/>
  </cols>
  <sheetData>
    <row r="1" spans="1:34" s="786" customFormat="1" ht="32.25" customHeight="1">
      <c r="A1" s="1964" t="s">
        <v>1109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  <c r="M1" s="1958"/>
      <c r="N1" s="1958"/>
      <c r="O1" s="1958"/>
      <c r="P1" s="1958"/>
      <c r="Q1" s="1958"/>
      <c r="R1" s="1958"/>
      <c r="S1" s="1958"/>
      <c r="T1" s="1958"/>
      <c r="U1" s="1958"/>
      <c r="V1" s="1958"/>
      <c r="W1" s="1958"/>
      <c r="X1" s="1958"/>
      <c r="Y1" s="1958"/>
      <c r="Z1" s="1958"/>
      <c r="AA1" s="1958"/>
      <c r="AB1" s="1958"/>
      <c r="AC1" s="1958"/>
      <c r="AD1" s="1958"/>
      <c r="AE1" s="1958"/>
      <c r="AF1" s="1958"/>
      <c r="AG1" s="1958"/>
      <c r="AH1" s="1958"/>
    </row>
    <row r="2" spans="1:53" s="786" customFormat="1" ht="12.75" customHeight="1">
      <c r="A2" s="1842" t="s">
        <v>508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1842"/>
      <c r="T2" s="1842"/>
      <c r="U2" s="1842"/>
      <c r="V2" s="1842"/>
      <c r="W2" s="1842"/>
      <c r="X2" s="1842"/>
      <c r="Y2" s="1842"/>
      <c r="Z2" s="1842"/>
      <c r="AA2" s="1842"/>
      <c r="AB2" s="1842"/>
      <c r="AC2" s="1842"/>
      <c r="AD2" s="1842"/>
      <c r="AE2" s="1842"/>
      <c r="AF2" s="1842"/>
      <c r="AG2" s="1842"/>
      <c r="AH2" s="1842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</row>
    <row r="3" spans="1:34" s="786" customFormat="1" ht="27.75" customHeight="1">
      <c r="A3" s="1874" t="s">
        <v>456</v>
      </c>
      <c r="B3" s="1875"/>
      <c r="C3" s="1875"/>
      <c r="D3" s="1874" t="s">
        <v>457</v>
      </c>
      <c r="E3" s="1875"/>
      <c r="F3" s="1875"/>
      <c r="G3" s="1875"/>
      <c r="H3" s="1875"/>
      <c r="I3" s="1875"/>
      <c r="J3" s="1875"/>
      <c r="K3" s="1875"/>
      <c r="L3" s="1875"/>
      <c r="M3" s="1875"/>
      <c r="N3" s="1875"/>
      <c r="O3" s="1875"/>
      <c r="P3" s="1875"/>
      <c r="Q3" s="1875"/>
      <c r="R3" s="1875"/>
      <c r="S3" s="1875"/>
      <c r="T3" s="1875"/>
      <c r="U3" s="1875"/>
      <c r="V3" s="1875"/>
      <c r="W3" s="1878"/>
      <c r="X3" s="1882" t="s">
        <v>309</v>
      </c>
      <c r="Y3" s="1792" t="s">
        <v>505</v>
      </c>
      <c r="Z3" s="1792" t="s">
        <v>154</v>
      </c>
      <c r="AA3" s="1792" t="s">
        <v>155</v>
      </c>
      <c r="AB3" s="1792" t="s">
        <v>58</v>
      </c>
      <c r="AC3" s="1792" t="s">
        <v>310</v>
      </c>
      <c r="AD3" s="1843" t="s">
        <v>504</v>
      </c>
      <c r="AE3" s="1844"/>
      <c r="AF3" s="1844"/>
      <c r="AG3" s="1844"/>
      <c r="AH3" s="1845"/>
    </row>
    <row r="4" spans="1:34" s="788" customFormat="1" ht="17.25" customHeight="1">
      <c r="A4" s="1876"/>
      <c r="B4" s="1877"/>
      <c r="C4" s="1877"/>
      <c r="D4" s="1876"/>
      <c r="E4" s="1877"/>
      <c r="F4" s="1877"/>
      <c r="G4" s="1877"/>
      <c r="H4" s="1877"/>
      <c r="I4" s="1877"/>
      <c r="J4" s="1877"/>
      <c r="K4" s="1877"/>
      <c r="L4" s="1877"/>
      <c r="M4" s="1877"/>
      <c r="N4" s="1877"/>
      <c r="O4" s="1877"/>
      <c r="P4" s="1877"/>
      <c r="Q4" s="1877"/>
      <c r="R4" s="1877"/>
      <c r="S4" s="1877"/>
      <c r="T4" s="1877"/>
      <c r="U4" s="1877"/>
      <c r="V4" s="1877"/>
      <c r="W4" s="1879"/>
      <c r="X4" s="1882"/>
      <c r="Y4" s="1792"/>
      <c r="Z4" s="1792"/>
      <c r="AA4" s="1792"/>
      <c r="AB4" s="1792"/>
      <c r="AC4" s="1792"/>
      <c r="AD4" s="1846"/>
      <c r="AE4" s="1847"/>
      <c r="AF4" s="1847"/>
      <c r="AG4" s="1847"/>
      <c r="AH4" s="1848"/>
    </row>
    <row r="5" spans="1:34" s="789" customFormat="1" ht="15.75" customHeight="1">
      <c r="A5" s="1849" t="s">
        <v>311</v>
      </c>
      <c r="B5" s="1849"/>
      <c r="C5" s="1849"/>
      <c r="D5" s="1850" t="s">
        <v>458</v>
      </c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337">
        <v>924329375</v>
      </c>
      <c r="Y5" s="1049">
        <v>0</v>
      </c>
      <c r="Z5" s="1049"/>
      <c r="AA5" s="1049"/>
      <c r="AB5" s="1049">
        <v>0</v>
      </c>
      <c r="AC5" s="1049"/>
      <c r="AD5" s="1839">
        <f aca="true" t="shared" si="0" ref="AD5:AD42">SUM(X5:AC5)</f>
        <v>924329375</v>
      </c>
      <c r="AE5" s="1839"/>
      <c r="AF5" s="1839"/>
      <c r="AG5" s="1839"/>
      <c r="AH5" s="1839"/>
    </row>
    <row r="6" spans="1:34" s="789" customFormat="1" ht="15.75" customHeight="1">
      <c r="A6" s="1849" t="s">
        <v>313</v>
      </c>
      <c r="B6" s="1849"/>
      <c r="C6" s="1849"/>
      <c r="D6" s="1851" t="s">
        <v>459</v>
      </c>
      <c r="E6" s="1851"/>
      <c r="F6" s="1851"/>
      <c r="G6" s="1851"/>
      <c r="H6" s="1851"/>
      <c r="I6" s="1851"/>
      <c r="J6" s="1851"/>
      <c r="K6" s="1851"/>
      <c r="L6" s="1851"/>
      <c r="M6" s="1851"/>
      <c r="N6" s="1851"/>
      <c r="O6" s="1851"/>
      <c r="P6" s="1851"/>
      <c r="Q6" s="1851"/>
      <c r="R6" s="1851"/>
      <c r="S6" s="1851"/>
      <c r="T6" s="1851"/>
      <c r="U6" s="1851"/>
      <c r="V6" s="1851"/>
      <c r="W6" s="1851"/>
      <c r="X6" s="1338">
        <v>62125516</v>
      </c>
      <c r="Y6" s="1050">
        <v>4080843</v>
      </c>
      <c r="Z6" s="1050">
        <v>67626144</v>
      </c>
      <c r="AA6" s="1050">
        <v>2159</v>
      </c>
      <c r="AB6" s="1050">
        <v>1294156</v>
      </c>
      <c r="AC6" s="1050">
        <v>3756920</v>
      </c>
      <c r="AD6" s="1839">
        <f t="shared" si="0"/>
        <v>138885738</v>
      </c>
      <c r="AE6" s="1839"/>
      <c r="AF6" s="1839"/>
      <c r="AG6" s="1839"/>
      <c r="AH6" s="1839"/>
    </row>
    <row r="7" spans="1:34" s="789" customFormat="1" ht="15.75" customHeight="1">
      <c r="A7" s="1849" t="s">
        <v>317</v>
      </c>
      <c r="B7" s="1849"/>
      <c r="C7" s="1849"/>
      <c r="D7" s="1851" t="s">
        <v>460</v>
      </c>
      <c r="E7" s="1851"/>
      <c r="F7" s="1851"/>
      <c r="G7" s="1851"/>
      <c r="H7" s="1851"/>
      <c r="I7" s="1851"/>
      <c r="J7" s="1851"/>
      <c r="K7" s="1851"/>
      <c r="L7" s="1851"/>
      <c r="M7" s="1851"/>
      <c r="N7" s="1851"/>
      <c r="O7" s="1851"/>
      <c r="P7" s="1851"/>
      <c r="Q7" s="1851"/>
      <c r="R7" s="1851"/>
      <c r="S7" s="1851"/>
      <c r="T7" s="1851"/>
      <c r="U7" s="1851"/>
      <c r="V7" s="1851"/>
      <c r="W7" s="1851"/>
      <c r="X7" s="1338">
        <v>-9933761</v>
      </c>
      <c r="Y7" s="1050"/>
      <c r="Z7" s="1050"/>
      <c r="AA7" s="1050"/>
      <c r="AB7" s="1050"/>
      <c r="AC7" s="1050"/>
      <c r="AD7" s="1839">
        <f t="shared" si="0"/>
        <v>-9933761</v>
      </c>
      <c r="AE7" s="1839"/>
      <c r="AF7" s="1839"/>
      <c r="AG7" s="1839"/>
      <c r="AH7" s="1839"/>
    </row>
    <row r="8" spans="1:34" s="789" customFormat="1" ht="15.75" customHeight="1">
      <c r="A8" s="1852" t="s">
        <v>315</v>
      </c>
      <c r="B8" s="1852"/>
      <c r="C8" s="1852"/>
      <c r="D8" s="1853" t="s">
        <v>461</v>
      </c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339">
        <f aca="true" t="shared" si="1" ref="X8:AC8">SUM(X5:X7)</f>
        <v>976521130</v>
      </c>
      <c r="Y8" s="1051">
        <f t="shared" si="1"/>
        <v>4080843</v>
      </c>
      <c r="Z8" s="1051">
        <f t="shared" si="1"/>
        <v>67626144</v>
      </c>
      <c r="AA8" s="1051">
        <f t="shared" si="1"/>
        <v>2159</v>
      </c>
      <c r="AB8" s="1051">
        <f t="shared" si="1"/>
        <v>1294156</v>
      </c>
      <c r="AC8" s="1051">
        <f t="shared" si="1"/>
        <v>3756920</v>
      </c>
      <c r="AD8" s="1839">
        <f t="shared" si="0"/>
        <v>1053281352</v>
      </c>
      <c r="AE8" s="1839"/>
      <c r="AF8" s="1839"/>
      <c r="AG8" s="1839"/>
      <c r="AH8" s="1839"/>
    </row>
    <row r="9" spans="1:34" s="789" customFormat="1" ht="15.75" customHeight="1">
      <c r="A9" s="1849" t="s">
        <v>319</v>
      </c>
      <c r="B9" s="1849"/>
      <c r="C9" s="1849"/>
      <c r="D9" s="1851" t="s">
        <v>462</v>
      </c>
      <c r="E9" s="1851"/>
      <c r="F9" s="1851"/>
      <c r="G9" s="1851"/>
      <c r="H9" s="1851"/>
      <c r="I9" s="1851"/>
      <c r="J9" s="1851"/>
      <c r="K9" s="1851"/>
      <c r="L9" s="1851"/>
      <c r="M9" s="1851"/>
      <c r="N9" s="1851"/>
      <c r="O9" s="1851"/>
      <c r="P9" s="1851"/>
      <c r="Q9" s="1851"/>
      <c r="R9" s="1851"/>
      <c r="S9" s="1851"/>
      <c r="T9" s="1851"/>
      <c r="U9" s="1851"/>
      <c r="V9" s="1851"/>
      <c r="W9" s="1851"/>
      <c r="X9" s="1338"/>
      <c r="Y9" s="1050"/>
      <c r="Z9" s="1050"/>
      <c r="AA9" s="1050"/>
      <c r="AB9" s="1050"/>
      <c r="AC9" s="1050"/>
      <c r="AD9" s="1839">
        <f t="shared" si="0"/>
        <v>0</v>
      </c>
      <c r="AE9" s="1839"/>
      <c r="AF9" s="1839"/>
      <c r="AG9" s="1839"/>
      <c r="AH9" s="1839"/>
    </row>
    <row r="10" spans="1:34" s="789" customFormat="1" ht="15.75" customHeight="1">
      <c r="A10" s="1849" t="s">
        <v>324</v>
      </c>
      <c r="B10" s="1849"/>
      <c r="C10" s="1849"/>
      <c r="D10" s="1851" t="s">
        <v>463</v>
      </c>
      <c r="E10" s="1854"/>
      <c r="F10" s="1854"/>
      <c r="G10" s="1854"/>
      <c r="H10" s="1854"/>
      <c r="I10" s="1854"/>
      <c r="J10" s="1854"/>
      <c r="K10" s="1854"/>
      <c r="L10" s="1854"/>
      <c r="M10" s="1854"/>
      <c r="N10" s="1854"/>
      <c r="O10" s="1854"/>
      <c r="P10" s="1854"/>
      <c r="Q10" s="1854"/>
      <c r="R10" s="1854"/>
      <c r="S10" s="1854"/>
      <c r="T10" s="1854"/>
      <c r="U10" s="1854"/>
      <c r="V10" s="1854"/>
      <c r="W10" s="1854"/>
      <c r="X10" s="1340"/>
      <c r="Y10" s="1052"/>
      <c r="Z10" s="1052"/>
      <c r="AA10" s="1052"/>
      <c r="AB10" s="1052"/>
      <c r="AC10" s="1052"/>
      <c r="AD10" s="1839">
        <f t="shared" si="0"/>
        <v>0</v>
      </c>
      <c r="AE10" s="1839"/>
      <c r="AF10" s="1839"/>
      <c r="AG10" s="1839"/>
      <c r="AH10" s="1839"/>
    </row>
    <row r="11" spans="1:34" s="789" customFormat="1" ht="15.75" customHeight="1">
      <c r="A11" s="1852" t="s">
        <v>321</v>
      </c>
      <c r="B11" s="1852"/>
      <c r="C11" s="1852"/>
      <c r="D11" s="1855" t="s">
        <v>464</v>
      </c>
      <c r="E11" s="1855"/>
      <c r="F11" s="1855"/>
      <c r="G11" s="1855"/>
      <c r="H11" s="1855"/>
      <c r="I11" s="1855"/>
      <c r="J11" s="1855"/>
      <c r="K11" s="1855"/>
      <c r="L11" s="1855"/>
      <c r="M11" s="1855"/>
      <c r="N11" s="1855"/>
      <c r="O11" s="1855"/>
      <c r="P11" s="1855"/>
      <c r="Q11" s="1855"/>
      <c r="R11" s="1855"/>
      <c r="S11" s="1855"/>
      <c r="T11" s="1855"/>
      <c r="U11" s="1855"/>
      <c r="V11" s="1855"/>
      <c r="W11" s="1855"/>
      <c r="X11" s="1341">
        <f aca="true" t="shared" si="2" ref="X11:AC11">SUM(X9:X10)</f>
        <v>0</v>
      </c>
      <c r="Y11" s="1053">
        <f t="shared" si="2"/>
        <v>0</v>
      </c>
      <c r="Z11" s="1053">
        <f t="shared" si="2"/>
        <v>0</v>
      </c>
      <c r="AA11" s="1053">
        <f t="shared" si="2"/>
        <v>0</v>
      </c>
      <c r="AB11" s="1053">
        <f t="shared" si="2"/>
        <v>0</v>
      </c>
      <c r="AC11" s="1053">
        <f t="shared" si="2"/>
        <v>0</v>
      </c>
      <c r="AD11" s="1839">
        <f t="shared" si="0"/>
        <v>0</v>
      </c>
      <c r="AE11" s="1839"/>
      <c r="AF11" s="1839"/>
      <c r="AG11" s="1839"/>
      <c r="AH11" s="1839"/>
    </row>
    <row r="12" spans="1:34" s="789" customFormat="1" ht="15.75" customHeight="1">
      <c r="A12" s="1849" t="s">
        <v>326</v>
      </c>
      <c r="B12" s="1849"/>
      <c r="C12" s="1849"/>
      <c r="D12" s="1851" t="s">
        <v>465</v>
      </c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338">
        <v>564220709</v>
      </c>
      <c r="Y12" s="1050">
        <v>225726000</v>
      </c>
      <c r="Z12" s="1050">
        <v>128812000</v>
      </c>
      <c r="AA12" s="1050">
        <v>233492000</v>
      </c>
      <c r="AB12" s="1050">
        <v>34674000</v>
      </c>
      <c r="AC12" s="1050">
        <v>34865000</v>
      </c>
      <c r="AD12" s="1839">
        <f t="shared" si="0"/>
        <v>1221789709</v>
      </c>
      <c r="AE12" s="1839"/>
      <c r="AF12" s="1839"/>
      <c r="AG12" s="1839"/>
      <c r="AH12" s="1839"/>
    </row>
    <row r="13" spans="1:34" s="789" customFormat="1" ht="15.75" customHeight="1">
      <c r="A13" s="1849" t="s">
        <v>330</v>
      </c>
      <c r="B13" s="1849"/>
      <c r="C13" s="1849"/>
      <c r="D13" s="1851" t="s">
        <v>466</v>
      </c>
      <c r="E13" s="1851"/>
      <c r="F13" s="1851"/>
      <c r="G13" s="1851"/>
      <c r="H13" s="1851"/>
      <c r="I13" s="1851"/>
      <c r="J13" s="1851"/>
      <c r="K13" s="1851"/>
      <c r="L13" s="1851"/>
      <c r="M13" s="1851"/>
      <c r="N13" s="1851"/>
      <c r="O13" s="1851"/>
      <c r="P13" s="1851"/>
      <c r="Q13" s="1851"/>
      <c r="R13" s="1851"/>
      <c r="S13" s="1851"/>
      <c r="T13" s="1851"/>
      <c r="U13" s="1851"/>
      <c r="V13" s="1851"/>
      <c r="W13" s="1851"/>
      <c r="X13" s="1338">
        <v>348564094</v>
      </c>
      <c r="Y13" s="1050">
        <v>7989957</v>
      </c>
      <c r="Z13" s="1050">
        <v>36460681</v>
      </c>
      <c r="AA13" s="1050">
        <v>1694582</v>
      </c>
      <c r="AB13" s="1050"/>
      <c r="AC13" s="1050">
        <v>890241</v>
      </c>
      <c r="AD13" s="1839">
        <f t="shared" si="0"/>
        <v>395599555</v>
      </c>
      <c r="AE13" s="1839"/>
      <c r="AF13" s="1839"/>
      <c r="AG13" s="1839"/>
      <c r="AH13" s="1839"/>
    </row>
    <row r="14" spans="1:34" s="789" customFormat="1" ht="15.75" customHeight="1">
      <c r="A14" s="1849" t="s">
        <v>332</v>
      </c>
      <c r="B14" s="1849"/>
      <c r="C14" s="1849"/>
      <c r="D14" s="1851" t="s">
        <v>467</v>
      </c>
      <c r="E14" s="1851"/>
      <c r="F14" s="1851"/>
      <c r="G14" s="1851"/>
      <c r="H14" s="1851"/>
      <c r="I14" s="1851"/>
      <c r="J14" s="1851"/>
      <c r="K14" s="1851"/>
      <c r="L14" s="1851"/>
      <c r="M14" s="1851"/>
      <c r="N14" s="1851"/>
      <c r="O14" s="1851"/>
      <c r="P14" s="1851"/>
      <c r="Q14" s="1851"/>
      <c r="R14" s="1851"/>
      <c r="S14" s="1851"/>
      <c r="T14" s="1851"/>
      <c r="U14" s="1851"/>
      <c r="V14" s="1851"/>
      <c r="W14" s="1851"/>
      <c r="X14" s="1338">
        <v>141709563</v>
      </c>
      <c r="Y14" s="1050">
        <v>0</v>
      </c>
      <c r="Z14" s="1050">
        <v>1800000</v>
      </c>
      <c r="AA14" s="1050">
        <v>0</v>
      </c>
      <c r="AB14" s="1050"/>
      <c r="AC14" s="1050"/>
      <c r="AD14" s="1839">
        <f>SUM(X14:AC14)</f>
        <v>143509563</v>
      </c>
      <c r="AE14" s="1839"/>
      <c r="AF14" s="1839"/>
      <c r="AG14" s="1839"/>
      <c r="AH14" s="1839"/>
    </row>
    <row r="15" spans="1:34" s="789" customFormat="1" ht="15.75" customHeight="1">
      <c r="A15" s="1859" t="s">
        <v>468</v>
      </c>
      <c r="B15" s="1860"/>
      <c r="C15" s="1861"/>
      <c r="D15" s="1856" t="s">
        <v>467</v>
      </c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8"/>
      <c r="X15" s="1338">
        <v>4440898138</v>
      </c>
      <c r="Y15" s="1050">
        <v>100244</v>
      </c>
      <c r="Z15" s="1050">
        <v>5</v>
      </c>
      <c r="AA15" s="1050">
        <v>1</v>
      </c>
      <c r="AB15" s="1050">
        <v>11370</v>
      </c>
      <c r="AC15" s="1050">
        <v>3</v>
      </c>
      <c r="AD15" s="1839">
        <f>SUM(X15:AC15)</f>
        <v>4441009761</v>
      </c>
      <c r="AE15" s="1839"/>
      <c r="AF15" s="1839"/>
      <c r="AG15" s="1839"/>
      <c r="AH15" s="1839"/>
    </row>
    <row r="16" spans="1:34" s="789" customFormat="1" ht="15.75" customHeight="1">
      <c r="A16" s="1852" t="s">
        <v>328</v>
      </c>
      <c r="B16" s="1852"/>
      <c r="C16" s="1852"/>
      <c r="D16" s="1853" t="s">
        <v>810</v>
      </c>
      <c r="E16" s="1853"/>
      <c r="F16" s="1853"/>
      <c r="G16" s="1853"/>
      <c r="H16" s="1853"/>
      <c r="I16" s="1853"/>
      <c r="J16" s="1853"/>
      <c r="K16" s="1853"/>
      <c r="L16" s="1853"/>
      <c r="M16" s="1853"/>
      <c r="N16" s="1853"/>
      <c r="O16" s="1853"/>
      <c r="P16" s="1853"/>
      <c r="Q16" s="1853"/>
      <c r="R16" s="1853"/>
      <c r="S16" s="1853"/>
      <c r="T16" s="1853"/>
      <c r="U16" s="1853"/>
      <c r="V16" s="1853"/>
      <c r="W16" s="1853"/>
      <c r="X16" s="1339">
        <f aca="true" t="shared" si="3" ref="X16:AC16">SUM(X12:X15)</f>
        <v>5495392504</v>
      </c>
      <c r="Y16" s="1051">
        <f t="shared" si="3"/>
        <v>233816201</v>
      </c>
      <c r="Z16" s="1051">
        <f t="shared" si="3"/>
        <v>167072686</v>
      </c>
      <c r="AA16" s="1051">
        <f t="shared" si="3"/>
        <v>235186583</v>
      </c>
      <c r="AB16" s="1051">
        <f t="shared" si="3"/>
        <v>34685370</v>
      </c>
      <c r="AC16" s="1051">
        <f t="shared" si="3"/>
        <v>35755244</v>
      </c>
      <c r="AD16" s="1839">
        <f>SUM(X16:AC16)</f>
        <v>6201908588</v>
      </c>
      <c r="AE16" s="1839"/>
      <c r="AF16" s="1839"/>
      <c r="AG16" s="1839"/>
      <c r="AH16" s="1839"/>
    </row>
    <row r="17" spans="1:34" s="789" customFormat="1" ht="15.75" customHeight="1">
      <c r="A17" s="1849" t="s">
        <v>470</v>
      </c>
      <c r="B17" s="1849"/>
      <c r="C17" s="1849"/>
      <c r="D17" s="1851" t="s">
        <v>469</v>
      </c>
      <c r="E17" s="1851"/>
      <c r="F17" s="1851"/>
      <c r="G17" s="1851"/>
      <c r="H17" s="1851"/>
      <c r="I17" s="1851"/>
      <c r="J17" s="1851"/>
      <c r="K17" s="1851"/>
      <c r="L17" s="1851"/>
      <c r="M17" s="1851"/>
      <c r="N17" s="1851"/>
      <c r="O17" s="1851"/>
      <c r="P17" s="1851"/>
      <c r="Q17" s="1851"/>
      <c r="R17" s="1851"/>
      <c r="S17" s="1851"/>
      <c r="T17" s="1851"/>
      <c r="U17" s="1851"/>
      <c r="V17" s="1851"/>
      <c r="W17" s="1851"/>
      <c r="X17" s="1338">
        <v>20750579</v>
      </c>
      <c r="Y17" s="1050">
        <v>4511179</v>
      </c>
      <c r="Z17" s="1050">
        <v>12898395</v>
      </c>
      <c r="AA17" s="1050">
        <v>3718314</v>
      </c>
      <c r="AB17" s="1050">
        <v>5053668</v>
      </c>
      <c r="AC17" s="1050">
        <v>1378361</v>
      </c>
      <c r="AD17" s="1839">
        <f t="shared" si="0"/>
        <v>48310496</v>
      </c>
      <c r="AE17" s="1839"/>
      <c r="AF17" s="1839"/>
      <c r="AG17" s="1839"/>
      <c r="AH17" s="1839"/>
    </row>
    <row r="18" spans="1:34" s="789" customFormat="1" ht="15.75" customHeight="1">
      <c r="A18" s="1849" t="s">
        <v>472</v>
      </c>
      <c r="B18" s="1849"/>
      <c r="C18" s="1849"/>
      <c r="D18" s="1851" t="s">
        <v>471</v>
      </c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338">
        <v>339306582</v>
      </c>
      <c r="Y18" s="1050">
        <v>22291951</v>
      </c>
      <c r="Z18" s="1050">
        <v>31490698</v>
      </c>
      <c r="AA18" s="1050">
        <v>7176816</v>
      </c>
      <c r="AB18" s="1050">
        <v>6689525</v>
      </c>
      <c r="AC18" s="1050">
        <v>3465346</v>
      </c>
      <c r="AD18" s="1839">
        <f t="shared" si="0"/>
        <v>410420918</v>
      </c>
      <c r="AE18" s="1839"/>
      <c r="AF18" s="1839"/>
      <c r="AG18" s="1839"/>
      <c r="AH18" s="1839"/>
    </row>
    <row r="19" spans="1:34" s="790" customFormat="1" ht="15.75" customHeight="1">
      <c r="A19" s="1849" t="s">
        <v>474</v>
      </c>
      <c r="B19" s="1849"/>
      <c r="C19" s="1849"/>
      <c r="D19" s="1862" t="s">
        <v>473</v>
      </c>
      <c r="E19" s="1862"/>
      <c r="F19" s="1862"/>
      <c r="G19" s="1862"/>
      <c r="H19" s="1862"/>
      <c r="I19" s="1862"/>
      <c r="J19" s="1862"/>
      <c r="K19" s="1862"/>
      <c r="L19" s="1862"/>
      <c r="M19" s="1862"/>
      <c r="N19" s="1862"/>
      <c r="O19" s="1862"/>
      <c r="P19" s="1862"/>
      <c r="Q19" s="1862"/>
      <c r="R19" s="1862"/>
      <c r="S19" s="1862"/>
      <c r="T19" s="1862"/>
      <c r="U19" s="1862"/>
      <c r="V19" s="1862"/>
      <c r="W19" s="1862"/>
      <c r="X19" s="1342"/>
      <c r="Y19" s="1054"/>
      <c r="Z19" s="1054"/>
      <c r="AA19" s="1054"/>
      <c r="AB19" s="1054"/>
      <c r="AC19" s="1054"/>
      <c r="AD19" s="1839">
        <f t="shared" si="0"/>
        <v>0</v>
      </c>
      <c r="AE19" s="1839"/>
      <c r="AF19" s="1839"/>
      <c r="AG19" s="1839"/>
      <c r="AH19" s="1839"/>
    </row>
    <row r="20" spans="1:34" s="789" customFormat="1" ht="15.75" customHeight="1">
      <c r="A20" s="1849" t="s">
        <v>476</v>
      </c>
      <c r="B20" s="1849"/>
      <c r="C20" s="1849"/>
      <c r="D20" s="1851" t="s">
        <v>475</v>
      </c>
      <c r="E20" s="1851"/>
      <c r="F20" s="1851"/>
      <c r="G20" s="1851"/>
      <c r="H20" s="1851"/>
      <c r="I20" s="1851"/>
      <c r="J20" s="1851"/>
      <c r="K20" s="1851"/>
      <c r="L20" s="1851"/>
      <c r="M20" s="1851"/>
      <c r="N20" s="1851"/>
      <c r="O20" s="1851"/>
      <c r="P20" s="1851"/>
      <c r="Q20" s="1851"/>
      <c r="R20" s="1851"/>
      <c r="S20" s="1851"/>
      <c r="T20" s="1851"/>
      <c r="U20" s="1851"/>
      <c r="V20" s="1851"/>
      <c r="W20" s="1851"/>
      <c r="X20" s="1338">
        <v>15497381</v>
      </c>
      <c r="Y20" s="1050">
        <v>3270843</v>
      </c>
      <c r="Z20" s="1050">
        <v>634510</v>
      </c>
      <c r="AA20" s="1050">
        <v>0</v>
      </c>
      <c r="AB20" s="1050">
        <v>29877</v>
      </c>
      <c r="AC20" s="1050"/>
      <c r="AD20" s="1839">
        <f t="shared" si="0"/>
        <v>19432611</v>
      </c>
      <c r="AE20" s="1839"/>
      <c r="AF20" s="1839"/>
      <c r="AG20" s="1839"/>
      <c r="AH20" s="1839"/>
    </row>
    <row r="21" spans="1:34" s="789" customFormat="1" ht="15.75" customHeight="1">
      <c r="A21" s="1852" t="s">
        <v>334</v>
      </c>
      <c r="B21" s="1852"/>
      <c r="C21" s="1852"/>
      <c r="D21" s="1853" t="s">
        <v>809</v>
      </c>
      <c r="E21" s="1853"/>
      <c r="F21" s="1853"/>
      <c r="G21" s="1853"/>
      <c r="H21" s="1853"/>
      <c r="I21" s="1853"/>
      <c r="J21" s="1853"/>
      <c r="K21" s="1853"/>
      <c r="L21" s="1853"/>
      <c r="M21" s="1853"/>
      <c r="N21" s="1853"/>
      <c r="O21" s="1853"/>
      <c r="P21" s="1853"/>
      <c r="Q21" s="1853"/>
      <c r="R21" s="1853"/>
      <c r="S21" s="1853"/>
      <c r="T21" s="1853"/>
      <c r="U21" s="1853"/>
      <c r="V21" s="1853"/>
      <c r="W21" s="1853"/>
      <c r="X21" s="1339">
        <f aca="true" t="shared" si="4" ref="X21:AC21">SUM(X17:X20)</f>
        <v>375554542</v>
      </c>
      <c r="Y21" s="1051">
        <f t="shared" si="4"/>
        <v>30073973</v>
      </c>
      <c r="Z21" s="1051">
        <f t="shared" si="4"/>
        <v>45023603</v>
      </c>
      <c r="AA21" s="1051">
        <f t="shared" si="4"/>
        <v>10895130</v>
      </c>
      <c r="AB21" s="1051">
        <f t="shared" si="4"/>
        <v>11773070</v>
      </c>
      <c r="AC21" s="1051">
        <f t="shared" si="4"/>
        <v>4843707</v>
      </c>
      <c r="AD21" s="1839">
        <f t="shared" si="0"/>
        <v>478164025</v>
      </c>
      <c r="AE21" s="1839"/>
      <c r="AF21" s="1839"/>
      <c r="AG21" s="1839"/>
      <c r="AH21" s="1839"/>
    </row>
    <row r="22" spans="1:34" s="789" customFormat="1" ht="15.75" customHeight="1">
      <c r="A22" s="1849" t="s">
        <v>478</v>
      </c>
      <c r="B22" s="1849"/>
      <c r="C22" s="1849"/>
      <c r="D22" s="1851" t="s">
        <v>477</v>
      </c>
      <c r="E22" s="1851"/>
      <c r="F22" s="1851"/>
      <c r="G22" s="1851"/>
      <c r="H22" s="1851"/>
      <c r="I22" s="1851"/>
      <c r="J22" s="1851"/>
      <c r="K22" s="1851"/>
      <c r="L22" s="1851"/>
      <c r="M22" s="1851"/>
      <c r="N22" s="1851"/>
      <c r="O22" s="1851"/>
      <c r="P22" s="1851"/>
      <c r="Q22" s="1851"/>
      <c r="R22" s="1851"/>
      <c r="S22" s="1851"/>
      <c r="T22" s="1851"/>
      <c r="U22" s="1851"/>
      <c r="V22" s="1851"/>
      <c r="W22" s="1851"/>
      <c r="X22" s="1338">
        <v>79470677</v>
      </c>
      <c r="Y22" s="1050">
        <v>136035390</v>
      </c>
      <c r="Z22" s="1050">
        <v>130662262</v>
      </c>
      <c r="AA22" s="1050">
        <v>166212421</v>
      </c>
      <c r="AB22" s="1050">
        <v>17114295</v>
      </c>
      <c r="AC22" s="1050">
        <v>21248475</v>
      </c>
      <c r="AD22" s="1839">
        <f t="shared" si="0"/>
        <v>550743520</v>
      </c>
      <c r="AE22" s="1839"/>
      <c r="AF22" s="1839"/>
      <c r="AG22" s="1839"/>
      <c r="AH22" s="1839"/>
    </row>
    <row r="23" spans="1:34" s="789" customFormat="1" ht="15.75" customHeight="1">
      <c r="A23" s="1849" t="s">
        <v>480</v>
      </c>
      <c r="B23" s="1849"/>
      <c r="C23" s="1849"/>
      <c r="D23" s="1851" t="s">
        <v>479</v>
      </c>
      <c r="E23" s="1851"/>
      <c r="F23" s="1851"/>
      <c r="G23" s="1851"/>
      <c r="H23" s="1851"/>
      <c r="I23" s="1851"/>
      <c r="J23" s="1851"/>
      <c r="K23" s="1851"/>
      <c r="L23" s="1851"/>
      <c r="M23" s="1851"/>
      <c r="N23" s="1851"/>
      <c r="O23" s="1851"/>
      <c r="P23" s="1851"/>
      <c r="Q23" s="1851"/>
      <c r="R23" s="1851"/>
      <c r="S23" s="1851"/>
      <c r="T23" s="1851"/>
      <c r="U23" s="1851"/>
      <c r="V23" s="1851"/>
      <c r="W23" s="1851"/>
      <c r="X23" s="1338">
        <v>34327290</v>
      </c>
      <c r="Y23" s="1050">
        <v>13670091</v>
      </c>
      <c r="Z23" s="1050">
        <v>12210610</v>
      </c>
      <c r="AA23" s="1050">
        <v>14153734</v>
      </c>
      <c r="AB23" s="1050">
        <v>1803696</v>
      </c>
      <c r="AC23" s="1050">
        <v>2791970</v>
      </c>
      <c r="AD23" s="1839">
        <f t="shared" si="0"/>
        <v>78957391</v>
      </c>
      <c r="AE23" s="1839"/>
      <c r="AF23" s="1839"/>
      <c r="AG23" s="1839"/>
      <c r="AH23" s="1839"/>
    </row>
    <row r="24" spans="1:34" s="789" customFormat="1" ht="15.75" customHeight="1">
      <c r="A24" s="1849" t="s">
        <v>489</v>
      </c>
      <c r="B24" s="1849"/>
      <c r="C24" s="1849"/>
      <c r="D24" s="1851" t="s">
        <v>481</v>
      </c>
      <c r="E24" s="1851"/>
      <c r="F24" s="1851"/>
      <c r="G24" s="1851"/>
      <c r="H24" s="1851"/>
      <c r="I24" s="1851"/>
      <c r="J24" s="1851"/>
      <c r="K24" s="1851"/>
      <c r="L24" s="1851"/>
      <c r="M24" s="1851"/>
      <c r="N24" s="1851"/>
      <c r="O24" s="1851"/>
      <c r="P24" s="1851"/>
      <c r="Q24" s="1851"/>
      <c r="R24" s="1851"/>
      <c r="S24" s="1851"/>
      <c r="T24" s="1851"/>
      <c r="U24" s="1851"/>
      <c r="V24" s="1851"/>
      <c r="W24" s="1851"/>
      <c r="X24" s="1338">
        <v>22249553</v>
      </c>
      <c r="Y24" s="1050">
        <v>42028379</v>
      </c>
      <c r="Z24" s="1050">
        <v>40914185</v>
      </c>
      <c r="AA24" s="1050">
        <v>52005908</v>
      </c>
      <c r="AB24" s="1050">
        <v>5148680</v>
      </c>
      <c r="AC24" s="1050">
        <v>6402975</v>
      </c>
      <c r="AD24" s="1839">
        <f t="shared" si="0"/>
        <v>168749680</v>
      </c>
      <c r="AE24" s="1839"/>
      <c r="AF24" s="1839"/>
      <c r="AG24" s="1839"/>
      <c r="AH24" s="1839"/>
    </row>
    <row r="25" spans="1:34" s="789" customFormat="1" ht="15.75" customHeight="1">
      <c r="A25" s="1852" t="s">
        <v>482</v>
      </c>
      <c r="B25" s="1852"/>
      <c r="C25" s="1852"/>
      <c r="D25" s="1853" t="s">
        <v>808</v>
      </c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339">
        <f aca="true" t="shared" si="5" ref="X25:AC25">SUM(X22:X24)</f>
        <v>136047520</v>
      </c>
      <c r="Y25" s="1051">
        <f t="shared" si="5"/>
        <v>191733860</v>
      </c>
      <c r="Z25" s="1051">
        <f t="shared" si="5"/>
        <v>183787057</v>
      </c>
      <c r="AA25" s="1051">
        <f t="shared" si="5"/>
        <v>232372063</v>
      </c>
      <c r="AB25" s="1051">
        <f t="shared" si="5"/>
        <v>24066671</v>
      </c>
      <c r="AC25" s="1051">
        <f t="shared" si="5"/>
        <v>30443420</v>
      </c>
      <c r="AD25" s="1839">
        <f t="shared" si="0"/>
        <v>798450591</v>
      </c>
      <c r="AE25" s="1839"/>
      <c r="AF25" s="1839"/>
      <c r="AG25" s="1839"/>
      <c r="AH25" s="1839"/>
    </row>
    <row r="26" spans="1:34" s="789" customFormat="1" ht="15.75" customHeight="1">
      <c r="A26" s="1852" t="s">
        <v>483</v>
      </c>
      <c r="B26" s="1852"/>
      <c r="C26" s="1852"/>
      <c r="D26" s="1853" t="s">
        <v>484</v>
      </c>
      <c r="E26" s="1853"/>
      <c r="F26" s="1853"/>
      <c r="G26" s="1853"/>
      <c r="H26" s="1853"/>
      <c r="I26" s="1853"/>
      <c r="J26" s="1853"/>
      <c r="K26" s="1853"/>
      <c r="L26" s="1853"/>
      <c r="M26" s="1853"/>
      <c r="N26" s="1853"/>
      <c r="O26" s="1853"/>
      <c r="P26" s="1853"/>
      <c r="Q26" s="1853"/>
      <c r="R26" s="1853"/>
      <c r="S26" s="1853"/>
      <c r="T26" s="1853"/>
      <c r="U26" s="1853"/>
      <c r="V26" s="1853"/>
      <c r="W26" s="1853"/>
      <c r="X26" s="1339">
        <v>331212664</v>
      </c>
      <c r="Y26" s="1051">
        <v>0</v>
      </c>
      <c r="Z26" s="1051"/>
      <c r="AA26" s="1051"/>
      <c r="AB26" s="1051"/>
      <c r="AC26" s="1051">
        <v>749502</v>
      </c>
      <c r="AD26" s="1839">
        <f t="shared" si="0"/>
        <v>331962166</v>
      </c>
      <c r="AE26" s="1839"/>
      <c r="AF26" s="1839"/>
      <c r="AG26" s="1839"/>
      <c r="AH26" s="1839"/>
    </row>
    <row r="27" spans="1:34" s="791" customFormat="1" ht="15.75" customHeight="1">
      <c r="A27" s="1852" t="s">
        <v>485</v>
      </c>
      <c r="B27" s="1852"/>
      <c r="C27" s="1852"/>
      <c r="D27" s="1853" t="s">
        <v>486</v>
      </c>
      <c r="E27" s="1853"/>
      <c r="F27" s="1853"/>
      <c r="G27" s="1853"/>
      <c r="H27" s="1853"/>
      <c r="I27" s="1853"/>
      <c r="J27" s="1853"/>
      <c r="K27" s="1853"/>
      <c r="L27" s="1853"/>
      <c r="M27" s="1853"/>
      <c r="N27" s="1853"/>
      <c r="O27" s="1853"/>
      <c r="P27" s="1853"/>
      <c r="Q27" s="1853"/>
      <c r="R27" s="1853"/>
      <c r="S27" s="1853"/>
      <c r="T27" s="1853"/>
      <c r="U27" s="1853"/>
      <c r="V27" s="1853"/>
      <c r="W27" s="1853"/>
      <c r="X27" s="1339">
        <v>2988327907</v>
      </c>
      <c r="Y27" s="1051">
        <v>35258301</v>
      </c>
      <c r="Z27" s="1051">
        <v>22653940</v>
      </c>
      <c r="AA27" s="1051">
        <v>6502453</v>
      </c>
      <c r="AB27" s="1051">
        <v>2795159</v>
      </c>
      <c r="AC27" s="1051">
        <v>3677222</v>
      </c>
      <c r="AD27" s="1839">
        <f t="shared" si="0"/>
        <v>3059214982</v>
      </c>
      <c r="AE27" s="1839"/>
      <c r="AF27" s="1839"/>
      <c r="AG27" s="1839"/>
      <c r="AH27" s="1839"/>
    </row>
    <row r="28" spans="1:34" s="944" customFormat="1" ht="15.75" customHeight="1">
      <c r="A28" s="1863" t="s">
        <v>487</v>
      </c>
      <c r="B28" s="1863"/>
      <c r="C28" s="1863"/>
      <c r="D28" s="1864" t="s">
        <v>488</v>
      </c>
      <c r="E28" s="1864"/>
      <c r="F28" s="1864"/>
      <c r="G28" s="1864"/>
      <c r="H28" s="1864"/>
      <c r="I28" s="1864"/>
      <c r="J28" s="1864"/>
      <c r="K28" s="1864"/>
      <c r="L28" s="1864"/>
      <c r="M28" s="1864"/>
      <c r="N28" s="1864"/>
      <c r="O28" s="1864"/>
      <c r="P28" s="1864"/>
      <c r="Q28" s="1864"/>
      <c r="R28" s="1864"/>
      <c r="S28" s="1864"/>
      <c r="T28" s="1864"/>
      <c r="U28" s="1864"/>
      <c r="V28" s="1864"/>
      <c r="W28" s="1864"/>
      <c r="X28" s="1343">
        <f aca="true" t="shared" si="6" ref="X28:AC28">X8+X11+X16-X21-X25-X26-X27</f>
        <v>2640771001</v>
      </c>
      <c r="Y28" s="1055">
        <f t="shared" si="6"/>
        <v>-19169090</v>
      </c>
      <c r="Z28" s="1055">
        <f t="shared" si="6"/>
        <v>-16765770</v>
      </c>
      <c r="AA28" s="1055">
        <f t="shared" si="6"/>
        <v>-14580904</v>
      </c>
      <c r="AB28" s="1055">
        <f t="shared" si="6"/>
        <v>-2655374</v>
      </c>
      <c r="AC28" s="1055">
        <f t="shared" si="6"/>
        <v>-201687</v>
      </c>
      <c r="AD28" s="1865">
        <f t="shared" si="0"/>
        <v>2587398176</v>
      </c>
      <c r="AE28" s="1865"/>
      <c r="AF28" s="1865"/>
      <c r="AG28" s="1865"/>
      <c r="AH28" s="1865"/>
    </row>
    <row r="29" spans="1:34" s="790" customFormat="1" ht="15.75" customHeight="1">
      <c r="A29" s="1849" t="s">
        <v>491</v>
      </c>
      <c r="B29" s="1849"/>
      <c r="C29" s="1849"/>
      <c r="D29" s="1862" t="s">
        <v>490</v>
      </c>
      <c r="E29" s="1862"/>
      <c r="F29" s="1862"/>
      <c r="G29" s="1862"/>
      <c r="H29" s="1862"/>
      <c r="I29" s="1862"/>
      <c r="J29" s="1862"/>
      <c r="K29" s="1862"/>
      <c r="L29" s="1862"/>
      <c r="M29" s="1862"/>
      <c r="N29" s="1862"/>
      <c r="O29" s="1862"/>
      <c r="P29" s="1862"/>
      <c r="Q29" s="1862"/>
      <c r="R29" s="1862"/>
      <c r="S29" s="1862"/>
      <c r="T29" s="1862"/>
      <c r="U29" s="1862"/>
      <c r="V29" s="1862"/>
      <c r="W29" s="1862"/>
      <c r="X29" s="1342">
        <v>76951</v>
      </c>
      <c r="Y29" s="1054"/>
      <c r="Z29" s="1054"/>
      <c r="AA29" s="1054"/>
      <c r="AB29" s="1054"/>
      <c r="AC29" s="1054"/>
      <c r="AD29" s="1839">
        <f t="shared" si="0"/>
        <v>76951</v>
      </c>
      <c r="AE29" s="1839"/>
      <c r="AF29" s="1839"/>
      <c r="AG29" s="1839"/>
      <c r="AH29" s="1839"/>
    </row>
    <row r="30" spans="1:34" s="790" customFormat="1" ht="25.5" customHeight="1">
      <c r="A30" s="1849" t="s">
        <v>492</v>
      </c>
      <c r="B30" s="1849"/>
      <c r="C30" s="1849"/>
      <c r="D30" s="1862" t="s">
        <v>807</v>
      </c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342"/>
      <c r="Y30" s="1054"/>
      <c r="Z30" s="1054"/>
      <c r="AA30" s="1054"/>
      <c r="AB30" s="1054"/>
      <c r="AC30" s="1054"/>
      <c r="AD30" s="1839">
        <f>SUM(X30:AC30)</f>
        <v>0</v>
      </c>
      <c r="AE30" s="1839"/>
      <c r="AF30" s="1839"/>
      <c r="AG30" s="1839"/>
      <c r="AH30" s="1839"/>
    </row>
    <row r="31" spans="1:34" s="790" customFormat="1" ht="24.75" customHeight="1">
      <c r="A31" s="1840" t="s">
        <v>494</v>
      </c>
      <c r="B31" s="1840"/>
      <c r="C31" s="1840"/>
      <c r="D31" s="1841" t="s">
        <v>806</v>
      </c>
      <c r="E31" s="1841"/>
      <c r="F31" s="1841"/>
      <c r="G31" s="1841"/>
      <c r="H31" s="1841"/>
      <c r="I31" s="1841"/>
      <c r="J31" s="1841"/>
      <c r="K31" s="1841"/>
      <c r="L31" s="1841"/>
      <c r="M31" s="1841"/>
      <c r="N31" s="1841"/>
      <c r="O31" s="1841"/>
      <c r="P31" s="1841"/>
      <c r="Q31" s="1841"/>
      <c r="R31" s="1841"/>
      <c r="S31" s="1841"/>
      <c r="T31" s="1841"/>
      <c r="U31" s="1841"/>
      <c r="V31" s="1841"/>
      <c r="W31" s="1841"/>
      <c r="X31" s="1342">
        <v>0</v>
      </c>
      <c r="Y31" s="1054">
        <v>0</v>
      </c>
      <c r="Z31" s="1054">
        <v>0</v>
      </c>
      <c r="AA31" s="1054">
        <v>0</v>
      </c>
      <c r="AB31" s="1054">
        <v>0</v>
      </c>
      <c r="AC31" s="1054">
        <v>0</v>
      </c>
      <c r="AD31" s="1839">
        <f t="shared" si="0"/>
        <v>0</v>
      </c>
      <c r="AE31" s="1839"/>
      <c r="AF31" s="1839"/>
      <c r="AG31" s="1839"/>
      <c r="AH31" s="1839"/>
    </row>
    <row r="32" spans="1:34" s="790" customFormat="1" ht="15.75" customHeight="1">
      <c r="A32" s="1866" t="s">
        <v>495</v>
      </c>
      <c r="B32" s="1867"/>
      <c r="C32" s="1868"/>
      <c r="D32" s="1869" t="s">
        <v>805</v>
      </c>
      <c r="E32" s="1870"/>
      <c r="F32" s="1870"/>
      <c r="G32" s="1870"/>
      <c r="H32" s="1870"/>
      <c r="I32" s="1870"/>
      <c r="J32" s="1870"/>
      <c r="K32" s="1870"/>
      <c r="L32" s="1870"/>
      <c r="M32" s="1870"/>
      <c r="N32" s="1870"/>
      <c r="O32" s="1870"/>
      <c r="P32" s="1870"/>
      <c r="Q32" s="1870"/>
      <c r="R32" s="1870"/>
      <c r="S32" s="1870"/>
      <c r="T32" s="1870"/>
      <c r="U32" s="1870"/>
      <c r="V32" s="1870"/>
      <c r="W32" s="1871"/>
      <c r="X32" s="1344">
        <v>11700681</v>
      </c>
      <c r="Y32" s="1056">
        <v>1643</v>
      </c>
      <c r="Z32" s="1056">
        <v>2448</v>
      </c>
      <c r="AA32" s="1056">
        <v>398</v>
      </c>
      <c r="AB32" s="1056">
        <v>240</v>
      </c>
      <c r="AC32" s="1056">
        <v>220</v>
      </c>
      <c r="AD32" s="1839">
        <f t="shared" si="0"/>
        <v>11705630</v>
      </c>
      <c r="AE32" s="1839"/>
      <c r="AF32" s="1839"/>
      <c r="AG32" s="1839"/>
      <c r="AH32" s="1839"/>
    </row>
    <row r="33" spans="1:34" s="790" customFormat="1" ht="15.75" customHeight="1">
      <c r="A33" s="1840" t="s">
        <v>497</v>
      </c>
      <c r="B33" s="1840"/>
      <c r="C33" s="1840"/>
      <c r="D33" s="1872" t="s">
        <v>804</v>
      </c>
      <c r="E33" s="1841"/>
      <c r="F33" s="1841"/>
      <c r="G33" s="1841"/>
      <c r="H33" s="1841"/>
      <c r="I33" s="1841"/>
      <c r="J33" s="1841"/>
      <c r="K33" s="1841"/>
      <c r="L33" s="1841"/>
      <c r="M33" s="1841"/>
      <c r="N33" s="1841"/>
      <c r="O33" s="1841"/>
      <c r="P33" s="1841"/>
      <c r="Q33" s="1841"/>
      <c r="R33" s="1841"/>
      <c r="S33" s="1841"/>
      <c r="T33" s="1841"/>
      <c r="U33" s="1841"/>
      <c r="V33" s="1841"/>
      <c r="W33" s="1841"/>
      <c r="X33" s="1344">
        <v>9703164</v>
      </c>
      <c r="Y33" s="1056"/>
      <c r="Z33" s="1056"/>
      <c r="AA33" s="1056"/>
      <c r="AB33" s="1056"/>
      <c r="AC33" s="1056"/>
      <c r="AD33" s="1839">
        <f t="shared" si="0"/>
        <v>9703164</v>
      </c>
      <c r="AE33" s="1839"/>
      <c r="AF33" s="1839"/>
      <c r="AG33" s="1839"/>
      <c r="AH33" s="1839"/>
    </row>
    <row r="34" spans="1:34" s="790" customFormat="1" ht="15.75" customHeight="1">
      <c r="A34" s="1880" t="s">
        <v>493</v>
      </c>
      <c r="B34" s="1880"/>
      <c r="C34" s="1880"/>
      <c r="D34" s="1881" t="s">
        <v>803</v>
      </c>
      <c r="E34" s="1881"/>
      <c r="F34" s="1881"/>
      <c r="G34" s="1881"/>
      <c r="H34" s="1881"/>
      <c r="I34" s="1881"/>
      <c r="J34" s="1881"/>
      <c r="K34" s="1881"/>
      <c r="L34" s="1881"/>
      <c r="M34" s="1881"/>
      <c r="N34" s="1881"/>
      <c r="O34" s="1881"/>
      <c r="P34" s="1881"/>
      <c r="Q34" s="1881"/>
      <c r="R34" s="1881"/>
      <c r="S34" s="1881"/>
      <c r="T34" s="1881"/>
      <c r="U34" s="1881"/>
      <c r="V34" s="1881"/>
      <c r="W34" s="1881"/>
      <c r="X34" s="1345">
        <f aca="true" t="shared" si="7" ref="X34:AC34">SUM(X29:X33)</f>
        <v>21480796</v>
      </c>
      <c r="Y34" s="1057">
        <f t="shared" si="7"/>
        <v>1643</v>
      </c>
      <c r="Z34" s="1057">
        <f t="shared" si="7"/>
        <v>2448</v>
      </c>
      <c r="AA34" s="1057">
        <f t="shared" si="7"/>
        <v>398</v>
      </c>
      <c r="AB34" s="1057">
        <f t="shared" si="7"/>
        <v>240</v>
      </c>
      <c r="AC34" s="1057">
        <f t="shared" si="7"/>
        <v>220</v>
      </c>
      <c r="AD34" s="1839">
        <v>61478</v>
      </c>
      <c r="AE34" s="1839"/>
      <c r="AF34" s="1839"/>
      <c r="AG34" s="1839"/>
      <c r="AH34" s="1839"/>
    </row>
    <row r="35" spans="1:34" s="790" customFormat="1" ht="15.75" customHeight="1">
      <c r="A35" s="1840" t="s">
        <v>502</v>
      </c>
      <c r="B35" s="1840"/>
      <c r="C35" s="1840"/>
      <c r="D35" s="1841" t="s">
        <v>802</v>
      </c>
      <c r="E35" s="1841"/>
      <c r="F35" s="1841"/>
      <c r="G35" s="1841"/>
      <c r="H35" s="1841"/>
      <c r="I35" s="1841"/>
      <c r="J35" s="1841"/>
      <c r="K35" s="1841"/>
      <c r="L35" s="1841"/>
      <c r="M35" s="1841"/>
      <c r="N35" s="1841"/>
      <c r="O35" s="1841"/>
      <c r="P35" s="1841"/>
      <c r="Q35" s="1841"/>
      <c r="R35" s="1841"/>
      <c r="S35" s="1841"/>
      <c r="T35" s="1841"/>
      <c r="U35" s="1841"/>
      <c r="V35" s="1841"/>
      <c r="W35" s="1841"/>
      <c r="X35" s="1344">
        <v>0</v>
      </c>
      <c r="Y35" s="1056"/>
      <c r="Z35" s="1056"/>
      <c r="AA35" s="1056"/>
      <c r="AB35" s="1056">
        <v>0</v>
      </c>
      <c r="AC35" s="1056"/>
      <c r="AD35" s="1839">
        <f t="shared" si="0"/>
        <v>0</v>
      </c>
      <c r="AE35" s="1839"/>
      <c r="AF35" s="1839"/>
      <c r="AG35" s="1839"/>
      <c r="AH35" s="1839"/>
    </row>
    <row r="36" spans="1:34" s="790" customFormat="1" ht="25.5" customHeight="1">
      <c r="A36" s="1840" t="s">
        <v>503</v>
      </c>
      <c r="B36" s="1840"/>
      <c r="C36" s="1840"/>
      <c r="D36" s="1841" t="s">
        <v>801</v>
      </c>
      <c r="E36" s="1841"/>
      <c r="F36" s="1841"/>
      <c r="G36" s="1841"/>
      <c r="H36" s="1841"/>
      <c r="I36" s="1841"/>
      <c r="J36" s="1841"/>
      <c r="K36" s="1841"/>
      <c r="L36" s="1841"/>
      <c r="M36" s="1841"/>
      <c r="N36" s="1841"/>
      <c r="O36" s="1841"/>
      <c r="P36" s="1841"/>
      <c r="Q36" s="1841"/>
      <c r="R36" s="1841"/>
      <c r="S36" s="1841"/>
      <c r="T36" s="1841"/>
      <c r="U36" s="1841"/>
      <c r="V36" s="1841"/>
      <c r="W36" s="1841"/>
      <c r="X36" s="1344">
        <v>0</v>
      </c>
      <c r="Y36" s="1056"/>
      <c r="Z36" s="1056"/>
      <c r="AA36" s="1056"/>
      <c r="AB36" s="1056"/>
      <c r="AC36" s="1056"/>
      <c r="AD36" s="1839">
        <f>SUM(X36:AC36)</f>
        <v>0</v>
      </c>
      <c r="AE36" s="1839"/>
      <c r="AF36" s="1839"/>
      <c r="AG36" s="1839"/>
      <c r="AH36" s="1839"/>
    </row>
    <row r="37" spans="1:34" s="789" customFormat="1" ht="15.75" customHeight="1">
      <c r="A37" s="1840" t="s">
        <v>634</v>
      </c>
      <c r="B37" s="1840"/>
      <c r="C37" s="1840"/>
      <c r="D37" s="1841" t="s">
        <v>800</v>
      </c>
      <c r="E37" s="1841"/>
      <c r="F37" s="1841"/>
      <c r="G37" s="1841"/>
      <c r="H37" s="1841"/>
      <c r="I37" s="1841"/>
      <c r="J37" s="1841"/>
      <c r="K37" s="1841"/>
      <c r="L37" s="1841"/>
      <c r="M37" s="1841"/>
      <c r="N37" s="1841"/>
      <c r="O37" s="1841"/>
      <c r="P37" s="1841"/>
      <c r="Q37" s="1841"/>
      <c r="R37" s="1841"/>
      <c r="S37" s="1841"/>
      <c r="T37" s="1841"/>
      <c r="U37" s="1841"/>
      <c r="V37" s="1841"/>
      <c r="W37" s="1841"/>
      <c r="X37" s="1344">
        <v>1107837</v>
      </c>
      <c r="Y37" s="1056"/>
      <c r="Z37" s="1056"/>
      <c r="AA37" s="1056"/>
      <c r="AB37" s="1056"/>
      <c r="AC37" s="1056"/>
      <c r="AD37" s="1839">
        <f t="shared" si="0"/>
        <v>1107837</v>
      </c>
      <c r="AE37" s="1839"/>
      <c r="AF37" s="1839"/>
      <c r="AG37" s="1839"/>
      <c r="AH37" s="1839"/>
    </row>
    <row r="38" spans="1:34" s="789" customFormat="1" ht="15.75" customHeight="1">
      <c r="A38" s="1866" t="s">
        <v>633</v>
      </c>
      <c r="B38" s="1867"/>
      <c r="C38" s="1868"/>
      <c r="D38" s="1869" t="s">
        <v>496</v>
      </c>
      <c r="E38" s="1870"/>
      <c r="F38" s="1870"/>
      <c r="G38" s="1870"/>
      <c r="H38" s="1870"/>
      <c r="I38" s="1870"/>
      <c r="J38" s="1870"/>
      <c r="K38" s="1870"/>
      <c r="L38" s="1870"/>
      <c r="M38" s="1870"/>
      <c r="N38" s="1870"/>
      <c r="O38" s="1870"/>
      <c r="P38" s="1870"/>
      <c r="Q38" s="1870"/>
      <c r="R38" s="1870"/>
      <c r="S38" s="1870"/>
      <c r="T38" s="1870"/>
      <c r="U38" s="1870"/>
      <c r="V38" s="1870"/>
      <c r="W38" s="1871"/>
      <c r="X38" s="1344">
        <v>283138</v>
      </c>
      <c r="Y38" s="1056">
        <v>0</v>
      </c>
      <c r="Z38" s="1056"/>
      <c r="AA38" s="1056"/>
      <c r="AB38" s="1056"/>
      <c r="AC38" s="1056"/>
      <c r="AD38" s="1839">
        <f t="shared" si="0"/>
        <v>283138</v>
      </c>
      <c r="AE38" s="1839"/>
      <c r="AF38" s="1839"/>
      <c r="AG38" s="1839"/>
      <c r="AH38" s="1839"/>
    </row>
    <row r="39" spans="1:34" s="789" customFormat="1" ht="15.75" customHeight="1">
      <c r="A39" s="1840" t="s">
        <v>632</v>
      </c>
      <c r="B39" s="1840"/>
      <c r="C39" s="1840"/>
      <c r="D39" s="1872" t="s">
        <v>799</v>
      </c>
      <c r="E39" s="1841"/>
      <c r="F39" s="1841"/>
      <c r="G39" s="1841"/>
      <c r="H39" s="1841"/>
      <c r="I39" s="1841"/>
      <c r="J39" s="1841"/>
      <c r="K39" s="1841"/>
      <c r="L39" s="1841"/>
      <c r="M39" s="1841"/>
      <c r="N39" s="1841"/>
      <c r="O39" s="1841"/>
      <c r="P39" s="1841"/>
      <c r="Q39" s="1841"/>
      <c r="R39" s="1841"/>
      <c r="S39" s="1841"/>
      <c r="T39" s="1841"/>
      <c r="U39" s="1841"/>
      <c r="V39" s="1841"/>
      <c r="W39" s="1841"/>
      <c r="X39" s="1344">
        <v>0</v>
      </c>
      <c r="Y39" s="1056"/>
      <c r="Z39" s="1056">
        <v>398</v>
      </c>
      <c r="AA39" s="1056"/>
      <c r="AB39" s="1056"/>
      <c r="AC39" s="1056"/>
      <c r="AD39" s="1839">
        <f t="shared" si="0"/>
        <v>398</v>
      </c>
      <c r="AE39" s="1839"/>
      <c r="AF39" s="1839"/>
      <c r="AG39" s="1839"/>
      <c r="AH39" s="1839"/>
    </row>
    <row r="40" spans="1:34" s="789" customFormat="1" ht="15.75" customHeight="1">
      <c r="A40" s="1852" t="s">
        <v>498</v>
      </c>
      <c r="B40" s="1852"/>
      <c r="C40" s="1852"/>
      <c r="D40" s="1873" t="s">
        <v>798</v>
      </c>
      <c r="E40" s="1873"/>
      <c r="F40" s="1873"/>
      <c r="G40" s="1873"/>
      <c r="H40" s="1873"/>
      <c r="I40" s="1873"/>
      <c r="J40" s="1873"/>
      <c r="K40" s="1873"/>
      <c r="L40" s="1873"/>
      <c r="M40" s="1873"/>
      <c r="N40" s="1873"/>
      <c r="O40" s="1873"/>
      <c r="P40" s="1873"/>
      <c r="Q40" s="1873"/>
      <c r="R40" s="1873"/>
      <c r="S40" s="1873"/>
      <c r="T40" s="1873"/>
      <c r="U40" s="1873"/>
      <c r="V40" s="1873"/>
      <c r="W40" s="1873"/>
      <c r="X40" s="1346">
        <f aca="true" t="shared" si="8" ref="X40:AC40">SUM(X35:X39)</f>
        <v>1390975</v>
      </c>
      <c r="Y40" s="1058">
        <f t="shared" si="8"/>
        <v>0</v>
      </c>
      <c r="Z40" s="1058">
        <f t="shared" si="8"/>
        <v>398</v>
      </c>
      <c r="AA40" s="1058">
        <f t="shared" si="8"/>
        <v>0</v>
      </c>
      <c r="AB40" s="1058">
        <f t="shared" si="8"/>
        <v>0</v>
      </c>
      <c r="AC40" s="1058">
        <f t="shared" si="8"/>
        <v>0</v>
      </c>
      <c r="AD40" s="1839">
        <v>5</v>
      </c>
      <c r="AE40" s="1839"/>
      <c r="AF40" s="1839"/>
      <c r="AG40" s="1839"/>
      <c r="AH40" s="1839"/>
    </row>
    <row r="41" spans="1:34" s="943" customFormat="1" ht="15.75" customHeight="1">
      <c r="A41" s="1863" t="s">
        <v>499</v>
      </c>
      <c r="B41" s="1863"/>
      <c r="C41" s="1863"/>
      <c r="D41" s="1864" t="s">
        <v>500</v>
      </c>
      <c r="E41" s="1864"/>
      <c r="F41" s="1864"/>
      <c r="G41" s="1864"/>
      <c r="H41" s="1864"/>
      <c r="I41" s="1864"/>
      <c r="J41" s="1864"/>
      <c r="K41" s="1864"/>
      <c r="L41" s="1864"/>
      <c r="M41" s="1864"/>
      <c r="N41" s="1864"/>
      <c r="O41" s="1864"/>
      <c r="P41" s="1864"/>
      <c r="Q41" s="1864"/>
      <c r="R41" s="1864"/>
      <c r="S41" s="1864"/>
      <c r="T41" s="1864"/>
      <c r="U41" s="1864"/>
      <c r="V41" s="1864"/>
      <c r="W41" s="1864"/>
      <c r="X41" s="1343">
        <f aca="true" t="shared" si="9" ref="X41:AC41">X34-X40</f>
        <v>20089821</v>
      </c>
      <c r="Y41" s="1055">
        <f t="shared" si="9"/>
        <v>1643</v>
      </c>
      <c r="Z41" s="1055">
        <f t="shared" si="9"/>
        <v>2050</v>
      </c>
      <c r="AA41" s="1055">
        <f t="shared" si="9"/>
        <v>398</v>
      </c>
      <c r="AB41" s="1055">
        <f t="shared" si="9"/>
        <v>240</v>
      </c>
      <c r="AC41" s="1055">
        <f t="shared" si="9"/>
        <v>220</v>
      </c>
      <c r="AD41" s="1865">
        <f t="shared" si="0"/>
        <v>20094372</v>
      </c>
      <c r="AE41" s="1865"/>
      <c r="AF41" s="1865"/>
      <c r="AG41" s="1865"/>
      <c r="AH41" s="1865"/>
    </row>
    <row r="42" spans="1:34" s="943" customFormat="1" ht="15.75" customHeight="1">
      <c r="A42" s="1863" t="s">
        <v>501</v>
      </c>
      <c r="B42" s="1863"/>
      <c r="C42" s="1863"/>
      <c r="D42" s="1864" t="s">
        <v>797</v>
      </c>
      <c r="E42" s="1864"/>
      <c r="F42" s="1864"/>
      <c r="G42" s="1864"/>
      <c r="H42" s="1864"/>
      <c r="I42" s="1864"/>
      <c r="J42" s="1864"/>
      <c r="K42" s="1864"/>
      <c r="L42" s="1864"/>
      <c r="M42" s="1864"/>
      <c r="N42" s="1864"/>
      <c r="O42" s="1864"/>
      <c r="P42" s="1864"/>
      <c r="Q42" s="1864"/>
      <c r="R42" s="1864"/>
      <c r="S42" s="1864"/>
      <c r="T42" s="1864"/>
      <c r="U42" s="1864"/>
      <c r="V42" s="1864"/>
      <c r="W42" s="1864"/>
      <c r="X42" s="1343">
        <f aca="true" t="shared" si="10" ref="X42:AC42">X28+X41</f>
        <v>2660860822</v>
      </c>
      <c r="Y42" s="1055">
        <f t="shared" si="10"/>
        <v>-19167447</v>
      </c>
      <c r="Z42" s="1055">
        <f t="shared" si="10"/>
        <v>-16763720</v>
      </c>
      <c r="AA42" s="1055">
        <f t="shared" si="10"/>
        <v>-14580506</v>
      </c>
      <c r="AB42" s="1055">
        <f t="shared" si="10"/>
        <v>-2655134</v>
      </c>
      <c r="AC42" s="1055">
        <f t="shared" si="10"/>
        <v>-201467</v>
      </c>
      <c r="AD42" s="1865">
        <f t="shared" si="0"/>
        <v>2607492548</v>
      </c>
      <c r="AE42" s="1865"/>
      <c r="AF42" s="1865"/>
      <c r="AG42" s="1865"/>
      <c r="AH42" s="1865"/>
    </row>
    <row r="43" spans="4:29" ht="12.75"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786"/>
      <c r="U43" s="786"/>
      <c r="V43" s="786"/>
      <c r="W43" s="786"/>
      <c r="X43" s="1347"/>
      <c r="Y43" s="1059"/>
      <c r="Z43" s="1059"/>
      <c r="AA43" s="1059"/>
      <c r="AB43" s="1059"/>
      <c r="AC43" s="1059"/>
    </row>
    <row r="44" spans="4:29" ht="12.75"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1347"/>
      <c r="Y44" s="1059"/>
      <c r="Z44" s="1059"/>
      <c r="AA44" s="1059"/>
      <c r="AB44" s="1059"/>
      <c r="AC44" s="1059"/>
    </row>
  </sheetData>
  <sheetProtection/>
  <mergeCells count="125">
    <mergeCell ref="Z3:Z4"/>
    <mergeCell ref="AA3:AA4"/>
    <mergeCell ref="A39:C39"/>
    <mergeCell ref="D39:W39"/>
    <mergeCell ref="A34:C34"/>
    <mergeCell ref="D34:W34"/>
    <mergeCell ref="X3:X4"/>
    <mergeCell ref="Y3:Y4"/>
    <mergeCell ref="A29:C29"/>
    <mergeCell ref="D29:W29"/>
    <mergeCell ref="A42:C42"/>
    <mergeCell ref="D42:W42"/>
    <mergeCell ref="AD42:AH42"/>
    <mergeCell ref="AB3:AB4"/>
    <mergeCell ref="AC3:AC4"/>
    <mergeCell ref="A41:C41"/>
    <mergeCell ref="D41:W41"/>
    <mergeCell ref="AD41:AH41"/>
    <mergeCell ref="A3:C4"/>
    <mergeCell ref="D3:W4"/>
    <mergeCell ref="AD39:AH39"/>
    <mergeCell ref="A40:C40"/>
    <mergeCell ref="D40:W40"/>
    <mergeCell ref="AD40:AH40"/>
    <mergeCell ref="A37:C37"/>
    <mergeCell ref="D37:W37"/>
    <mergeCell ref="AD37:AH37"/>
    <mergeCell ref="A38:C38"/>
    <mergeCell ref="D38:W38"/>
    <mergeCell ref="AD38:AH38"/>
    <mergeCell ref="AD34:AH34"/>
    <mergeCell ref="A35:C35"/>
    <mergeCell ref="D35:W35"/>
    <mergeCell ref="AD35:AH35"/>
    <mergeCell ref="A32:C32"/>
    <mergeCell ref="D32:W32"/>
    <mergeCell ref="AD32:AH32"/>
    <mergeCell ref="A33:C33"/>
    <mergeCell ref="D33:W33"/>
    <mergeCell ref="AD33:AH33"/>
    <mergeCell ref="AD29:AH29"/>
    <mergeCell ref="A31:C31"/>
    <mergeCell ref="D31:W31"/>
    <mergeCell ref="AD31:AH31"/>
    <mergeCell ref="A30:C30"/>
    <mergeCell ref="D30:W30"/>
    <mergeCell ref="AD30:AH30"/>
    <mergeCell ref="A27:C27"/>
    <mergeCell ref="D27:W27"/>
    <mergeCell ref="AD27:AH27"/>
    <mergeCell ref="A28:C28"/>
    <mergeCell ref="D28:W28"/>
    <mergeCell ref="AD28:AH28"/>
    <mergeCell ref="A25:C25"/>
    <mergeCell ref="D25:W25"/>
    <mergeCell ref="AD25:AH25"/>
    <mergeCell ref="A26:C26"/>
    <mergeCell ref="D26:W26"/>
    <mergeCell ref="AD26:AH26"/>
    <mergeCell ref="A23:C23"/>
    <mergeCell ref="D23:W23"/>
    <mergeCell ref="AD23:AH23"/>
    <mergeCell ref="A24:C24"/>
    <mergeCell ref="D24:W24"/>
    <mergeCell ref="AD24:AH24"/>
    <mergeCell ref="A21:C21"/>
    <mergeCell ref="D21:W21"/>
    <mergeCell ref="AD21:AH21"/>
    <mergeCell ref="A22:C22"/>
    <mergeCell ref="D22:W22"/>
    <mergeCell ref="AD22:AH22"/>
    <mergeCell ref="A19:C19"/>
    <mergeCell ref="D19:W19"/>
    <mergeCell ref="AD19:AH19"/>
    <mergeCell ref="A20:C20"/>
    <mergeCell ref="D20:W20"/>
    <mergeCell ref="AD20:AH20"/>
    <mergeCell ref="A17:C17"/>
    <mergeCell ref="D17:W17"/>
    <mergeCell ref="AD17:AH17"/>
    <mergeCell ref="A18:C18"/>
    <mergeCell ref="D18:W18"/>
    <mergeCell ref="AD18:AH18"/>
    <mergeCell ref="A16:C16"/>
    <mergeCell ref="D16:W16"/>
    <mergeCell ref="AD16:AH16"/>
    <mergeCell ref="D15:W15"/>
    <mergeCell ref="A15:C15"/>
    <mergeCell ref="AD15:AH15"/>
    <mergeCell ref="A13:C13"/>
    <mergeCell ref="D13:W13"/>
    <mergeCell ref="AD13:AH13"/>
    <mergeCell ref="A14:C14"/>
    <mergeCell ref="D14:W14"/>
    <mergeCell ref="AD14:AH14"/>
    <mergeCell ref="A11:C11"/>
    <mergeCell ref="D11:W11"/>
    <mergeCell ref="AD11:AH11"/>
    <mergeCell ref="A12:C12"/>
    <mergeCell ref="D12:W12"/>
    <mergeCell ref="AD12:AH12"/>
    <mergeCell ref="A9:C9"/>
    <mergeCell ref="D9:W9"/>
    <mergeCell ref="AD9:AH9"/>
    <mergeCell ref="A10:C10"/>
    <mergeCell ref="D10:W10"/>
    <mergeCell ref="AD10:AH10"/>
    <mergeCell ref="D6:W6"/>
    <mergeCell ref="AD6:AH6"/>
    <mergeCell ref="A7:C7"/>
    <mergeCell ref="D7:W7"/>
    <mergeCell ref="AD7:AH7"/>
    <mergeCell ref="A8:C8"/>
    <mergeCell ref="D8:W8"/>
    <mergeCell ref="AD8:AH8"/>
    <mergeCell ref="AD36:AH36"/>
    <mergeCell ref="A36:C36"/>
    <mergeCell ref="D36:W36"/>
    <mergeCell ref="A1:AH1"/>
    <mergeCell ref="A2:AH2"/>
    <mergeCell ref="AD3:AH4"/>
    <mergeCell ref="A5:C5"/>
    <mergeCell ref="D5:W5"/>
    <mergeCell ref="AD5:AH5"/>
    <mergeCell ref="A6:C6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BA44"/>
  <sheetViews>
    <sheetView view="pageBreakPreview" zoomScaleSheetLayoutView="100" zoomScalePageLayoutView="0" workbookViewId="0" topLeftCell="A1">
      <selection activeCell="D3" sqref="D3:W4"/>
    </sheetView>
  </sheetViews>
  <sheetFormatPr defaultColWidth="9.00390625" defaultRowHeight="12.75"/>
  <cols>
    <col min="1" max="2" width="2.75390625" style="792" customWidth="1"/>
    <col min="3" max="3" width="3.625" style="792" customWidth="1"/>
    <col min="4" max="20" width="2.75390625" style="792" customWidth="1"/>
    <col min="21" max="21" width="8.125" style="792" customWidth="1"/>
    <col min="22" max="22" width="4.875" style="792" customWidth="1"/>
    <col min="23" max="23" width="6.75390625" style="792" customWidth="1"/>
    <col min="24" max="24" width="13.875" style="1348" customWidth="1"/>
    <col min="25" max="25" width="13.00390625" style="1060" customWidth="1"/>
    <col min="26" max="26" width="17.375" style="1060" customWidth="1"/>
    <col min="27" max="27" width="11.375" style="1060" customWidth="1"/>
    <col min="28" max="28" width="12.00390625" style="1060" customWidth="1"/>
    <col min="29" max="29" width="13.875" style="1060" customWidth="1"/>
    <col min="30" max="30" width="2.875" style="793" customWidth="1"/>
    <col min="31" max="32" width="1.75390625" style="793" customWidth="1"/>
    <col min="33" max="33" width="1.875" style="793" customWidth="1"/>
    <col min="34" max="34" width="6.125" style="793" customWidth="1"/>
    <col min="35" max="41" width="2.75390625" style="792" customWidth="1"/>
    <col min="42" max="16384" width="9.125" style="792" customWidth="1"/>
  </cols>
  <sheetData>
    <row r="1" spans="1:34" s="786" customFormat="1" ht="32.25" customHeight="1">
      <c r="A1" s="1964" t="s">
        <v>1110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  <c r="M1" s="1958"/>
      <c r="N1" s="1958"/>
      <c r="O1" s="1958"/>
      <c r="P1" s="1958"/>
      <c r="Q1" s="1958"/>
      <c r="R1" s="1958"/>
      <c r="S1" s="1958"/>
      <c r="T1" s="1958"/>
      <c r="U1" s="1958"/>
      <c r="V1" s="1958"/>
      <c r="W1" s="1958"/>
      <c r="X1" s="1958"/>
      <c r="Y1" s="1958"/>
      <c r="Z1" s="1958"/>
      <c r="AA1" s="1958"/>
      <c r="AB1" s="1958"/>
      <c r="AC1" s="1958"/>
      <c r="AD1" s="1958"/>
      <c r="AE1" s="1958"/>
      <c r="AF1" s="1958"/>
      <c r="AG1" s="1958"/>
      <c r="AH1" s="1958"/>
    </row>
    <row r="2" spans="1:53" s="786" customFormat="1" ht="12.75" customHeight="1">
      <c r="A2" s="1842" t="s">
        <v>508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1842"/>
      <c r="T2" s="1842"/>
      <c r="U2" s="1842"/>
      <c r="V2" s="1842"/>
      <c r="W2" s="1842"/>
      <c r="X2" s="1842"/>
      <c r="Y2" s="1842"/>
      <c r="Z2" s="1842"/>
      <c r="AA2" s="1842"/>
      <c r="AB2" s="1842"/>
      <c r="AC2" s="1842"/>
      <c r="AD2" s="1842"/>
      <c r="AE2" s="1842"/>
      <c r="AF2" s="1842"/>
      <c r="AG2" s="1842"/>
      <c r="AH2" s="1842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</row>
    <row r="3" spans="1:34" s="786" customFormat="1" ht="27.75" customHeight="1">
      <c r="A3" s="1874" t="s">
        <v>456</v>
      </c>
      <c r="B3" s="1875"/>
      <c r="C3" s="1875"/>
      <c r="D3" s="1874" t="s">
        <v>457</v>
      </c>
      <c r="E3" s="1875"/>
      <c r="F3" s="1875"/>
      <c r="G3" s="1875"/>
      <c r="H3" s="1875"/>
      <c r="I3" s="1875"/>
      <c r="J3" s="1875"/>
      <c r="K3" s="1875"/>
      <c r="L3" s="1875"/>
      <c r="M3" s="1875"/>
      <c r="N3" s="1875"/>
      <c r="O3" s="1875"/>
      <c r="P3" s="1875"/>
      <c r="Q3" s="1875"/>
      <c r="R3" s="1875"/>
      <c r="S3" s="1875"/>
      <c r="T3" s="1875"/>
      <c r="U3" s="1875"/>
      <c r="V3" s="1875"/>
      <c r="W3" s="1878"/>
      <c r="X3" s="1882" t="s">
        <v>309</v>
      </c>
      <c r="Y3" s="1792" t="s">
        <v>505</v>
      </c>
      <c r="Z3" s="1792" t="s">
        <v>154</v>
      </c>
      <c r="AA3" s="1792" t="s">
        <v>155</v>
      </c>
      <c r="AB3" s="1792" t="s">
        <v>58</v>
      </c>
      <c r="AC3" s="1792" t="s">
        <v>310</v>
      </c>
      <c r="AD3" s="1843" t="s">
        <v>504</v>
      </c>
      <c r="AE3" s="1844"/>
      <c r="AF3" s="1844"/>
      <c r="AG3" s="1844"/>
      <c r="AH3" s="1845"/>
    </row>
    <row r="4" spans="1:34" s="788" customFormat="1" ht="17.25" customHeight="1">
      <c r="A4" s="1876"/>
      <c r="B4" s="1877"/>
      <c r="C4" s="1877"/>
      <c r="D4" s="1876"/>
      <c r="E4" s="1877"/>
      <c r="F4" s="1877"/>
      <c r="G4" s="1877"/>
      <c r="H4" s="1877"/>
      <c r="I4" s="1877"/>
      <c r="J4" s="1877"/>
      <c r="K4" s="1877"/>
      <c r="L4" s="1877"/>
      <c r="M4" s="1877"/>
      <c r="N4" s="1877"/>
      <c r="O4" s="1877"/>
      <c r="P4" s="1877"/>
      <c r="Q4" s="1877"/>
      <c r="R4" s="1877"/>
      <c r="S4" s="1877"/>
      <c r="T4" s="1877"/>
      <c r="U4" s="1877"/>
      <c r="V4" s="1877"/>
      <c r="W4" s="1879"/>
      <c r="X4" s="1882"/>
      <c r="Y4" s="1792"/>
      <c r="Z4" s="1792"/>
      <c r="AA4" s="1792"/>
      <c r="AB4" s="1792"/>
      <c r="AC4" s="1792"/>
      <c r="AD4" s="1846"/>
      <c r="AE4" s="1847"/>
      <c r="AF4" s="1847"/>
      <c r="AG4" s="1847"/>
      <c r="AH4" s="1848"/>
    </row>
    <row r="5" spans="1:34" s="789" customFormat="1" ht="15.75" customHeight="1">
      <c r="A5" s="1849" t="s">
        <v>311</v>
      </c>
      <c r="B5" s="1849"/>
      <c r="C5" s="1849"/>
      <c r="D5" s="1850" t="s">
        <v>458</v>
      </c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337">
        <v>1031464616</v>
      </c>
      <c r="Y5" s="1049">
        <v>24800</v>
      </c>
      <c r="Z5" s="1049"/>
      <c r="AA5" s="1049"/>
      <c r="AB5" s="1049"/>
      <c r="AC5" s="1049"/>
      <c r="AD5" s="1839">
        <f aca="true" t="shared" si="0" ref="AD5:AD42">SUM(X5:AC5)</f>
        <v>1031489416</v>
      </c>
      <c r="AE5" s="1839"/>
      <c r="AF5" s="1839"/>
      <c r="AG5" s="1839"/>
      <c r="AH5" s="1839"/>
    </row>
    <row r="6" spans="1:34" s="789" customFormat="1" ht="15.75" customHeight="1">
      <c r="A6" s="1849" t="s">
        <v>313</v>
      </c>
      <c r="B6" s="1849"/>
      <c r="C6" s="1849"/>
      <c r="D6" s="1851" t="s">
        <v>459</v>
      </c>
      <c r="E6" s="1851"/>
      <c r="F6" s="1851"/>
      <c r="G6" s="1851"/>
      <c r="H6" s="1851"/>
      <c r="I6" s="1851"/>
      <c r="J6" s="1851"/>
      <c r="K6" s="1851"/>
      <c r="L6" s="1851"/>
      <c r="M6" s="1851"/>
      <c r="N6" s="1851"/>
      <c r="O6" s="1851"/>
      <c r="P6" s="1851"/>
      <c r="Q6" s="1851"/>
      <c r="R6" s="1851"/>
      <c r="S6" s="1851"/>
      <c r="T6" s="1851"/>
      <c r="U6" s="1851"/>
      <c r="V6" s="1851"/>
      <c r="W6" s="1851"/>
      <c r="X6" s="1338">
        <v>62400851</v>
      </c>
      <c r="Y6" s="1050">
        <v>3887649</v>
      </c>
      <c r="Z6" s="1050">
        <v>62465098</v>
      </c>
      <c r="AA6" s="1050">
        <v>78000</v>
      </c>
      <c r="AB6" s="1050">
        <v>1732657</v>
      </c>
      <c r="AC6" s="1050">
        <v>4429335</v>
      </c>
      <c r="AD6" s="1839">
        <f t="shared" si="0"/>
        <v>134993590</v>
      </c>
      <c r="AE6" s="1839"/>
      <c r="AF6" s="1839"/>
      <c r="AG6" s="1839"/>
      <c r="AH6" s="1839"/>
    </row>
    <row r="7" spans="1:34" s="789" customFormat="1" ht="15.75" customHeight="1">
      <c r="A7" s="1849" t="s">
        <v>317</v>
      </c>
      <c r="B7" s="1849"/>
      <c r="C7" s="1849"/>
      <c r="D7" s="1851" t="s">
        <v>460</v>
      </c>
      <c r="E7" s="1851"/>
      <c r="F7" s="1851"/>
      <c r="G7" s="1851"/>
      <c r="H7" s="1851"/>
      <c r="I7" s="1851"/>
      <c r="J7" s="1851"/>
      <c r="K7" s="1851"/>
      <c r="L7" s="1851"/>
      <c r="M7" s="1851"/>
      <c r="N7" s="1851"/>
      <c r="O7" s="1851"/>
      <c r="P7" s="1851"/>
      <c r="Q7" s="1851"/>
      <c r="R7" s="1851"/>
      <c r="S7" s="1851"/>
      <c r="T7" s="1851"/>
      <c r="U7" s="1851"/>
      <c r="V7" s="1851"/>
      <c r="W7" s="1851"/>
      <c r="X7" s="1338">
        <v>7875827</v>
      </c>
      <c r="Y7" s="1050"/>
      <c r="Z7" s="1050"/>
      <c r="AA7" s="1050"/>
      <c r="AB7" s="1050"/>
      <c r="AC7" s="1050"/>
      <c r="AD7" s="1839">
        <f t="shared" si="0"/>
        <v>7875827</v>
      </c>
      <c r="AE7" s="1839"/>
      <c r="AF7" s="1839"/>
      <c r="AG7" s="1839"/>
      <c r="AH7" s="1839"/>
    </row>
    <row r="8" spans="1:34" s="789" customFormat="1" ht="15.75" customHeight="1">
      <c r="A8" s="1852" t="s">
        <v>315</v>
      </c>
      <c r="B8" s="1852"/>
      <c r="C8" s="1852"/>
      <c r="D8" s="1853" t="s">
        <v>461</v>
      </c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339">
        <f aca="true" t="shared" si="1" ref="X8:AC8">SUM(X5:X7)</f>
        <v>1101741294</v>
      </c>
      <c r="Y8" s="1051">
        <f t="shared" si="1"/>
        <v>3912449</v>
      </c>
      <c r="Z8" s="1051">
        <f t="shared" si="1"/>
        <v>62465098</v>
      </c>
      <c r="AA8" s="1051">
        <f t="shared" si="1"/>
        <v>78000</v>
      </c>
      <c r="AB8" s="1051">
        <f t="shared" si="1"/>
        <v>1732657</v>
      </c>
      <c r="AC8" s="1051">
        <f t="shared" si="1"/>
        <v>4429335</v>
      </c>
      <c r="AD8" s="1839">
        <f t="shared" si="0"/>
        <v>1174358833</v>
      </c>
      <c r="AE8" s="1839"/>
      <c r="AF8" s="1839"/>
      <c r="AG8" s="1839"/>
      <c r="AH8" s="1839"/>
    </row>
    <row r="9" spans="1:34" s="789" customFormat="1" ht="15.75" customHeight="1">
      <c r="A9" s="1849" t="s">
        <v>319</v>
      </c>
      <c r="B9" s="1849"/>
      <c r="C9" s="1849"/>
      <c r="D9" s="1851" t="s">
        <v>462</v>
      </c>
      <c r="E9" s="1851"/>
      <c r="F9" s="1851"/>
      <c r="G9" s="1851"/>
      <c r="H9" s="1851"/>
      <c r="I9" s="1851"/>
      <c r="J9" s="1851"/>
      <c r="K9" s="1851"/>
      <c r="L9" s="1851"/>
      <c r="M9" s="1851"/>
      <c r="N9" s="1851"/>
      <c r="O9" s="1851"/>
      <c r="P9" s="1851"/>
      <c r="Q9" s="1851"/>
      <c r="R9" s="1851"/>
      <c r="S9" s="1851"/>
      <c r="T9" s="1851"/>
      <c r="U9" s="1851"/>
      <c r="V9" s="1851"/>
      <c r="W9" s="1851"/>
      <c r="X9" s="1338"/>
      <c r="Y9" s="1050"/>
      <c r="Z9" s="1050"/>
      <c r="AA9" s="1050"/>
      <c r="AB9" s="1050"/>
      <c r="AC9" s="1050"/>
      <c r="AD9" s="1839">
        <f t="shared" si="0"/>
        <v>0</v>
      </c>
      <c r="AE9" s="1839"/>
      <c r="AF9" s="1839"/>
      <c r="AG9" s="1839"/>
      <c r="AH9" s="1839"/>
    </row>
    <row r="10" spans="1:34" s="789" customFormat="1" ht="15.75" customHeight="1">
      <c r="A10" s="1849" t="s">
        <v>324</v>
      </c>
      <c r="B10" s="1849"/>
      <c r="C10" s="1849"/>
      <c r="D10" s="1851" t="s">
        <v>463</v>
      </c>
      <c r="E10" s="1854"/>
      <c r="F10" s="1854"/>
      <c r="G10" s="1854"/>
      <c r="H10" s="1854"/>
      <c r="I10" s="1854"/>
      <c r="J10" s="1854"/>
      <c r="K10" s="1854"/>
      <c r="L10" s="1854"/>
      <c r="M10" s="1854"/>
      <c r="N10" s="1854"/>
      <c r="O10" s="1854"/>
      <c r="P10" s="1854"/>
      <c r="Q10" s="1854"/>
      <c r="R10" s="1854"/>
      <c r="S10" s="1854"/>
      <c r="T10" s="1854"/>
      <c r="U10" s="1854"/>
      <c r="V10" s="1854"/>
      <c r="W10" s="1854"/>
      <c r="X10" s="1340"/>
      <c r="Y10" s="1052"/>
      <c r="Z10" s="1052"/>
      <c r="AA10" s="1052"/>
      <c r="AB10" s="1052"/>
      <c r="AC10" s="1052"/>
      <c r="AD10" s="1839">
        <f t="shared" si="0"/>
        <v>0</v>
      </c>
      <c r="AE10" s="1839"/>
      <c r="AF10" s="1839"/>
      <c r="AG10" s="1839"/>
      <c r="AH10" s="1839"/>
    </row>
    <row r="11" spans="1:34" s="789" customFormat="1" ht="15.75" customHeight="1">
      <c r="A11" s="1852" t="s">
        <v>321</v>
      </c>
      <c r="B11" s="1852"/>
      <c r="C11" s="1852"/>
      <c r="D11" s="1855" t="s">
        <v>464</v>
      </c>
      <c r="E11" s="1855"/>
      <c r="F11" s="1855"/>
      <c r="G11" s="1855"/>
      <c r="H11" s="1855"/>
      <c r="I11" s="1855"/>
      <c r="J11" s="1855"/>
      <c r="K11" s="1855"/>
      <c r="L11" s="1855"/>
      <c r="M11" s="1855"/>
      <c r="N11" s="1855"/>
      <c r="O11" s="1855"/>
      <c r="P11" s="1855"/>
      <c r="Q11" s="1855"/>
      <c r="R11" s="1855"/>
      <c r="S11" s="1855"/>
      <c r="T11" s="1855"/>
      <c r="U11" s="1855"/>
      <c r="V11" s="1855"/>
      <c r="W11" s="1855"/>
      <c r="X11" s="1341">
        <f aca="true" t="shared" si="2" ref="X11:AC11">SUM(X9:X10)</f>
        <v>0</v>
      </c>
      <c r="Y11" s="1053">
        <f t="shared" si="2"/>
        <v>0</v>
      </c>
      <c r="Z11" s="1053">
        <f t="shared" si="2"/>
        <v>0</v>
      </c>
      <c r="AA11" s="1053">
        <f t="shared" si="2"/>
        <v>0</v>
      </c>
      <c r="AB11" s="1053">
        <f t="shared" si="2"/>
        <v>0</v>
      </c>
      <c r="AC11" s="1053">
        <f t="shared" si="2"/>
        <v>0</v>
      </c>
      <c r="AD11" s="1839">
        <f t="shared" si="0"/>
        <v>0</v>
      </c>
      <c r="AE11" s="1839"/>
      <c r="AF11" s="1839"/>
      <c r="AG11" s="1839"/>
      <c r="AH11" s="1839"/>
    </row>
    <row r="12" spans="1:34" s="789" customFormat="1" ht="15.75" customHeight="1">
      <c r="A12" s="1849" t="s">
        <v>326</v>
      </c>
      <c r="B12" s="1849"/>
      <c r="C12" s="1849"/>
      <c r="D12" s="1851" t="s">
        <v>465</v>
      </c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338">
        <v>556496391</v>
      </c>
      <c r="Y12" s="1050">
        <v>243563000</v>
      </c>
      <c r="Z12" s="1050">
        <v>150527659</v>
      </c>
      <c r="AA12" s="1050">
        <v>235631228</v>
      </c>
      <c r="AB12" s="1050">
        <v>40139310</v>
      </c>
      <c r="AC12" s="1050">
        <v>27641544</v>
      </c>
      <c r="AD12" s="1839">
        <f t="shared" si="0"/>
        <v>1253999132</v>
      </c>
      <c r="AE12" s="1839"/>
      <c r="AF12" s="1839"/>
      <c r="AG12" s="1839"/>
      <c r="AH12" s="1839"/>
    </row>
    <row r="13" spans="1:34" s="789" customFormat="1" ht="15.75" customHeight="1">
      <c r="A13" s="1849" t="s">
        <v>330</v>
      </c>
      <c r="B13" s="1849"/>
      <c r="C13" s="1849"/>
      <c r="D13" s="1851" t="s">
        <v>466</v>
      </c>
      <c r="E13" s="1851"/>
      <c r="F13" s="1851"/>
      <c r="G13" s="1851"/>
      <c r="H13" s="1851"/>
      <c r="I13" s="1851"/>
      <c r="J13" s="1851"/>
      <c r="K13" s="1851"/>
      <c r="L13" s="1851"/>
      <c r="M13" s="1851"/>
      <c r="N13" s="1851"/>
      <c r="O13" s="1851"/>
      <c r="P13" s="1851"/>
      <c r="Q13" s="1851"/>
      <c r="R13" s="1851"/>
      <c r="S13" s="1851"/>
      <c r="T13" s="1851"/>
      <c r="U13" s="1851"/>
      <c r="V13" s="1851"/>
      <c r="W13" s="1851"/>
      <c r="X13" s="1338">
        <v>190872676</v>
      </c>
      <c r="Y13" s="1050">
        <v>5067802</v>
      </c>
      <c r="Z13" s="1050">
        <v>82912193</v>
      </c>
      <c r="AA13" s="1050">
        <v>8888693</v>
      </c>
      <c r="AB13" s="1050"/>
      <c r="AC13" s="1050">
        <v>720000</v>
      </c>
      <c r="AD13" s="1839">
        <f t="shared" si="0"/>
        <v>288461364</v>
      </c>
      <c r="AE13" s="1839"/>
      <c r="AF13" s="1839"/>
      <c r="AG13" s="1839"/>
      <c r="AH13" s="1839"/>
    </row>
    <row r="14" spans="1:34" s="789" customFormat="1" ht="15.75" customHeight="1">
      <c r="A14" s="1859" t="s">
        <v>332</v>
      </c>
      <c r="B14" s="1860"/>
      <c r="C14" s="1861"/>
      <c r="D14" s="1856" t="s">
        <v>834</v>
      </c>
      <c r="E14" s="1857"/>
      <c r="F14" s="1857"/>
      <c r="G14" s="1857"/>
      <c r="H14" s="1857"/>
      <c r="I14" s="1857"/>
      <c r="J14" s="1857"/>
      <c r="K14" s="1857"/>
      <c r="L14" s="1857"/>
      <c r="M14" s="1857"/>
      <c r="N14" s="1857"/>
      <c r="O14" s="1857"/>
      <c r="P14" s="1857"/>
      <c r="Q14" s="1857"/>
      <c r="R14" s="1857"/>
      <c r="S14" s="1857"/>
      <c r="T14" s="1857"/>
      <c r="U14" s="1857"/>
      <c r="V14" s="1857"/>
      <c r="W14" s="1858"/>
      <c r="X14" s="1338">
        <v>791680001</v>
      </c>
      <c r="Y14" s="1050"/>
      <c r="Z14" s="1050">
        <v>3455855</v>
      </c>
      <c r="AA14" s="1050">
        <v>82000</v>
      </c>
      <c r="AB14" s="1050"/>
      <c r="AC14" s="1050">
        <v>848385</v>
      </c>
      <c r="AD14" s="1883"/>
      <c r="AE14" s="1884"/>
      <c r="AF14" s="1884"/>
      <c r="AG14" s="1884"/>
      <c r="AH14" s="1885"/>
    </row>
    <row r="15" spans="1:34" s="789" customFormat="1" ht="15.75" customHeight="1">
      <c r="A15" s="1849" t="s">
        <v>468</v>
      </c>
      <c r="B15" s="1849"/>
      <c r="C15" s="1849"/>
      <c r="D15" s="1851" t="s">
        <v>467</v>
      </c>
      <c r="E15" s="1851"/>
      <c r="F15" s="1851"/>
      <c r="G15" s="1851"/>
      <c r="H15" s="1851"/>
      <c r="I15" s="1851"/>
      <c r="J15" s="1851"/>
      <c r="K15" s="1851"/>
      <c r="L15" s="1851"/>
      <c r="M15" s="1851"/>
      <c r="N15" s="1851"/>
      <c r="O15" s="1851"/>
      <c r="P15" s="1851"/>
      <c r="Q15" s="1851"/>
      <c r="R15" s="1851"/>
      <c r="S15" s="1851"/>
      <c r="T15" s="1851"/>
      <c r="U15" s="1851"/>
      <c r="V15" s="1851"/>
      <c r="W15" s="1851"/>
      <c r="X15" s="1338">
        <v>183352837</v>
      </c>
      <c r="Y15" s="1050">
        <v>2405852</v>
      </c>
      <c r="Z15" s="1050">
        <v>4884</v>
      </c>
      <c r="AA15" s="1050">
        <v>50639</v>
      </c>
      <c r="AB15" s="1050">
        <v>11116</v>
      </c>
      <c r="AC15" s="1050">
        <v>5218</v>
      </c>
      <c r="AD15" s="1839">
        <f t="shared" si="0"/>
        <v>185830546</v>
      </c>
      <c r="AE15" s="1839"/>
      <c r="AF15" s="1839"/>
      <c r="AG15" s="1839"/>
      <c r="AH15" s="1839"/>
    </row>
    <row r="16" spans="1:34" s="789" customFormat="1" ht="15.75" customHeight="1">
      <c r="A16" s="1852" t="s">
        <v>328</v>
      </c>
      <c r="B16" s="1852"/>
      <c r="C16" s="1852"/>
      <c r="D16" s="1853" t="s">
        <v>810</v>
      </c>
      <c r="E16" s="1853"/>
      <c r="F16" s="1853"/>
      <c r="G16" s="1853"/>
      <c r="H16" s="1853"/>
      <c r="I16" s="1853"/>
      <c r="J16" s="1853"/>
      <c r="K16" s="1853"/>
      <c r="L16" s="1853"/>
      <c r="M16" s="1853"/>
      <c r="N16" s="1853"/>
      <c r="O16" s="1853"/>
      <c r="P16" s="1853"/>
      <c r="Q16" s="1853"/>
      <c r="R16" s="1853"/>
      <c r="S16" s="1853"/>
      <c r="T16" s="1853"/>
      <c r="U16" s="1853"/>
      <c r="V16" s="1853"/>
      <c r="W16" s="1853"/>
      <c r="X16" s="1339">
        <f aca="true" t="shared" si="3" ref="X16:AC16">SUM(X12:X15)</f>
        <v>1722401905</v>
      </c>
      <c r="Y16" s="1051">
        <f t="shared" si="3"/>
        <v>251036654</v>
      </c>
      <c r="Z16" s="1051">
        <f t="shared" si="3"/>
        <v>236900591</v>
      </c>
      <c r="AA16" s="1051">
        <f t="shared" si="3"/>
        <v>244652560</v>
      </c>
      <c r="AB16" s="1051">
        <f t="shared" si="3"/>
        <v>40150426</v>
      </c>
      <c r="AC16" s="1051">
        <f t="shared" si="3"/>
        <v>29215147</v>
      </c>
      <c r="AD16" s="1839">
        <f t="shared" si="0"/>
        <v>2524357283</v>
      </c>
      <c r="AE16" s="1839"/>
      <c r="AF16" s="1839"/>
      <c r="AG16" s="1839"/>
      <c r="AH16" s="1839"/>
    </row>
    <row r="17" spans="1:34" s="789" customFormat="1" ht="15.75" customHeight="1">
      <c r="A17" s="1849" t="s">
        <v>470</v>
      </c>
      <c r="B17" s="1849"/>
      <c r="C17" s="1849"/>
      <c r="D17" s="1851" t="s">
        <v>469</v>
      </c>
      <c r="E17" s="1851"/>
      <c r="F17" s="1851"/>
      <c r="G17" s="1851"/>
      <c r="H17" s="1851"/>
      <c r="I17" s="1851"/>
      <c r="J17" s="1851"/>
      <c r="K17" s="1851"/>
      <c r="L17" s="1851"/>
      <c r="M17" s="1851"/>
      <c r="N17" s="1851"/>
      <c r="O17" s="1851"/>
      <c r="P17" s="1851"/>
      <c r="Q17" s="1851"/>
      <c r="R17" s="1851"/>
      <c r="S17" s="1851"/>
      <c r="T17" s="1851"/>
      <c r="U17" s="1851"/>
      <c r="V17" s="1851"/>
      <c r="W17" s="1851"/>
      <c r="X17" s="1338">
        <v>22948872</v>
      </c>
      <c r="Y17" s="1050">
        <v>4918242</v>
      </c>
      <c r="Z17" s="1050">
        <v>17875226</v>
      </c>
      <c r="AA17" s="1050">
        <v>5037527</v>
      </c>
      <c r="AB17" s="1050">
        <v>4059055</v>
      </c>
      <c r="AC17" s="1050">
        <v>2398440</v>
      </c>
      <c r="AD17" s="1839">
        <f t="shared" si="0"/>
        <v>57237362</v>
      </c>
      <c r="AE17" s="1839"/>
      <c r="AF17" s="1839"/>
      <c r="AG17" s="1839"/>
      <c r="AH17" s="1839"/>
    </row>
    <row r="18" spans="1:34" s="789" customFormat="1" ht="15.75" customHeight="1">
      <c r="A18" s="1849" t="s">
        <v>472</v>
      </c>
      <c r="B18" s="1849"/>
      <c r="C18" s="1849"/>
      <c r="D18" s="1851" t="s">
        <v>471</v>
      </c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338">
        <v>357763756</v>
      </c>
      <c r="Y18" s="1050">
        <v>21819249</v>
      </c>
      <c r="Z18" s="1050">
        <v>35935601</v>
      </c>
      <c r="AA18" s="1050">
        <v>8288728</v>
      </c>
      <c r="AB18" s="1050">
        <v>9810386</v>
      </c>
      <c r="AC18" s="1050">
        <v>4559233</v>
      </c>
      <c r="AD18" s="1839">
        <f t="shared" si="0"/>
        <v>438176953</v>
      </c>
      <c r="AE18" s="1839"/>
      <c r="AF18" s="1839"/>
      <c r="AG18" s="1839"/>
      <c r="AH18" s="1839"/>
    </row>
    <row r="19" spans="1:34" s="790" customFormat="1" ht="15.75" customHeight="1">
      <c r="A19" s="1849" t="s">
        <v>474</v>
      </c>
      <c r="B19" s="1849"/>
      <c r="C19" s="1849"/>
      <c r="D19" s="1862" t="s">
        <v>473</v>
      </c>
      <c r="E19" s="1862"/>
      <c r="F19" s="1862"/>
      <c r="G19" s="1862"/>
      <c r="H19" s="1862"/>
      <c r="I19" s="1862"/>
      <c r="J19" s="1862"/>
      <c r="K19" s="1862"/>
      <c r="L19" s="1862"/>
      <c r="M19" s="1862"/>
      <c r="N19" s="1862"/>
      <c r="O19" s="1862"/>
      <c r="P19" s="1862"/>
      <c r="Q19" s="1862"/>
      <c r="R19" s="1862"/>
      <c r="S19" s="1862"/>
      <c r="T19" s="1862"/>
      <c r="U19" s="1862"/>
      <c r="V19" s="1862"/>
      <c r="W19" s="1862"/>
      <c r="X19" s="1342"/>
      <c r="Y19" s="1054"/>
      <c r="Z19" s="1054"/>
      <c r="AA19" s="1054"/>
      <c r="AB19" s="1054"/>
      <c r="AC19" s="1054"/>
      <c r="AD19" s="1839">
        <f t="shared" si="0"/>
        <v>0</v>
      </c>
      <c r="AE19" s="1839"/>
      <c r="AF19" s="1839"/>
      <c r="AG19" s="1839"/>
      <c r="AH19" s="1839"/>
    </row>
    <row r="20" spans="1:34" s="789" customFormat="1" ht="15.75" customHeight="1">
      <c r="A20" s="1849" t="s">
        <v>476</v>
      </c>
      <c r="B20" s="1849"/>
      <c r="C20" s="1849"/>
      <c r="D20" s="1851" t="s">
        <v>475</v>
      </c>
      <c r="E20" s="1851"/>
      <c r="F20" s="1851"/>
      <c r="G20" s="1851"/>
      <c r="H20" s="1851"/>
      <c r="I20" s="1851"/>
      <c r="J20" s="1851"/>
      <c r="K20" s="1851"/>
      <c r="L20" s="1851"/>
      <c r="M20" s="1851"/>
      <c r="N20" s="1851"/>
      <c r="O20" s="1851"/>
      <c r="P20" s="1851"/>
      <c r="Q20" s="1851"/>
      <c r="R20" s="1851"/>
      <c r="S20" s="1851"/>
      <c r="T20" s="1851"/>
      <c r="U20" s="1851"/>
      <c r="V20" s="1851"/>
      <c r="W20" s="1851"/>
      <c r="X20" s="1338">
        <v>15887908</v>
      </c>
      <c r="Y20" s="1050">
        <v>1692380</v>
      </c>
      <c r="Z20" s="1050">
        <v>604377</v>
      </c>
      <c r="AA20" s="1050">
        <v>0</v>
      </c>
      <c r="AB20" s="1050">
        <v>35822</v>
      </c>
      <c r="AC20" s="1050"/>
      <c r="AD20" s="1839">
        <f t="shared" si="0"/>
        <v>18220487</v>
      </c>
      <c r="AE20" s="1839"/>
      <c r="AF20" s="1839"/>
      <c r="AG20" s="1839"/>
      <c r="AH20" s="1839"/>
    </row>
    <row r="21" spans="1:34" s="789" customFormat="1" ht="15.75" customHeight="1">
      <c r="A21" s="1852" t="s">
        <v>334</v>
      </c>
      <c r="B21" s="1852"/>
      <c r="C21" s="1852"/>
      <c r="D21" s="1853" t="s">
        <v>809</v>
      </c>
      <c r="E21" s="1853"/>
      <c r="F21" s="1853"/>
      <c r="G21" s="1853"/>
      <c r="H21" s="1853"/>
      <c r="I21" s="1853"/>
      <c r="J21" s="1853"/>
      <c r="K21" s="1853"/>
      <c r="L21" s="1853"/>
      <c r="M21" s="1853"/>
      <c r="N21" s="1853"/>
      <c r="O21" s="1853"/>
      <c r="P21" s="1853"/>
      <c r="Q21" s="1853"/>
      <c r="R21" s="1853"/>
      <c r="S21" s="1853"/>
      <c r="T21" s="1853"/>
      <c r="U21" s="1853"/>
      <c r="V21" s="1853"/>
      <c r="W21" s="1853"/>
      <c r="X21" s="1339">
        <f aca="true" t="shared" si="4" ref="X21:AC21">SUM(X17:X20)</f>
        <v>396600536</v>
      </c>
      <c r="Y21" s="1051">
        <f t="shared" si="4"/>
        <v>28429871</v>
      </c>
      <c r="Z21" s="1051">
        <f t="shared" si="4"/>
        <v>54415204</v>
      </c>
      <c r="AA21" s="1051">
        <f t="shared" si="4"/>
        <v>13326255</v>
      </c>
      <c r="AB21" s="1051">
        <f t="shared" si="4"/>
        <v>13905263</v>
      </c>
      <c r="AC21" s="1051">
        <f t="shared" si="4"/>
        <v>6957673</v>
      </c>
      <c r="AD21" s="1839">
        <f t="shared" si="0"/>
        <v>513634802</v>
      </c>
      <c r="AE21" s="1839"/>
      <c r="AF21" s="1839"/>
      <c r="AG21" s="1839"/>
      <c r="AH21" s="1839"/>
    </row>
    <row r="22" spans="1:34" s="789" customFormat="1" ht="15.75" customHeight="1">
      <c r="A22" s="1849" t="s">
        <v>478</v>
      </c>
      <c r="B22" s="1849"/>
      <c r="C22" s="1849"/>
      <c r="D22" s="1851" t="s">
        <v>477</v>
      </c>
      <c r="E22" s="1851"/>
      <c r="F22" s="1851"/>
      <c r="G22" s="1851"/>
      <c r="H22" s="1851"/>
      <c r="I22" s="1851"/>
      <c r="J22" s="1851"/>
      <c r="K22" s="1851"/>
      <c r="L22" s="1851"/>
      <c r="M22" s="1851"/>
      <c r="N22" s="1851"/>
      <c r="O22" s="1851"/>
      <c r="P22" s="1851"/>
      <c r="Q22" s="1851"/>
      <c r="R22" s="1851"/>
      <c r="S22" s="1851"/>
      <c r="T22" s="1851"/>
      <c r="U22" s="1851"/>
      <c r="V22" s="1851"/>
      <c r="W22" s="1851"/>
      <c r="X22" s="1338">
        <v>75088045</v>
      </c>
      <c r="Y22" s="1050">
        <v>137464698</v>
      </c>
      <c r="Z22" s="1050">
        <v>150736320</v>
      </c>
      <c r="AA22" s="1050">
        <v>171832409</v>
      </c>
      <c r="AB22" s="1050">
        <v>19995618</v>
      </c>
      <c r="AC22" s="1050">
        <v>18840164</v>
      </c>
      <c r="AD22" s="1839">
        <f t="shared" si="0"/>
        <v>573957254</v>
      </c>
      <c r="AE22" s="1839"/>
      <c r="AF22" s="1839"/>
      <c r="AG22" s="1839"/>
      <c r="AH22" s="1839"/>
    </row>
    <row r="23" spans="1:34" s="789" customFormat="1" ht="15.75" customHeight="1">
      <c r="A23" s="1849" t="s">
        <v>480</v>
      </c>
      <c r="B23" s="1849"/>
      <c r="C23" s="1849"/>
      <c r="D23" s="1851" t="s">
        <v>479</v>
      </c>
      <c r="E23" s="1851"/>
      <c r="F23" s="1851"/>
      <c r="G23" s="1851"/>
      <c r="H23" s="1851"/>
      <c r="I23" s="1851"/>
      <c r="J23" s="1851"/>
      <c r="K23" s="1851"/>
      <c r="L23" s="1851"/>
      <c r="M23" s="1851"/>
      <c r="N23" s="1851"/>
      <c r="O23" s="1851"/>
      <c r="P23" s="1851"/>
      <c r="Q23" s="1851"/>
      <c r="R23" s="1851"/>
      <c r="S23" s="1851"/>
      <c r="T23" s="1851"/>
      <c r="U23" s="1851"/>
      <c r="V23" s="1851"/>
      <c r="W23" s="1851"/>
      <c r="X23" s="1338">
        <v>35040808</v>
      </c>
      <c r="Y23" s="1050">
        <v>13151277</v>
      </c>
      <c r="Z23" s="1050">
        <v>9484754</v>
      </c>
      <c r="AA23" s="1050">
        <v>15671266</v>
      </c>
      <c r="AB23" s="1050">
        <v>1532067</v>
      </c>
      <c r="AC23" s="1050">
        <v>908544</v>
      </c>
      <c r="AD23" s="1839">
        <f t="shared" si="0"/>
        <v>75788716</v>
      </c>
      <c r="AE23" s="1839"/>
      <c r="AF23" s="1839"/>
      <c r="AG23" s="1839"/>
      <c r="AH23" s="1839"/>
    </row>
    <row r="24" spans="1:34" s="789" customFormat="1" ht="15.75" customHeight="1">
      <c r="A24" s="1849" t="s">
        <v>489</v>
      </c>
      <c r="B24" s="1849"/>
      <c r="C24" s="1849"/>
      <c r="D24" s="1851" t="s">
        <v>481</v>
      </c>
      <c r="E24" s="1851"/>
      <c r="F24" s="1851"/>
      <c r="G24" s="1851"/>
      <c r="H24" s="1851"/>
      <c r="I24" s="1851"/>
      <c r="J24" s="1851"/>
      <c r="K24" s="1851"/>
      <c r="L24" s="1851"/>
      <c r="M24" s="1851"/>
      <c r="N24" s="1851"/>
      <c r="O24" s="1851"/>
      <c r="P24" s="1851"/>
      <c r="Q24" s="1851"/>
      <c r="R24" s="1851"/>
      <c r="S24" s="1851"/>
      <c r="T24" s="1851"/>
      <c r="U24" s="1851"/>
      <c r="V24" s="1851"/>
      <c r="W24" s="1851"/>
      <c r="X24" s="1338">
        <v>17264819</v>
      </c>
      <c r="Y24" s="1050">
        <v>34569046</v>
      </c>
      <c r="Z24" s="1050">
        <v>36617334</v>
      </c>
      <c r="AA24" s="1050">
        <v>43275043</v>
      </c>
      <c r="AB24" s="1050">
        <v>4713046</v>
      </c>
      <c r="AC24" s="1050">
        <v>4352032</v>
      </c>
      <c r="AD24" s="1839">
        <f t="shared" si="0"/>
        <v>140791320</v>
      </c>
      <c r="AE24" s="1839"/>
      <c r="AF24" s="1839"/>
      <c r="AG24" s="1839"/>
      <c r="AH24" s="1839"/>
    </row>
    <row r="25" spans="1:34" s="789" customFormat="1" ht="15.75" customHeight="1">
      <c r="A25" s="1852" t="s">
        <v>482</v>
      </c>
      <c r="B25" s="1852"/>
      <c r="C25" s="1852"/>
      <c r="D25" s="1853" t="s">
        <v>808</v>
      </c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339">
        <f aca="true" t="shared" si="5" ref="X25:AC25">SUM(X22:X24)</f>
        <v>127393672</v>
      </c>
      <c r="Y25" s="1051">
        <f t="shared" si="5"/>
        <v>185185021</v>
      </c>
      <c r="Z25" s="1051">
        <f t="shared" si="5"/>
        <v>196838408</v>
      </c>
      <c r="AA25" s="1051">
        <f t="shared" si="5"/>
        <v>230778718</v>
      </c>
      <c r="AB25" s="1051">
        <f t="shared" si="5"/>
        <v>26240731</v>
      </c>
      <c r="AC25" s="1051">
        <f t="shared" si="5"/>
        <v>24100740</v>
      </c>
      <c r="AD25" s="1839">
        <f t="shared" si="0"/>
        <v>790537290</v>
      </c>
      <c r="AE25" s="1839"/>
      <c r="AF25" s="1839"/>
      <c r="AG25" s="1839"/>
      <c r="AH25" s="1839"/>
    </row>
    <row r="26" spans="1:34" s="789" customFormat="1" ht="15.75" customHeight="1">
      <c r="A26" s="1852" t="s">
        <v>483</v>
      </c>
      <c r="B26" s="1852"/>
      <c r="C26" s="1852"/>
      <c r="D26" s="1853" t="s">
        <v>484</v>
      </c>
      <c r="E26" s="1853"/>
      <c r="F26" s="1853"/>
      <c r="G26" s="1853"/>
      <c r="H26" s="1853"/>
      <c r="I26" s="1853"/>
      <c r="J26" s="1853"/>
      <c r="K26" s="1853"/>
      <c r="L26" s="1853"/>
      <c r="M26" s="1853"/>
      <c r="N26" s="1853"/>
      <c r="O26" s="1853"/>
      <c r="P26" s="1853"/>
      <c r="Q26" s="1853"/>
      <c r="R26" s="1853"/>
      <c r="S26" s="1853"/>
      <c r="T26" s="1853"/>
      <c r="U26" s="1853"/>
      <c r="V26" s="1853"/>
      <c r="W26" s="1853"/>
      <c r="X26" s="1339">
        <v>473658330</v>
      </c>
      <c r="Y26" s="1051">
        <v>0</v>
      </c>
      <c r="Z26" s="1051">
        <v>1592747</v>
      </c>
      <c r="AA26" s="1051">
        <v>64567</v>
      </c>
      <c r="AB26" s="1051"/>
      <c r="AC26" s="1051">
        <v>168347</v>
      </c>
      <c r="AD26" s="1839">
        <f t="shared" si="0"/>
        <v>475483991</v>
      </c>
      <c r="AE26" s="1839"/>
      <c r="AF26" s="1839"/>
      <c r="AG26" s="1839"/>
      <c r="AH26" s="1839"/>
    </row>
    <row r="27" spans="1:34" s="791" customFormat="1" ht="15.75" customHeight="1">
      <c r="A27" s="1852" t="s">
        <v>485</v>
      </c>
      <c r="B27" s="1852"/>
      <c r="C27" s="1852"/>
      <c r="D27" s="1853" t="s">
        <v>486</v>
      </c>
      <c r="E27" s="1853"/>
      <c r="F27" s="1853"/>
      <c r="G27" s="1853"/>
      <c r="H27" s="1853"/>
      <c r="I27" s="1853"/>
      <c r="J27" s="1853"/>
      <c r="K27" s="1853"/>
      <c r="L27" s="1853"/>
      <c r="M27" s="1853"/>
      <c r="N27" s="1853"/>
      <c r="O27" s="1853"/>
      <c r="P27" s="1853"/>
      <c r="Q27" s="1853"/>
      <c r="R27" s="1853"/>
      <c r="S27" s="1853"/>
      <c r="T27" s="1853"/>
      <c r="U27" s="1853"/>
      <c r="V27" s="1853"/>
      <c r="W27" s="1853"/>
      <c r="X27" s="1339">
        <v>1713263799</v>
      </c>
      <c r="Y27" s="1051">
        <v>33974244</v>
      </c>
      <c r="Z27" s="1051">
        <v>17164960</v>
      </c>
      <c r="AA27" s="1051">
        <v>9818993</v>
      </c>
      <c r="AB27" s="1051">
        <v>2918621</v>
      </c>
      <c r="AC27" s="1051">
        <v>3892734</v>
      </c>
      <c r="AD27" s="1839">
        <f t="shared" si="0"/>
        <v>1781033351</v>
      </c>
      <c r="AE27" s="1839"/>
      <c r="AF27" s="1839"/>
      <c r="AG27" s="1839"/>
      <c r="AH27" s="1839"/>
    </row>
    <row r="28" spans="1:34" s="944" customFormat="1" ht="15.75" customHeight="1">
      <c r="A28" s="1863" t="s">
        <v>487</v>
      </c>
      <c r="B28" s="1863"/>
      <c r="C28" s="1863"/>
      <c r="D28" s="1864" t="s">
        <v>488</v>
      </c>
      <c r="E28" s="1864"/>
      <c r="F28" s="1864"/>
      <c r="G28" s="1864"/>
      <c r="H28" s="1864"/>
      <c r="I28" s="1864"/>
      <c r="J28" s="1864"/>
      <c r="K28" s="1864"/>
      <c r="L28" s="1864"/>
      <c r="M28" s="1864"/>
      <c r="N28" s="1864"/>
      <c r="O28" s="1864"/>
      <c r="P28" s="1864"/>
      <c r="Q28" s="1864"/>
      <c r="R28" s="1864"/>
      <c r="S28" s="1864"/>
      <c r="T28" s="1864"/>
      <c r="U28" s="1864"/>
      <c r="V28" s="1864"/>
      <c r="W28" s="1864"/>
      <c r="X28" s="1343">
        <f aca="true" t="shared" si="6" ref="X28:AC28">X8+X11+X16-X21-X25-X26-X27</f>
        <v>113226862</v>
      </c>
      <c r="Y28" s="1055">
        <f t="shared" si="6"/>
        <v>7359967</v>
      </c>
      <c r="Z28" s="1055">
        <f t="shared" si="6"/>
        <v>29354370</v>
      </c>
      <c r="AA28" s="1055">
        <f t="shared" si="6"/>
        <v>-9257973</v>
      </c>
      <c r="AB28" s="1055">
        <f t="shared" si="6"/>
        <v>-1181532</v>
      </c>
      <c r="AC28" s="1055">
        <f t="shared" si="6"/>
        <v>-1475012</v>
      </c>
      <c r="AD28" s="1865">
        <f t="shared" si="0"/>
        <v>138026682</v>
      </c>
      <c r="AE28" s="1865"/>
      <c r="AF28" s="1865"/>
      <c r="AG28" s="1865"/>
      <c r="AH28" s="1865"/>
    </row>
    <row r="29" spans="1:34" s="790" customFormat="1" ht="15.75" customHeight="1">
      <c r="A29" s="1849" t="s">
        <v>491</v>
      </c>
      <c r="B29" s="1849"/>
      <c r="C29" s="1849"/>
      <c r="D29" s="1862" t="s">
        <v>490</v>
      </c>
      <c r="E29" s="1862"/>
      <c r="F29" s="1862"/>
      <c r="G29" s="1862"/>
      <c r="H29" s="1862"/>
      <c r="I29" s="1862"/>
      <c r="J29" s="1862"/>
      <c r="K29" s="1862"/>
      <c r="L29" s="1862"/>
      <c r="M29" s="1862"/>
      <c r="N29" s="1862"/>
      <c r="O29" s="1862"/>
      <c r="P29" s="1862"/>
      <c r="Q29" s="1862"/>
      <c r="R29" s="1862"/>
      <c r="S29" s="1862"/>
      <c r="T29" s="1862"/>
      <c r="U29" s="1862"/>
      <c r="V29" s="1862"/>
      <c r="W29" s="1862"/>
      <c r="X29" s="1342">
        <v>88547</v>
      </c>
      <c r="Y29" s="1054"/>
      <c r="Z29" s="1054"/>
      <c r="AA29" s="1054"/>
      <c r="AB29" s="1054"/>
      <c r="AC29" s="1054"/>
      <c r="AD29" s="1839">
        <f>SUM(X29:AC29)</f>
        <v>88547</v>
      </c>
      <c r="AE29" s="1839"/>
      <c r="AF29" s="1839"/>
      <c r="AG29" s="1839"/>
      <c r="AH29" s="1839"/>
    </row>
    <row r="30" spans="1:34" s="790" customFormat="1" ht="28.5" customHeight="1">
      <c r="A30" s="1859" t="s">
        <v>492</v>
      </c>
      <c r="B30" s="1860"/>
      <c r="C30" s="1861"/>
      <c r="D30" s="1886" t="s">
        <v>807</v>
      </c>
      <c r="E30" s="1887"/>
      <c r="F30" s="1887"/>
      <c r="G30" s="1887"/>
      <c r="H30" s="1887"/>
      <c r="I30" s="1887"/>
      <c r="J30" s="1887"/>
      <c r="K30" s="1887"/>
      <c r="L30" s="1887"/>
      <c r="M30" s="1887"/>
      <c r="N30" s="1887"/>
      <c r="O30" s="1887"/>
      <c r="P30" s="1887"/>
      <c r="Q30" s="1887"/>
      <c r="R30" s="1887"/>
      <c r="S30" s="1887"/>
      <c r="T30" s="1887"/>
      <c r="U30" s="1887"/>
      <c r="V30" s="1887"/>
      <c r="W30" s="1888"/>
      <c r="X30" s="1342">
        <v>1001000</v>
      </c>
      <c r="Y30" s="1054"/>
      <c r="Z30" s="1054"/>
      <c r="AA30" s="1054"/>
      <c r="AB30" s="1054"/>
      <c r="AC30" s="1054"/>
      <c r="AD30" s="1839">
        <f>SUM(X30:AC30)</f>
        <v>1001000</v>
      </c>
      <c r="AE30" s="1839"/>
      <c r="AF30" s="1839"/>
      <c r="AG30" s="1839"/>
      <c r="AH30" s="1839"/>
    </row>
    <row r="31" spans="1:34" s="790" customFormat="1" ht="27" customHeight="1">
      <c r="A31" s="1849" t="s">
        <v>494</v>
      </c>
      <c r="B31" s="1849"/>
      <c r="C31" s="1849"/>
      <c r="D31" s="1862" t="s">
        <v>1027</v>
      </c>
      <c r="E31" s="1862"/>
      <c r="F31" s="1862"/>
      <c r="G31" s="1862"/>
      <c r="H31" s="1862"/>
      <c r="I31" s="1862"/>
      <c r="J31" s="1862"/>
      <c r="K31" s="1862"/>
      <c r="L31" s="1862"/>
      <c r="M31" s="1862"/>
      <c r="N31" s="1862"/>
      <c r="O31" s="1862"/>
      <c r="P31" s="1862"/>
      <c r="Q31" s="1862"/>
      <c r="R31" s="1862"/>
      <c r="S31" s="1862"/>
      <c r="T31" s="1862"/>
      <c r="U31" s="1862"/>
      <c r="V31" s="1862"/>
      <c r="W31" s="1862"/>
      <c r="X31" s="1342">
        <v>0</v>
      </c>
      <c r="Y31" s="1054"/>
      <c r="Z31" s="1054"/>
      <c r="AA31" s="1054"/>
      <c r="AB31" s="1054"/>
      <c r="AC31" s="1054"/>
      <c r="AD31" s="1839">
        <f t="shared" si="0"/>
        <v>0</v>
      </c>
      <c r="AE31" s="1839"/>
      <c r="AF31" s="1839"/>
      <c r="AG31" s="1839"/>
      <c r="AH31" s="1839"/>
    </row>
    <row r="32" spans="1:34" s="790" customFormat="1" ht="15.75" customHeight="1">
      <c r="A32" s="1840" t="s">
        <v>495</v>
      </c>
      <c r="B32" s="1840"/>
      <c r="C32" s="1840"/>
      <c r="D32" s="1841" t="s">
        <v>1026</v>
      </c>
      <c r="E32" s="1841"/>
      <c r="F32" s="1841"/>
      <c r="G32" s="1841"/>
      <c r="H32" s="1841"/>
      <c r="I32" s="1841"/>
      <c r="J32" s="1841"/>
      <c r="K32" s="1841"/>
      <c r="L32" s="1841"/>
      <c r="M32" s="1841"/>
      <c r="N32" s="1841"/>
      <c r="O32" s="1841"/>
      <c r="P32" s="1841"/>
      <c r="Q32" s="1841"/>
      <c r="R32" s="1841"/>
      <c r="S32" s="1841"/>
      <c r="T32" s="1841"/>
      <c r="U32" s="1841"/>
      <c r="V32" s="1841"/>
      <c r="W32" s="1841"/>
      <c r="X32" s="1344">
        <v>20744297</v>
      </c>
      <c r="Y32" s="1056">
        <v>1173</v>
      </c>
      <c r="Z32" s="1056">
        <v>2733</v>
      </c>
      <c r="AA32" s="1056">
        <v>474</v>
      </c>
      <c r="AB32" s="1056">
        <v>203</v>
      </c>
      <c r="AC32" s="1056">
        <v>378</v>
      </c>
      <c r="AD32" s="1839">
        <f t="shared" si="0"/>
        <v>20749258</v>
      </c>
      <c r="AE32" s="1839"/>
      <c r="AF32" s="1839"/>
      <c r="AG32" s="1839"/>
      <c r="AH32" s="1839"/>
    </row>
    <row r="33" spans="1:34" s="790" customFormat="1" ht="15.75" customHeight="1">
      <c r="A33" s="1840" t="s">
        <v>497</v>
      </c>
      <c r="B33" s="1840"/>
      <c r="C33" s="1840"/>
      <c r="D33" s="1872" t="s">
        <v>804</v>
      </c>
      <c r="E33" s="1841"/>
      <c r="F33" s="1841"/>
      <c r="G33" s="1841"/>
      <c r="H33" s="1841"/>
      <c r="I33" s="1841"/>
      <c r="J33" s="1841"/>
      <c r="K33" s="1841"/>
      <c r="L33" s="1841"/>
      <c r="M33" s="1841"/>
      <c r="N33" s="1841"/>
      <c r="O33" s="1841"/>
      <c r="P33" s="1841"/>
      <c r="Q33" s="1841"/>
      <c r="R33" s="1841"/>
      <c r="S33" s="1841"/>
      <c r="T33" s="1841"/>
      <c r="U33" s="1841"/>
      <c r="V33" s="1841"/>
      <c r="W33" s="1841"/>
      <c r="X33" s="1344">
        <v>11877008</v>
      </c>
      <c r="Y33" s="1056"/>
      <c r="Z33" s="1056"/>
      <c r="AA33" s="1056"/>
      <c r="AB33" s="1056"/>
      <c r="AC33" s="1056"/>
      <c r="AD33" s="1839">
        <f t="shared" si="0"/>
        <v>11877008</v>
      </c>
      <c r="AE33" s="1839"/>
      <c r="AF33" s="1839"/>
      <c r="AG33" s="1839"/>
      <c r="AH33" s="1839"/>
    </row>
    <row r="34" spans="1:34" s="790" customFormat="1" ht="15.75" customHeight="1">
      <c r="A34" s="1880" t="s">
        <v>493</v>
      </c>
      <c r="B34" s="1880"/>
      <c r="C34" s="1880"/>
      <c r="D34" s="1881" t="s">
        <v>803</v>
      </c>
      <c r="E34" s="1881"/>
      <c r="F34" s="1881"/>
      <c r="G34" s="1881"/>
      <c r="H34" s="1881"/>
      <c r="I34" s="1881"/>
      <c r="J34" s="1881"/>
      <c r="K34" s="1881"/>
      <c r="L34" s="1881"/>
      <c r="M34" s="1881"/>
      <c r="N34" s="1881"/>
      <c r="O34" s="1881"/>
      <c r="P34" s="1881"/>
      <c r="Q34" s="1881"/>
      <c r="R34" s="1881"/>
      <c r="S34" s="1881"/>
      <c r="T34" s="1881"/>
      <c r="U34" s="1881"/>
      <c r="V34" s="1881"/>
      <c r="W34" s="1881"/>
      <c r="X34" s="1345">
        <f aca="true" t="shared" si="7" ref="X34:AC34">SUM(X29:X33)</f>
        <v>33710852</v>
      </c>
      <c r="Y34" s="1057">
        <f t="shared" si="7"/>
        <v>1173</v>
      </c>
      <c r="Z34" s="1057">
        <f t="shared" si="7"/>
        <v>2733</v>
      </c>
      <c r="AA34" s="1057">
        <f t="shared" si="7"/>
        <v>474</v>
      </c>
      <c r="AB34" s="1057">
        <f t="shared" si="7"/>
        <v>203</v>
      </c>
      <c r="AC34" s="1057">
        <f t="shared" si="7"/>
        <v>378</v>
      </c>
      <c r="AD34" s="1839">
        <f t="shared" si="0"/>
        <v>33715813</v>
      </c>
      <c r="AE34" s="1839"/>
      <c r="AF34" s="1839"/>
      <c r="AG34" s="1839"/>
      <c r="AH34" s="1839"/>
    </row>
    <row r="35" spans="1:34" s="790" customFormat="1" ht="15.75" customHeight="1">
      <c r="A35" s="1840" t="s">
        <v>502</v>
      </c>
      <c r="B35" s="1840"/>
      <c r="C35" s="1840"/>
      <c r="D35" s="1841" t="s">
        <v>802</v>
      </c>
      <c r="E35" s="1841"/>
      <c r="F35" s="1841"/>
      <c r="G35" s="1841"/>
      <c r="H35" s="1841"/>
      <c r="I35" s="1841"/>
      <c r="J35" s="1841"/>
      <c r="K35" s="1841"/>
      <c r="L35" s="1841"/>
      <c r="M35" s="1841"/>
      <c r="N35" s="1841"/>
      <c r="O35" s="1841"/>
      <c r="P35" s="1841"/>
      <c r="Q35" s="1841"/>
      <c r="R35" s="1841"/>
      <c r="S35" s="1841"/>
      <c r="T35" s="1841"/>
      <c r="U35" s="1841"/>
      <c r="V35" s="1841"/>
      <c r="W35" s="1841"/>
      <c r="X35" s="1344">
        <v>0</v>
      </c>
      <c r="Y35" s="1056"/>
      <c r="Z35" s="1056"/>
      <c r="AA35" s="1056"/>
      <c r="AB35" s="1056"/>
      <c r="AC35" s="1056"/>
      <c r="AD35" s="1839">
        <f t="shared" si="0"/>
        <v>0</v>
      </c>
      <c r="AE35" s="1839"/>
      <c r="AF35" s="1839"/>
      <c r="AG35" s="1839"/>
      <c r="AH35" s="1839"/>
    </row>
    <row r="36" spans="1:34" s="789" customFormat="1" ht="28.5" customHeight="1">
      <c r="A36" s="1840" t="s">
        <v>503</v>
      </c>
      <c r="B36" s="1840"/>
      <c r="C36" s="1840"/>
      <c r="D36" s="1841" t="s">
        <v>1029</v>
      </c>
      <c r="E36" s="1841"/>
      <c r="F36" s="1841"/>
      <c r="G36" s="1841"/>
      <c r="H36" s="1841"/>
      <c r="I36" s="1841"/>
      <c r="J36" s="1841"/>
      <c r="K36" s="1841"/>
      <c r="L36" s="1841"/>
      <c r="M36" s="1841"/>
      <c r="N36" s="1841"/>
      <c r="O36" s="1841"/>
      <c r="P36" s="1841"/>
      <c r="Q36" s="1841"/>
      <c r="R36" s="1841"/>
      <c r="S36" s="1841"/>
      <c r="T36" s="1841"/>
      <c r="U36" s="1841"/>
      <c r="V36" s="1841"/>
      <c r="W36" s="1841"/>
      <c r="X36" s="1344">
        <v>0</v>
      </c>
      <c r="Y36" s="1056"/>
      <c r="Z36" s="1056"/>
      <c r="AA36" s="1056"/>
      <c r="AB36" s="1056"/>
      <c r="AC36" s="1056"/>
      <c r="AD36" s="1839">
        <f t="shared" si="0"/>
        <v>0</v>
      </c>
      <c r="AE36" s="1839"/>
      <c r="AF36" s="1839"/>
      <c r="AG36" s="1839"/>
      <c r="AH36" s="1839"/>
    </row>
    <row r="37" spans="1:34" s="789" customFormat="1" ht="15.75" customHeight="1">
      <c r="A37" s="1866" t="s">
        <v>634</v>
      </c>
      <c r="B37" s="1867"/>
      <c r="C37" s="1868"/>
      <c r="D37" s="1869" t="s">
        <v>833</v>
      </c>
      <c r="E37" s="1870"/>
      <c r="F37" s="1870"/>
      <c r="G37" s="1870"/>
      <c r="H37" s="1870"/>
      <c r="I37" s="1870"/>
      <c r="J37" s="1870"/>
      <c r="K37" s="1870"/>
      <c r="L37" s="1870"/>
      <c r="M37" s="1870"/>
      <c r="N37" s="1870"/>
      <c r="O37" s="1870"/>
      <c r="P37" s="1870"/>
      <c r="Q37" s="1870"/>
      <c r="R37" s="1870"/>
      <c r="S37" s="1870"/>
      <c r="T37" s="1870"/>
      <c r="U37" s="1870"/>
      <c r="V37" s="1870"/>
      <c r="W37" s="1871"/>
      <c r="X37" s="1344">
        <v>3684034</v>
      </c>
      <c r="Y37" s="1056"/>
      <c r="Z37" s="1056"/>
      <c r="AA37" s="1056"/>
      <c r="AB37" s="1056"/>
      <c r="AC37" s="1056"/>
      <c r="AD37" s="1839">
        <f>SUM(X37:AC37)</f>
        <v>3684034</v>
      </c>
      <c r="AE37" s="1839"/>
      <c r="AF37" s="1839"/>
      <c r="AG37" s="1839"/>
      <c r="AH37" s="1839"/>
    </row>
    <row r="38" spans="1:34" s="789" customFormat="1" ht="15.75" customHeight="1">
      <c r="A38" s="1840" t="s">
        <v>633</v>
      </c>
      <c r="B38" s="1840"/>
      <c r="C38" s="1840"/>
      <c r="D38" s="1841" t="s">
        <v>496</v>
      </c>
      <c r="E38" s="1841"/>
      <c r="F38" s="1841"/>
      <c r="G38" s="1841"/>
      <c r="H38" s="1841"/>
      <c r="I38" s="1841"/>
      <c r="J38" s="1841"/>
      <c r="K38" s="1841"/>
      <c r="L38" s="1841"/>
      <c r="M38" s="1841"/>
      <c r="N38" s="1841"/>
      <c r="O38" s="1841"/>
      <c r="P38" s="1841"/>
      <c r="Q38" s="1841"/>
      <c r="R38" s="1841"/>
      <c r="S38" s="1841"/>
      <c r="T38" s="1841"/>
      <c r="U38" s="1841"/>
      <c r="V38" s="1841"/>
      <c r="W38" s="1841"/>
      <c r="X38" s="1344">
        <v>0</v>
      </c>
      <c r="Y38" s="1056"/>
      <c r="Z38" s="1056"/>
      <c r="AA38" s="1056"/>
      <c r="AB38" s="1056"/>
      <c r="AC38" s="1056"/>
      <c r="AD38" s="1839">
        <f t="shared" si="0"/>
        <v>0</v>
      </c>
      <c r="AE38" s="1839"/>
      <c r="AF38" s="1839"/>
      <c r="AG38" s="1839"/>
      <c r="AH38" s="1839"/>
    </row>
    <row r="39" spans="1:34" s="789" customFormat="1" ht="15.75" customHeight="1">
      <c r="A39" s="1840" t="s">
        <v>632</v>
      </c>
      <c r="B39" s="1840"/>
      <c r="C39" s="1840"/>
      <c r="D39" s="1872" t="s">
        <v>1028</v>
      </c>
      <c r="E39" s="1841"/>
      <c r="F39" s="1841"/>
      <c r="G39" s="1841"/>
      <c r="H39" s="1841"/>
      <c r="I39" s="1841"/>
      <c r="J39" s="1841"/>
      <c r="K39" s="1841"/>
      <c r="L39" s="1841"/>
      <c r="M39" s="1841"/>
      <c r="N39" s="1841"/>
      <c r="O39" s="1841"/>
      <c r="P39" s="1841"/>
      <c r="Q39" s="1841"/>
      <c r="R39" s="1841"/>
      <c r="S39" s="1841"/>
      <c r="T39" s="1841"/>
      <c r="U39" s="1841"/>
      <c r="V39" s="1841"/>
      <c r="W39" s="1841"/>
      <c r="X39" s="1344">
        <v>0</v>
      </c>
      <c r="Y39" s="1056"/>
      <c r="Z39" s="1056"/>
      <c r="AA39" s="1056"/>
      <c r="AB39" s="1056"/>
      <c r="AC39" s="1056"/>
      <c r="AD39" s="1839">
        <f t="shared" si="0"/>
        <v>0</v>
      </c>
      <c r="AE39" s="1839"/>
      <c r="AF39" s="1839"/>
      <c r="AG39" s="1839"/>
      <c r="AH39" s="1839"/>
    </row>
    <row r="40" spans="1:34" s="789" customFormat="1" ht="15.75" customHeight="1">
      <c r="A40" s="1852" t="s">
        <v>498</v>
      </c>
      <c r="B40" s="1852"/>
      <c r="C40" s="1852"/>
      <c r="D40" s="1873" t="s">
        <v>798</v>
      </c>
      <c r="E40" s="1873"/>
      <c r="F40" s="1873"/>
      <c r="G40" s="1873"/>
      <c r="H40" s="1873"/>
      <c r="I40" s="1873"/>
      <c r="J40" s="1873"/>
      <c r="K40" s="1873"/>
      <c r="L40" s="1873"/>
      <c r="M40" s="1873"/>
      <c r="N40" s="1873"/>
      <c r="O40" s="1873"/>
      <c r="P40" s="1873"/>
      <c r="Q40" s="1873"/>
      <c r="R40" s="1873"/>
      <c r="S40" s="1873"/>
      <c r="T40" s="1873"/>
      <c r="U40" s="1873"/>
      <c r="V40" s="1873"/>
      <c r="W40" s="1873"/>
      <c r="X40" s="1346">
        <f aca="true" t="shared" si="8" ref="X40:AC40">SUM(X35:X39)</f>
        <v>3684034</v>
      </c>
      <c r="Y40" s="1058">
        <f t="shared" si="8"/>
        <v>0</v>
      </c>
      <c r="Z40" s="1058">
        <f t="shared" si="8"/>
        <v>0</v>
      </c>
      <c r="AA40" s="1058">
        <f t="shared" si="8"/>
        <v>0</v>
      </c>
      <c r="AB40" s="1058">
        <f t="shared" si="8"/>
        <v>0</v>
      </c>
      <c r="AC40" s="1058">
        <f t="shared" si="8"/>
        <v>0</v>
      </c>
      <c r="AD40" s="1839">
        <f t="shared" si="0"/>
        <v>3684034</v>
      </c>
      <c r="AE40" s="1839"/>
      <c r="AF40" s="1839"/>
      <c r="AG40" s="1839"/>
      <c r="AH40" s="1839"/>
    </row>
    <row r="41" spans="1:34" s="943" customFormat="1" ht="15.75" customHeight="1">
      <c r="A41" s="1863" t="s">
        <v>499</v>
      </c>
      <c r="B41" s="1863"/>
      <c r="C41" s="1863"/>
      <c r="D41" s="1864" t="s">
        <v>500</v>
      </c>
      <c r="E41" s="1864"/>
      <c r="F41" s="1864"/>
      <c r="G41" s="1864"/>
      <c r="H41" s="1864"/>
      <c r="I41" s="1864"/>
      <c r="J41" s="1864"/>
      <c r="K41" s="1864"/>
      <c r="L41" s="1864"/>
      <c r="M41" s="1864"/>
      <c r="N41" s="1864"/>
      <c r="O41" s="1864"/>
      <c r="P41" s="1864"/>
      <c r="Q41" s="1864"/>
      <c r="R41" s="1864"/>
      <c r="S41" s="1864"/>
      <c r="T41" s="1864"/>
      <c r="U41" s="1864"/>
      <c r="V41" s="1864"/>
      <c r="W41" s="1864"/>
      <c r="X41" s="1343">
        <f aca="true" t="shared" si="9" ref="X41:AC41">X34-X40</f>
        <v>30026818</v>
      </c>
      <c r="Y41" s="1055">
        <f t="shared" si="9"/>
        <v>1173</v>
      </c>
      <c r="Z41" s="1055">
        <f t="shared" si="9"/>
        <v>2733</v>
      </c>
      <c r="AA41" s="1055">
        <f t="shared" si="9"/>
        <v>474</v>
      </c>
      <c r="AB41" s="1055">
        <f t="shared" si="9"/>
        <v>203</v>
      </c>
      <c r="AC41" s="1055">
        <f t="shared" si="9"/>
        <v>378</v>
      </c>
      <c r="AD41" s="1865">
        <f t="shared" si="0"/>
        <v>30031779</v>
      </c>
      <c r="AE41" s="1865"/>
      <c r="AF41" s="1865"/>
      <c r="AG41" s="1865"/>
      <c r="AH41" s="1865"/>
    </row>
    <row r="42" spans="1:34" s="943" customFormat="1" ht="15.75" customHeight="1">
      <c r="A42" s="1863" t="s">
        <v>501</v>
      </c>
      <c r="B42" s="1863"/>
      <c r="C42" s="1863"/>
      <c r="D42" s="1864" t="s">
        <v>797</v>
      </c>
      <c r="E42" s="1864"/>
      <c r="F42" s="1864"/>
      <c r="G42" s="1864"/>
      <c r="H42" s="1864"/>
      <c r="I42" s="1864"/>
      <c r="J42" s="1864"/>
      <c r="K42" s="1864"/>
      <c r="L42" s="1864"/>
      <c r="M42" s="1864"/>
      <c r="N42" s="1864"/>
      <c r="O42" s="1864"/>
      <c r="P42" s="1864"/>
      <c r="Q42" s="1864"/>
      <c r="R42" s="1864"/>
      <c r="S42" s="1864"/>
      <c r="T42" s="1864"/>
      <c r="U42" s="1864"/>
      <c r="V42" s="1864"/>
      <c r="W42" s="1864"/>
      <c r="X42" s="1343">
        <f aca="true" t="shared" si="10" ref="X42:AC42">X28+X41</f>
        <v>143253680</v>
      </c>
      <c r="Y42" s="1055">
        <f t="shared" si="10"/>
        <v>7361140</v>
      </c>
      <c r="Z42" s="1055">
        <f t="shared" si="10"/>
        <v>29357103</v>
      </c>
      <c r="AA42" s="1055">
        <f t="shared" si="10"/>
        <v>-9257499</v>
      </c>
      <c r="AB42" s="1055">
        <f t="shared" si="10"/>
        <v>-1181329</v>
      </c>
      <c r="AC42" s="1055">
        <f t="shared" si="10"/>
        <v>-1474634</v>
      </c>
      <c r="AD42" s="1865">
        <f t="shared" si="0"/>
        <v>168058461</v>
      </c>
      <c r="AE42" s="1865"/>
      <c r="AF42" s="1865"/>
      <c r="AG42" s="1865"/>
      <c r="AH42" s="1865"/>
    </row>
    <row r="43" spans="4:29" ht="12.75"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786"/>
      <c r="U43" s="786"/>
      <c r="V43" s="786"/>
      <c r="W43" s="786"/>
      <c r="X43" s="1347"/>
      <c r="Y43" s="1059"/>
      <c r="Z43" s="1059"/>
      <c r="AA43" s="1059"/>
      <c r="AB43" s="1059"/>
      <c r="AC43" s="1059"/>
    </row>
    <row r="44" spans="4:29" ht="12.75"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1347"/>
      <c r="Y44" s="1059"/>
      <c r="Z44" s="1059"/>
      <c r="AA44" s="1059"/>
      <c r="AB44" s="1059"/>
      <c r="AC44" s="1059"/>
    </row>
  </sheetData>
  <sheetProtection/>
  <mergeCells count="125">
    <mergeCell ref="D30:W30"/>
    <mergeCell ref="A30:C30"/>
    <mergeCell ref="AD30:AH30"/>
    <mergeCell ref="D37:W37"/>
    <mergeCell ref="A37:C37"/>
    <mergeCell ref="AD37:AH37"/>
    <mergeCell ref="A31:C31"/>
    <mergeCell ref="D31:W31"/>
    <mergeCell ref="AD31:AH31"/>
    <mergeCell ref="A32:C32"/>
    <mergeCell ref="A1:AH1"/>
    <mergeCell ref="A2:AH2"/>
    <mergeCell ref="A3:C4"/>
    <mergeCell ref="D3:W4"/>
    <mergeCell ref="X3:X4"/>
    <mergeCell ref="Y3:Y4"/>
    <mergeCell ref="Z3:Z4"/>
    <mergeCell ref="AA3:AA4"/>
    <mergeCell ref="AB3:AB4"/>
    <mergeCell ref="AC3:AC4"/>
    <mergeCell ref="AD3:AH4"/>
    <mergeCell ref="A5:C5"/>
    <mergeCell ref="D5:W5"/>
    <mergeCell ref="AD5:AH5"/>
    <mergeCell ref="A6:C6"/>
    <mergeCell ref="D6:W6"/>
    <mergeCell ref="AD6:AH6"/>
    <mergeCell ref="A7:C7"/>
    <mergeCell ref="D7:W7"/>
    <mergeCell ref="AD7:AH7"/>
    <mergeCell ref="A8:C8"/>
    <mergeCell ref="D8:W8"/>
    <mergeCell ref="AD8:AH8"/>
    <mergeCell ref="A9:C9"/>
    <mergeCell ref="D9:W9"/>
    <mergeCell ref="AD9:AH9"/>
    <mergeCell ref="A10:C10"/>
    <mergeCell ref="D10:W10"/>
    <mergeCell ref="AD10:AH10"/>
    <mergeCell ref="A11:C11"/>
    <mergeCell ref="D11:W11"/>
    <mergeCell ref="AD11:AH11"/>
    <mergeCell ref="A12:C12"/>
    <mergeCell ref="D12:W12"/>
    <mergeCell ref="AD12:AH12"/>
    <mergeCell ref="A13:C13"/>
    <mergeCell ref="D13:W13"/>
    <mergeCell ref="AD13:AH13"/>
    <mergeCell ref="A15:C15"/>
    <mergeCell ref="D15:W15"/>
    <mergeCell ref="AD15:AH15"/>
    <mergeCell ref="D14:W14"/>
    <mergeCell ref="A14:C14"/>
    <mergeCell ref="AD14:AH14"/>
    <mergeCell ref="A16:C16"/>
    <mergeCell ref="D16:W16"/>
    <mergeCell ref="AD16:AH16"/>
    <mergeCell ref="A17:C17"/>
    <mergeCell ref="D17:W17"/>
    <mergeCell ref="AD17:AH17"/>
    <mergeCell ref="A18:C18"/>
    <mergeCell ref="D18:W18"/>
    <mergeCell ref="AD18:AH18"/>
    <mergeCell ref="A19:C19"/>
    <mergeCell ref="D19:W19"/>
    <mergeCell ref="AD19:AH19"/>
    <mergeCell ref="A20:C20"/>
    <mergeCell ref="D20:W20"/>
    <mergeCell ref="AD20:AH20"/>
    <mergeCell ref="A21:C21"/>
    <mergeCell ref="D21:W21"/>
    <mergeCell ref="AD21:AH21"/>
    <mergeCell ref="A22:C22"/>
    <mergeCell ref="D22:W22"/>
    <mergeCell ref="AD22:AH22"/>
    <mergeCell ref="A23:C23"/>
    <mergeCell ref="D23:W23"/>
    <mergeCell ref="AD23:AH23"/>
    <mergeCell ref="A24:C24"/>
    <mergeCell ref="D24:W24"/>
    <mergeCell ref="AD24:AH24"/>
    <mergeCell ref="A25:C25"/>
    <mergeCell ref="D25:W25"/>
    <mergeCell ref="AD25:AH25"/>
    <mergeCell ref="A26:C26"/>
    <mergeCell ref="D26:W26"/>
    <mergeCell ref="AD26:AH26"/>
    <mergeCell ref="A27:C27"/>
    <mergeCell ref="D27:W27"/>
    <mergeCell ref="AD27:AH27"/>
    <mergeCell ref="A28:C28"/>
    <mergeCell ref="D28:W28"/>
    <mergeCell ref="AD28:AH28"/>
    <mergeCell ref="A29:C29"/>
    <mergeCell ref="D29:W29"/>
    <mergeCell ref="AD29:AH29"/>
    <mergeCell ref="D32:W32"/>
    <mergeCell ref="AD32:AH32"/>
    <mergeCell ref="A33:C33"/>
    <mergeCell ref="D33:W33"/>
    <mergeCell ref="AD33:AH33"/>
    <mergeCell ref="A34:C34"/>
    <mergeCell ref="D34:W34"/>
    <mergeCell ref="AD34:AH34"/>
    <mergeCell ref="A35:C35"/>
    <mergeCell ref="D35:W35"/>
    <mergeCell ref="AD35:AH35"/>
    <mergeCell ref="A36:C36"/>
    <mergeCell ref="D36:W36"/>
    <mergeCell ref="AD36:AH36"/>
    <mergeCell ref="A38:C38"/>
    <mergeCell ref="D38:W38"/>
    <mergeCell ref="AD38:AH38"/>
    <mergeCell ref="A39:C39"/>
    <mergeCell ref="D39:W39"/>
    <mergeCell ref="AD39:AH39"/>
    <mergeCell ref="A42:C42"/>
    <mergeCell ref="D42:W42"/>
    <mergeCell ref="AD42:AH42"/>
    <mergeCell ref="A40:C40"/>
    <mergeCell ref="D40:W40"/>
    <mergeCell ref="AD40:AH40"/>
    <mergeCell ref="A41:C41"/>
    <mergeCell ref="D41:W41"/>
    <mergeCell ref="AD41:AH4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J16"/>
  <sheetViews>
    <sheetView view="pageBreakPreview" zoomScaleSheetLayoutView="100" workbookViewId="0" topLeftCell="A1">
      <pane ySplit="5" topLeftCell="A6" activePane="bottomLeft" state="frozen"/>
      <selection pane="topLeft" activeCell="G26" sqref="G26"/>
      <selection pane="bottomLeft" activeCell="C4" sqref="C4:AE5"/>
    </sheetView>
  </sheetViews>
  <sheetFormatPr defaultColWidth="9.00390625" defaultRowHeight="12.75"/>
  <cols>
    <col min="1" max="83" width="2.75390625" style="792" customWidth="1"/>
    <col min="84" max="16384" width="9.125" style="792" customWidth="1"/>
  </cols>
  <sheetData>
    <row r="1" ht="26.25" customHeight="1"/>
    <row r="2" spans="1:62" s="786" customFormat="1" ht="48" customHeight="1">
      <c r="A2" s="1965" t="s">
        <v>1111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1842"/>
      <c r="T2" s="1842"/>
      <c r="U2" s="1842"/>
      <c r="V2" s="1842"/>
      <c r="W2" s="1842"/>
      <c r="X2" s="1842"/>
      <c r="Y2" s="1842"/>
      <c r="Z2" s="1842"/>
      <c r="AA2" s="1842"/>
      <c r="AB2" s="1842"/>
      <c r="AC2" s="1842"/>
      <c r="AD2" s="1842"/>
      <c r="AE2" s="1842"/>
      <c r="AF2" s="1842"/>
      <c r="AG2" s="1842"/>
      <c r="AH2" s="1842"/>
      <c r="AI2" s="1842"/>
      <c r="AJ2" s="1842"/>
      <c r="AK2" s="1842"/>
      <c r="AL2" s="1842"/>
      <c r="AM2" s="1842"/>
      <c r="AN2" s="1842"/>
      <c r="AO2" s="1842"/>
      <c r="AP2" s="1842"/>
      <c r="AQ2" s="1842"/>
      <c r="AR2" s="1842"/>
      <c r="AS2" s="1842"/>
      <c r="AT2" s="1842"/>
      <c r="AU2" s="1842"/>
      <c r="AV2" s="1842"/>
      <c r="AW2" s="1842"/>
      <c r="AX2" s="1842"/>
      <c r="AY2" s="1842"/>
      <c r="AZ2" s="1842"/>
      <c r="BA2" s="1842"/>
      <c r="BB2" s="1842"/>
      <c r="BC2" s="1842"/>
      <c r="BD2" s="1842"/>
      <c r="BE2" s="1842"/>
      <c r="BF2" s="1842"/>
      <c r="BG2" s="1842"/>
      <c r="BH2" s="1842"/>
      <c r="BI2" s="1842"/>
      <c r="BJ2" s="1212"/>
    </row>
    <row r="3" spans="1:61" ht="12.75" customHeight="1">
      <c r="A3" s="1890" t="s">
        <v>508</v>
      </c>
      <c r="B3" s="1891"/>
      <c r="C3" s="1891"/>
      <c r="D3" s="1891"/>
      <c r="E3" s="1891"/>
      <c r="F3" s="1891"/>
      <c r="G3" s="1891"/>
      <c r="H3" s="1891"/>
      <c r="I3" s="1891"/>
      <c r="J3" s="1891"/>
      <c r="K3" s="1891"/>
      <c r="L3" s="1891"/>
      <c r="M3" s="1891"/>
      <c r="N3" s="1891"/>
      <c r="O3" s="1891"/>
      <c r="P3" s="1891"/>
      <c r="Q3" s="1891"/>
      <c r="R3" s="1891"/>
      <c r="S3" s="1891"/>
      <c r="T3" s="1891"/>
      <c r="U3" s="1891"/>
      <c r="V3" s="1891"/>
      <c r="W3" s="1891"/>
      <c r="X3" s="1891"/>
      <c r="Y3" s="1891"/>
      <c r="Z3" s="1891"/>
      <c r="AA3" s="1891"/>
      <c r="AB3" s="1891"/>
      <c r="AC3" s="1891"/>
      <c r="AD3" s="1891"/>
      <c r="AE3" s="1891"/>
      <c r="AF3" s="1891"/>
      <c r="AG3" s="1891"/>
      <c r="AH3" s="1891"/>
      <c r="AI3" s="1891"/>
      <c r="AJ3" s="1891"/>
      <c r="AK3" s="1891"/>
      <c r="AL3" s="1891"/>
      <c r="AM3" s="1891"/>
      <c r="AN3" s="1891"/>
      <c r="AO3" s="1891"/>
      <c r="AP3" s="1891"/>
      <c r="AQ3" s="1891"/>
      <c r="AR3" s="1891"/>
      <c r="AS3" s="1891"/>
      <c r="AT3" s="1891"/>
      <c r="AU3" s="1891"/>
      <c r="AV3" s="1891"/>
      <c r="AW3" s="1891"/>
      <c r="AX3" s="1891"/>
      <c r="AY3" s="1891"/>
      <c r="AZ3" s="1891"/>
      <c r="BA3" s="1891"/>
      <c r="BB3" s="1891"/>
      <c r="BC3" s="1891"/>
      <c r="BD3" s="1891"/>
      <c r="BE3" s="1891"/>
      <c r="BF3" s="1891"/>
      <c r="BG3" s="1891"/>
      <c r="BH3" s="1891"/>
      <c r="BI3" s="1891"/>
    </row>
    <row r="4" spans="1:61" s="1213" customFormat="1" ht="12.75" customHeight="1">
      <c r="A4" s="1889" t="s">
        <v>54</v>
      </c>
      <c r="B4" s="1889"/>
      <c r="C4" s="1889" t="s">
        <v>457</v>
      </c>
      <c r="D4" s="1889"/>
      <c r="E4" s="1889"/>
      <c r="F4" s="1889"/>
      <c r="G4" s="1889"/>
      <c r="H4" s="1889"/>
      <c r="I4" s="1889"/>
      <c r="J4" s="1889"/>
      <c r="K4" s="1889"/>
      <c r="L4" s="1889"/>
      <c r="M4" s="1889"/>
      <c r="N4" s="1889"/>
      <c r="O4" s="1889"/>
      <c r="P4" s="1889"/>
      <c r="Q4" s="1889"/>
      <c r="R4" s="1889"/>
      <c r="S4" s="1889"/>
      <c r="T4" s="1889"/>
      <c r="U4" s="1889"/>
      <c r="V4" s="1889"/>
      <c r="W4" s="1889"/>
      <c r="X4" s="1889"/>
      <c r="Y4" s="1889"/>
      <c r="Z4" s="1889"/>
      <c r="AA4" s="1889"/>
      <c r="AB4" s="1889"/>
      <c r="AC4" s="1889"/>
      <c r="AD4" s="1889"/>
      <c r="AE4" s="1889"/>
      <c r="AF4" s="1889" t="s">
        <v>812</v>
      </c>
      <c r="AG4" s="1889"/>
      <c r="AH4" s="1889"/>
      <c r="AI4" s="1889"/>
      <c r="AJ4" s="1889"/>
      <c r="AK4" s="1889"/>
      <c r="AL4" s="1889"/>
      <c r="AM4" s="1889"/>
      <c r="AN4" s="1889"/>
      <c r="AO4" s="1889"/>
      <c r="AP4" s="1892" t="s">
        <v>813</v>
      </c>
      <c r="AQ4" s="1892"/>
      <c r="AR4" s="1893"/>
      <c r="AS4" s="1893"/>
      <c r="AT4" s="1893"/>
      <c r="AU4" s="1892" t="s">
        <v>814</v>
      </c>
      <c r="AV4" s="1892"/>
      <c r="AW4" s="1892"/>
      <c r="AX4" s="1892"/>
      <c r="AY4" s="1892"/>
      <c r="AZ4" s="1889" t="s">
        <v>815</v>
      </c>
      <c r="BA4" s="1889"/>
      <c r="BB4" s="1889"/>
      <c r="BC4" s="1889"/>
      <c r="BD4" s="1889"/>
      <c r="BE4" s="1889"/>
      <c r="BF4" s="1889"/>
      <c r="BG4" s="1889"/>
      <c r="BH4" s="1889"/>
      <c r="BI4" s="1889"/>
    </row>
    <row r="5" spans="1:61" s="1213" customFormat="1" ht="25.5" customHeight="1">
      <c r="A5" s="1889"/>
      <c r="B5" s="1889"/>
      <c r="C5" s="1889"/>
      <c r="D5" s="1889"/>
      <c r="E5" s="1889"/>
      <c r="F5" s="1889"/>
      <c r="G5" s="1889"/>
      <c r="H5" s="1889"/>
      <c r="I5" s="1889"/>
      <c r="J5" s="1889"/>
      <c r="K5" s="1889"/>
      <c r="L5" s="1889"/>
      <c r="M5" s="1889"/>
      <c r="N5" s="1889"/>
      <c r="O5" s="1889"/>
      <c r="P5" s="1889"/>
      <c r="Q5" s="1889"/>
      <c r="R5" s="1889"/>
      <c r="S5" s="1889"/>
      <c r="T5" s="1889"/>
      <c r="U5" s="1889"/>
      <c r="V5" s="1889"/>
      <c r="W5" s="1889"/>
      <c r="X5" s="1889"/>
      <c r="Y5" s="1889"/>
      <c r="Z5" s="1889"/>
      <c r="AA5" s="1889"/>
      <c r="AB5" s="1889"/>
      <c r="AC5" s="1889"/>
      <c r="AD5" s="1889"/>
      <c r="AE5" s="1889"/>
      <c r="AF5" s="1889" t="s">
        <v>816</v>
      </c>
      <c r="AG5" s="1889"/>
      <c r="AH5" s="1889"/>
      <c r="AI5" s="1889"/>
      <c r="AJ5" s="1889"/>
      <c r="AK5" s="1889" t="s">
        <v>817</v>
      </c>
      <c r="AL5" s="1889"/>
      <c r="AM5" s="1889"/>
      <c r="AN5" s="1889"/>
      <c r="AO5" s="1889"/>
      <c r="AP5" s="1893"/>
      <c r="AQ5" s="1893"/>
      <c r="AR5" s="1893"/>
      <c r="AS5" s="1893"/>
      <c r="AT5" s="1893"/>
      <c r="AU5" s="1892"/>
      <c r="AV5" s="1892"/>
      <c r="AW5" s="1892"/>
      <c r="AX5" s="1892"/>
      <c r="AY5" s="1892"/>
      <c r="AZ5" s="1889" t="s">
        <v>816</v>
      </c>
      <c r="BA5" s="1889"/>
      <c r="BB5" s="1889"/>
      <c r="BC5" s="1889"/>
      <c r="BD5" s="1889"/>
      <c r="BE5" s="1889" t="s">
        <v>817</v>
      </c>
      <c r="BF5" s="1889"/>
      <c r="BG5" s="1889"/>
      <c r="BH5" s="1889"/>
      <c r="BI5" s="1889"/>
    </row>
    <row r="6" spans="1:61" ht="12.75" customHeight="1">
      <c r="A6" s="1894" t="s">
        <v>311</v>
      </c>
      <c r="B6" s="1894"/>
      <c r="C6" s="1851" t="s">
        <v>818</v>
      </c>
      <c r="D6" s="1851"/>
      <c r="E6" s="1851"/>
      <c r="F6" s="1851"/>
      <c r="G6" s="1851"/>
      <c r="H6" s="1851"/>
      <c r="I6" s="1851"/>
      <c r="J6" s="1851"/>
      <c r="K6" s="1851"/>
      <c r="L6" s="1851"/>
      <c r="M6" s="1851"/>
      <c r="N6" s="1851"/>
      <c r="O6" s="1851"/>
      <c r="P6" s="1851"/>
      <c r="Q6" s="1851"/>
      <c r="R6" s="1851"/>
      <c r="S6" s="1851"/>
      <c r="T6" s="1851"/>
      <c r="U6" s="1851"/>
      <c r="V6" s="1851"/>
      <c r="W6" s="1851"/>
      <c r="X6" s="1851"/>
      <c r="Y6" s="1851"/>
      <c r="Z6" s="1851"/>
      <c r="AA6" s="1851"/>
      <c r="AB6" s="1851"/>
      <c r="AC6" s="1851"/>
      <c r="AD6" s="1851"/>
      <c r="AE6" s="1851"/>
      <c r="AF6" s="1895">
        <f>290001+233631+2431577</f>
        <v>2955209</v>
      </c>
      <c r="AG6" s="1895"/>
      <c r="AH6" s="1895"/>
      <c r="AI6" s="1895"/>
      <c r="AJ6" s="1895"/>
      <c r="AK6" s="1895"/>
      <c r="AL6" s="1895"/>
      <c r="AM6" s="1895"/>
      <c r="AN6" s="1895"/>
      <c r="AO6" s="1895"/>
      <c r="AP6" s="1895"/>
      <c r="AQ6" s="1895"/>
      <c r="AR6" s="1895"/>
      <c r="AS6" s="1895"/>
      <c r="AT6" s="1895"/>
      <c r="AU6" s="1895"/>
      <c r="AV6" s="1895"/>
      <c r="AW6" s="1895"/>
      <c r="AX6" s="1895"/>
      <c r="AY6" s="1895"/>
      <c r="AZ6" s="1895">
        <v>2349404</v>
      </c>
      <c r="BA6" s="1895"/>
      <c r="BB6" s="1895"/>
      <c r="BC6" s="1895"/>
      <c r="BD6" s="1895"/>
      <c r="BE6" s="1895"/>
      <c r="BF6" s="1895"/>
      <c r="BG6" s="1895"/>
      <c r="BH6" s="1895"/>
      <c r="BI6" s="1895"/>
    </row>
    <row r="7" spans="1:61" ht="12.75" customHeight="1">
      <c r="A7" s="1896" t="s">
        <v>313</v>
      </c>
      <c r="B7" s="1897"/>
      <c r="C7" s="1851" t="s">
        <v>819</v>
      </c>
      <c r="D7" s="1851"/>
      <c r="E7" s="1851"/>
      <c r="F7" s="1851"/>
      <c r="G7" s="1851"/>
      <c r="H7" s="1851"/>
      <c r="I7" s="1851"/>
      <c r="J7" s="1851"/>
      <c r="K7" s="1851"/>
      <c r="L7" s="1851"/>
      <c r="M7" s="1851"/>
      <c r="N7" s="1851"/>
      <c r="O7" s="1851"/>
      <c r="P7" s="1851"/>
      <c r="Q7" s="1851"/>
      <c r="R7" s="1851"/>
      <c r="S7" s="1851"/>
      <c r="T7" s="1851"/>
      <c r="U7" s="1851"/>
      <c r="V7" s="1851"/>
      <c r="W7" s="1851"/>
      <c r="X7" s="1851"/>
      <c r="Y7" s="1851"/>
      <c r="Z7" s="1851"/>
      <c r="AA7" s="1851"/>
      <c r="AB7" s="1851"/>
      <c r="AC7" s="1851"/>
      <c r="AD7" s="1851"/>
      <c r="AE7" s="1851"/>
      <c r="AF7" s="1895">
        <v>38136237</v>
      </c>
      <c r="AG7" s="1895"/>
      <c r="AH7" s="1895"/>
      <c r="AI7" s="1895"/>
      <c r="AJ7" s="1895"/>
      <c r="AK7" s="1895"/>
      <c r="AL7" s="1895"/>
      <c r="AM7" s="1895"/>
      <c r="AN7" s="1895"/>
      <c r="AO7" s="1895"/>
      <c r="AP7" s="1895"/>
      <c r="AQ7" s="1895"/>
      <c r="AR7" s="1895"/>
      <c r="AS7" s="1895"/>
      <c r="AT7" s="1895"/>
      <c r="AU7" s="1895"/>
      <c r="AV7" s="1895"/>
      <c r="AW7" s="1895"/>
      <c r="AX7" s="1895"/>
      <c r="AY7" s="1895"/>
      <c r="AZ7" s="1895">
        <v>38025000</v>
      </c>
      <c r="BA7" s="1895"/>
      <c r="BB7" s="1895"/>
      <c r="BC7" s="1895"/>
      <c r="BD7" s="1895"/>
      <c r="BE7" s="1895"/>
      <c r="BF7" s="1895"/>
      <c r="BG7" s="1895"/>
      <c r="BH7" s="1895"/>
      <c r="BI7" s="1895"/>
    </row>
    <row r="8" spans="1:61" ht="12.75" customHeight="1">
      <c r="A8" s="1896" t="s">
        <v>317</v>
      </c>
      <c r="B8" s="1897"/>
      <c r="C8" s="1851" t="s">
        <v>820</v>
      </c>
      <c r="D8" s="1851"/>
      <c r="E8" s="1851"/>
      <c r="F8" s="1851"/>
      <c r="G8" s="1851"/>
      <c r="H8" s="1851"/>
      <c r="I8" s="1851"/>
      <c r="J8" s="1851"/>
      <c r="K8" s="1851"/>
      <c r="L8" s="1851"/>
      <c r="M8" s="1851"/>
      <c r="N8" s="1851"/>
      <c r="O8" s="1851"/>
      <c r="P8" s="1851"/>
      <c r="Q8" s="1851"/>
      <c r="R8" s="1851"/>
      <c r="S8" s="1851"/>
      <c r="T8" s="1851"/>
      <c r="U8" s="1851"/>
      <c r="V8" s="1851"/>
      <c r="W8" s="1851"/>
      <c r="X8" s="1851"/>
      <c r="Y8" s="1851"/>
      <c r="Z8" s="1851"/>
      <c r="AA8" s="1851"/>
      <c r="AB8" s="1851"/>
      <c r="AC8" s="1851"/>
      <c r="AD8" s="1851"/>
      <c r="AE8" s="1851"/>
      <c r="AF8" s="1895"/>
      <c r="AG8" s="1895"/>
      <c r="AH8" s="1895"/>
      <c r="AI8" s="1895"/>
      <c r="AJ8" s="1895"/>
      <c r="AK8" s="1895"/>
      <c r="AL8" s="1895"/>
      <c r="AM8" s="1895"/>
      <c r="AN8" s="1895"/>
      <c r="AO8" s="1895"/>
      <c r="AP8" s="1895"/>
      <c r="AQ8" s="1895"/>
      <c r="AR8" s="1895"/>
      <c r="AS8" s="1895"/>
      <c r="AT8" s="1895"/>
      <c r="AU8" s="1895"/>
      <c r="AV8" s="1895"/>
      <c r="AW8" s="1895"/>
      <c r="AX8" s="1895"/>
      <c r="AY8" s="1895"/>
      <c r="AZ8" s="1895"/>
      <c r="BA8" s="1895"/>
      <c r="BB8" s="1895"/>
      <c r="BC8" s="1895"/>
      <c r="BD8" s="1895"/>
      <c r="BE8" s="1895"/>
      <c r="BF8" s="1895"/>
      <c r="BG8" s="1895"/>
      <c r="BH8" s="1895"/>
      <c r="BI8" s="1895"/>
    </row>
    <row r="9" spans="1:61" ht="12.75" customHeight="1">
      <c r="A9" s="1896" t="s">
        <v>319</v>
      </c>
      <c r="B9" s="1897"/>
      <c r="C9" s="1851" t="s">
        <v>821</v>
      </c>
      <c r="D9" s="1851"/>
      <c r="E9" s="1851"/>
      <c r="F9" s="1851"/>
      <c r="G9" s="1851"/>
      <c r="H9" s="1851"/>
      <c r="I9" s="1851"/>
      <c r="J9" s="1851"/>
      <c r="K9" s="1851"/>
      <c r="L9" s="1851"/>
      <c r="M9" s="1851"/>
      <c r="N9" s="1851"/>
      <c r="O9" s="1851"/>
      <c r="P9" s="1851"/>
      <c r="Q9" s="1851"/>
      <c r="R9" s="1851"/>
      <c r="S9" s="1851"/>
      <c r="T9" s="1851"/>
      <c r="U9" s="1851"/>
      <c r="V9" s="1851"/>
      <c r="W9" s="1851"/>
      <c r="X9" s="1851"/>
      <c r="Y9" s="1851"/>
      <c r="Z9" s="1851"/>
      <c r="AA9" s="1851"/>
      <c r="AB9" s="1851"/>
      <c r="AC9" s="1851"/>
      <c r="AD9" s="1851"/>
      <c r="AE9" s="1851"/>
      <c r="AF9" s="1895">
        <f>724994+47000+460692+1971655+648042</f>
        <v>3852383</v>
      </c>
      <c r="AG9" s="1895"/>
      <c r="AH9" s="1895"/>
      <c r="AI9" s="1895"/>
      <c r="AJ9" s="1895"/>
      <c r="AK9" s="1895"/>
      <c r="AL9" s="1895"/>
      <c r="AM9" s="1895"/>
      <c r="AN9" s="1895"/>
      <c r="AO9" s="1895"/>
      <c r="AP9" s="1895"/>
      <c r="AQ9" s="1895"/>
      <c r="AR9" s="1895"/>
      <c r="AS9" s="1895"/>
      <c r="AT9" s="1895"/>
      <c r="AU9" s="1895"/>
      <c r="AV9" s="1895"/>
      <c r="AW9" s="1895"/>
      <c r="AX9" s="1895"/>
      <c r="AY9" s="1895"/>
      <c r="AZ9" s="1895">
        <f>546572+38219+132622+739848+392060</f>
        <v>1849321</v>
      </c>
      <c r="BA9" s="1895"/>
      <c r="BB9" s="1895"/>
      <c r="BC9" s="1895"/>
      <c r="BD9" s="1895"/>
      <c r="BE9" s="1895"/>
      <c r="BF9" s="1895"/>
      <c r="BG9" s="1895"/>
      <c r="BH9" s="1895"/>
      <c r="BI9" s="1895"/>
    </row>
    <row r="10" spans="1:61" ht="12.75" customHeight="1">
      <c r="A10" s="1896" t="s">
        <v>324</v>
      </c>
      <c r="B10" s="1897"/>
      <c r="C10" s="1851" t="s">
        <v>822</v>
      </c>
      <c r="D10" s="1851"/>
      <c r="E10" s="1851"/>
      <c r="F10" s="1851"/>
      <c r="G10" s="1851"/>
      <c r="H10" s="1851"/>
      <c r="I10" s="1851"/>
      <c r="J10" s="1851"/>
      <c r="K10" s="1851"/>
      <c r="L10" s="1851"/>
      <c r="M10" s="1851"/>
      <c r="N10" s="1851"/>
      <c r="O10" s="1851"/>
      <c r="P10" s="1851"/>
      <c r="Q10" s="1851"/>
      <c r="R10" s="1851"/>
      <c r="S10" s="1851"/>
      <c r="T10" s="1851"/>
      <c r="U10" s="1851"/>
      <c r="V10" s="1851"/>
      <c r="W10" s="1851"/>
      <c r="X10" s="1851"/>
      <c r="Y10" s="1851"/>
      <c r="Z10" s="1851"/>
      <c r="AA10" s="1851"/>
      <c r="AB10" s="1851"/>
      <c r="AC10" s="1851"/>
      <c r="AD10" s="1851"/>
      <c r="AE10" s="1851"/>
      <c r="AF10" s="1895"/>
      <c r="AG10" s="1895"/>
      <c r="AH10" s="1895"/>
      <c r="AI10" s="1895"/>
      <c r="AJ10" s="1895"/>
      <c r="AK10" s="1895"/>
      <c r="AL10" s="1895"/>
      <c r="AM10" s="1895"/>
      <c r="AN10" s="1895"/>
      <c r="AO10" s="1895"/>
      <c r="AP10" s="1895"/>
      <c r="AQ10" s="1895"/>
      <c r="AR10" s="1895"/>
      <c r="AS10" s="1895"/>
      <c r="AT10" s="1895"/>
      <c r="AU10" s="1895"/>
      <c r="AV10" s="1895"/>
      <c r="AW10" s="1895"/>
      <c r="AX10" s="1895"/>
      <c r="AY10" s="1895"/>
      <c r="AZ10" s="1895"/>
      <c r="BA10" s="1895"/>
      <c r="BB10" s="1895"/>
      <c r="BC10" s="1895"/>
      <c r="BD10" s="1895"/>
      <c r="BE10" s="1895"/>
      <c r="BF10" s="1895"/>
      <c r="BG10" s="1895"/>
      <c r="BH10" s="1895"/>
      <c r="BI10" s="1895"/>
    </row>
    <row r="11" spans="1:61" ht="12.75" customHeight="1">
      <c r="A11" s="1896" t="s">
        <v>326</v>
      </c>
      <c r="B11" s="1897"/>
      <c r="C11" s="1851" t="s">
        <v>823</v>
      </c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1"/>
      <c r="AC11" s="1851"/>
      <c r="AD11" s="1851"/>
      <c r="AE11" s="1851"/>
      <c r="AF11" s="1895">
        <f>9107675+2779840+1978051+11269018+18090210+271093400</f>
        <v>314318194</v>
      </c>
      <c r="AG11" s="1895"/>
      <c r="AH11" s="1895"/>
      <c r="AI11" s="1895"/>
      <c r="AJ11" s="1895"/>
      <c r="AK11" s="1895"/>
      <c r="AL11" s="1895"/>
      <c r="AM11" s="1895"/>
      <c r="AN11" s="1895"/>
      <c r="AO11" s="1895"/>
      <c r="AP11" s="1895"/>
      <c r="AQ11" s="1895"/>
      <c r="AR11" s="1895"/>
      <c r="AS11" s="1895"/>
      <c r="AT11" s="1895"/>
      <c r="AU11" s="1895"/>
      <c r="AV11" s="1895"/>
      <c r="AW11" s="1895"/>
      <c r="AX11" s="1895"/>
      <c r="AY11" s="1895"/>
      <c r="AZ11" s="1895">
        <f>1175504+1984871+1650600+44748973+24334521+892755519</f>
        <v>966649988</v>
      </c>
      <c r="BA11" s="1895"/>
      <c r="BB11" s="1895"/>
      <c r="BC11" s="1895"/>
      <c r="BD11" s="1895"/>
      <c r="BE11" s="1895"/>
      <c r="BF11" s="1895"/>
      <c r="BG11" s="1895"/>
      <c r="BH11" s="1895"/>
      <c r="BI11" s="1895"/>
    </row>
    <row r="12" spans="1:61" ht="12.75" customHeight="1">
      <c r="A12" s="1896" t="s">
        <v>330</v>
      </c>
      <c r="B12" s="1897"/>
      <c r="C12" s="1851" t="s">
        <v>824</v>
      </c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95"/>
      <c r="AG12" s="1895"/>
      <c r="AH12" s="1895"/>
      <c r="AI12" s="1895"/>
      <c r="AJ12" s="1895"/>
      <c r="AK12" s="1895"/>
      <c r="AL12" s="1895"/>
      <c r="AM12" s="1895"/>
      <c r="AN12" s="1895"/>
      <c r="AO12" s="1895"/>
      <c r="AP12" s="1895"/>
      <c r="AQ12" s="1895"/>
      <c r="AR12" s="1895"/>
      <c r="AS12" s="1895"/>
      <c r="AT12" s="1895"/>
      <c r="AU12" s="1895"/>
      <c r="AV12" s="1895"/>
      <c r="AW12" s="1895"/>
      <c r="AX12" s="1895"/>
      <c r="AY12" s="1895"/>
      <c r="AZ12" s="1895"/>
      <c r="BA12" s="1895"/>
      <c r="BB12" s="1895"/>
      <c r="BC12" s="1895"/>
      <c r="BD12" s="1895"/>
      <c r="BE12" s="1895"/>
      <c r="BF12" s="1895"/>
      <c r="BG12" s="1895"/>
      <c r="BH12" s="1895"/>
      <c r="BI12" s="1895"/>
    </row>
    <row r="13" spans="1:61" ht="12.75" customHeight="1">
      <c r="A13" s="1896" t="s">
        <v>332</v>
      </c>
      <c r="B13" s="1897"/>
      <c r="C13" s="1851" t="s">
        <v>825</v>
      </c>
      <c r="D13" s="1851"/>
      <c r="E13" s="1851"/>
      <c r="F13" s="1851"/>
      <c r="G13" s="1851"/>
      <c r="H13" s="1851"/>
      <c r="I13" s="1851"/>
      <c r="J13" s="1851"/>
      <c r="K13" s="1851"/>
      <c r="L13" s="1851"/>
      <c r="M13" s="1851"/>
      <c r="N13" s="1851"/>
      <c r="O13" s="1851"/>
      <c r="P13" s="1851"/>
      <c r="Q13" s="1851"/>
      <c r="R13" s="1851"/>
      <c r="S13" s="1851"/>
      <c r="T13" s="1851"/>
      <c r="U13" s="1851"/>
      <c r="V13" s="1851"/>
      <c r="W13" s="1851"/>
      <c r="X13" s="1851"/>
      <c r="Y13" s="1851"/>
      <c r="Z13" s="1851"/>
      <c r="AA13" s="1851"/>
      <c r="AB13" s="1851"/>
      <c r="AC13" s="1851"/>
      <c r="AD13" s="1851"/>
      <c r="AE13" s="1851"/>
      <c r="AF13" s="1895">
        <f>44588+511640+1366494+109845231</f>
        <v>111767953</v>
      </c>
      <c r="AG13" s="1895"/>
      <c r="AH13" s="1895"/>
      <c r="AI13" s="1895"/>
      <c r="AJ13" s="1895"/>
      <c r="AK13" s="1895"/>
      <c r="AL13" s="1895"/>
      <c r="AM13" s="1895"/>
      <c r="AN13" s="1895"/>
      <c r="AO13" s="1895"/>
      <c r="AP13" s="1895">
        <f>107825958+8343073</f>
        <v>116169031</v>
      </c>
      <c r="AQ13" s="1895"/>
      <c r="AR13" s="1895"/>
      <c r="AS13" s="1895"/>
      <c r="AT13" s="1895"/>
      <c r="AU13" s="1895">
        <f>7279913+931028</f>
        <v>8210941</v>
      </c>
      <c r="AV13" s="1895"/>
      <c r="AW13" s="1895"/>
      <c r="AX13" s="1895"/>
      <c r="AY13" s="1895"/>
      <c r="AZ13" s="1895">
        <f>30920+336491+2010788+216743449</f>
        <v>219121648</v>
      </c>
      <c r="BA13" s="1895"/>
      <c r="BB13" s="1895"/>
      <c r="BC13" s="1895"/>
      <c r="BD13" s="1895"/>
      <c r="BE13" s="1895">
        <f>1063160+106894930</f>
        <v>107958090</v>
      </c>
      <c r="BF13" s="1895"/>
      <c r="BG13" s="1895"/>
      <c r="BH13" s="1895"/>
      <c r="BI13" s="1895"/>
    </row>
    <row r="14" spans="1:61" ht="12.75" customHeight="1">
      <c r="A14" s="1896" t="s">
        <v>468</v>
      </c>
      <c r="B14" s="1897"/>
      <c r="C14" s="1851" t="s">
        <v>826</v>
      </c>
      <c r="D14" s="1851"/>
      <c r="E14" s="1851"/>
      <c r="F14" s="1851"/>
      <c r="G14" s="1851"/>
      <c r="H14" s="1851"/>
      <c r="I14" s="1851"/>
      <c r="J14" s="1851"/>
      <c r="K14" s="1851"/>
      <c r="L14" s="1851"/>
      <c r="M14" s="1851"/>
      <c r="N14" s="1851"/>
      <c r="O14" s="1851"/>
      <c r="P14" s="1851"/>
      <c r="Q14" s="1851"/>
      <c r="R14" s="1851"/>
      <c r="S14" s="1851"/>
      <c r="T14" s="1851"/>
      <c r="U14" s="1851"/>
      <c r="V14" s="1851"/>
      <c r="W14" s="1851"/>
      <c r="X14" s="1851"/>
      <c r="Y14" s="1851"/>
      <c r="Z14" s="1851"/>
      <c r="AA14" s="1851"/>
      <c r="AB14" s="1851"/>
      <c r="AC14" s="1851"/>
      <c r="AD14" s="1851"/>
      <c r="AE14" s="1851"/>
      <c r="AF14" s="1895"/>
      <c r="AG14" s="1895"/>
      <c r="AH14" s="1895"/>
      <c r="AI14" s="1895"/>
      <c r="AJ14" s="1895"/>
      <c r="AK14" s="1895"/>
      <c r="AL14" s="1895"/>
      <c r="AM14" s="1895"/>
      <c r="AN14" s="1895"/>
      <c r="AO14" s="1895"/>
      <c r="AP14" s="1895"/>
      <c r="AQ14" s="1895"/>
      <c r="AR14" s="1895"/>
      <c r="AS14" s="1895"/>
      <c r="AT14" s="1895"/>
      <c r="AU14" s="1895"/>
      <c r="AV14" s="1895"/>
      <c r="AW14" s="1895"/>
      <c r="AX14" s="1895"/>
      <c r="AY14" s="1895"/>
      <c r="AZ14" s="1895"/>
      <c r="BA14" s="1895"/>
      <c r="BB14" s="1895"/>
      <c r="BC14" s="1895"/>
      <c r="BD14" s="1895"/>
      <c r="BE14" s="1895"/>
      <c r="BF14" s="1895"/>
      <c r="BG14" s="1895"/>
      <c r="BH14" s="1895"/>
      <c r="BI14" s="1895"/>
    </row>
    <row r="15" spans="1:61" ht="12.75" customHeight="1">
      <c r="A15" s="1896" t="s">
        <v>470</v>
      </c>
      <c r="B15" s="1897"/>
      <c r="C15" s="1851" t="s">
        <v>827</v>
      </c>
      <c r="D15" s="1851"/>
      <c r="E15" s="1851"/>
      <c r="F15" s="1851"/>
      <c r="G15" s="1851"/>
      <c r="H15" s="1851"/>
      <c r="I15" s="1851"/>
      <c r="J15" s="1851"/>
      <c r="K15" s="1851"/>
      <c r="L15" s="1851"/>
      <c r="M15" s="1851"/>
      <c r="N15" s="1851"/>
      <c r="O15" s="1851"/>
      <c r="P15" s="1851"/>
      <c r="Q15" s="1851"/>
      <c r="R15" s="1851"/>
      <c r="S15" s="1851"/>
      <c r="T15" s="1851"/>
      <c r="U15" s="1851"/>
      <c r="V15" s="1851"/>
      <c r="W15" s="1851"/>
      <c r="X15" s="1851"/>
      <c r="Y15" s="1851"/>
      <c r="Z15" s="1851"/>
      <c r="AA15" s="1851"/>
      <c r="AB15" s="1851"/>
      <c r="AC15" s="1851"/>
      <c r="AD15" s="1851"/>
      <c r="AE15" s="1851"/>
      <c r="AF15" s="1895">
        <v>1224700000</v>
      </c>
      <c r="AG15" s="1895"/>
      <c r="AH15" s="1895"/>
      <c r="AI15" s="1895"/>
      <c r="AJ15" s="1895"/>
      <c r="AK15" s="1895"/>
      <c r="AL15" s="1895"/>
      <c r="AM15" s="1895"/>
      <c r="AN15" s="1895"/>
      <c r="AO15" s="1895"/>
      <c r="AP15" s="1895"/>
      <c r="AQ15" s="1895"/>
      <c r="AR15" s="1895"/>
      <c r="AS15" s="1895"/>
      <c r="AT15" s="1895"/>
      <c r="AU15" s="1895"/>
      <c r="AV15" s="1895"/>
      <c r="AW15" s="1895"/>
      <c r="AX15" s="1895"/>
      <c r="AY15" s="1895"/>
      <c r="AZ15" s="1895">
        <v>1480880000</v>
      </c>
      <c r="BA15" s="1895"/>
      <c r="BB15" s="1895"/>
      <c r="BC15" s="1895"/>
      <c r="BD15" s="1895"/>
      <c r="BE15" s="1895"/>
      <c r="BF15" s="1895"/>
      <c r="BG15" s="1895"/>
      <c r="BH15" s="1895"/>
      <c r="BI15" s="1895"/>
    </row>
    <row r="16" spans="1:61" s="1227" customFormat="1" ht="12.75" customHeight="1">
      <c r="A16" s="1901" t="s">
        <v>472</v>
      </c>
      <c r="B16" s="1902"/>
      <c r="C16" s="1873" t="s">
        <v>828</v>
      </c>
      <c r="D16" s="1873"/>
      <c r="E16" s="1873"/>
      <c r="F16" s="1873"/>
      <c r="G16" s="1873"/>
      <c r="H16" s="1873"/>
      <c r="I16" s="1873"/>
      <c r="J16" s="1873"/>
      <c r="K16" s="1873"/>
      <c r="L16" s="1873"/>
      <c r="M16" s="1873"/>
      <c r="N16" s="1873"/>
      <c r="O16" s="1873"/>
      <c r="P16" s="1873"/>
      <c r="Q16" s="1873"/>
      <c r="R16" s="1873"/>
      <c r="S16" s="1873"/>
      <c r="T16" s="1873"/>
      <c r="U16" s="1873"/>
      <c r="V16" s="1873"/>
      <c r="W16" s="1873"/>
      <c r="X16" s="1873"/>
      <c r="Y16" s="1873"/>
      <c r="Z16" s="1873"/>
      <c r="AA16" s="1873"/>
      <c r="AB16" s="1873"/>
      <c r="AC16" s="1873"/>
      <c r="AD16" s="1873"/>
      <c r="AE16" s="1873"/>
      <c r="AF16" s="1898">
        <f>SUM(AF6:AJ15)</f>
        <v>1695729976</v>
      </c>
      <c r="AG16" s="1899"/>
      <c r="AH16" s="1899"/>
      <c r="AI16" s="1899"/>
      <c r="AJ16" s="1900"/>
      <c r="AK16" s="1898">
        <f>SUM(AK6:AO15)</f>
        <v>0</v>
      </c>
      <c r="AL16" s="1899"/>
      <c r="AM16" s="1899"/>
      <c r="AN16" s="1899"/>
      <c r="AO16" s="1900"/>
      <c r="AP16" s="1898">
        <f>SUM(AP6:AT15)</f>
        <v>116169031</v>
      </c>
      <c r="AQ16" s="1899"/>
      <c r="AR16" s="1899"/>
      <c r="AS16" s="1899"/>
      <c r="AT16" s="1900"/>
      <c r="AU16" s="1898">
        <f>SUM(AU6:AY15)</f>
        <v>8210941</v>
      </c>
      <c r="AV16" s="1899"/>
      <c r="AW16" s="1899"/>
      <c r="AX16" s="1899"/>
      <c r="AY16" s="1900"/>
      <c r="AZ16" s="1898">
        <f>SUM(AZ6:BD15)</f>
        <v>2708875361</v>
      </c>
      <c r="BA16" s="1899"/>
      <c r="BB16" s="1899"/>
      <c r="BC16" s="1899"/>
      <c r="BD16" s="1900"/>
      <c r="BE16" s="1898">
        <f>SUM(BE6:BI15)</f>
        <v>107958090</v>
      </c>
      <c r="BF16" s="1899"/>
      <c r="BG16" s="1899"/>
      <c r="BH16" s="1899"/>
      <c r="BI16" s="1900"/>
    </row>
  </sheetData>
  <sheetProtection/>
  <mergeCells count="100">
    <mergeCell ref="AZ15:BD15"/>
    <mergeCell ref="BE15:BI15"/>
    <mergeCell ref="AZ16:BD16"/>
    <mergeCell ref="BE16:BI16"/>
    <mergeCell ref="A16:B16"/>
    <mergeCell ref="C16:AE16"/>
    <mergeCell ref="AF16:AJ16"/>
    <mergeCell ref="AK16:AO16"/>
    <mergeCell ref="AP16:AT16"/>
    <mergeCell ref="AU16:AY16"/>
    <mergeCell ref="A15:B15"/>
    <mergeCell ref="C15:AE15"/>
    <mergeCell ref="AF15:AJ15"/>
    <mergeCell ref="AK15:AO15"/>
    <mergeCell ref="AP15:AT15"/>
    <mergeCell ref="AU15:AY15"/>
    <mergeCell ref="AZ13:BD13"/>
    <mergeCell ref="BE13:BI13"/>
    <mergeCell ref="A14:B14"/>
    <mergeCell ref="C14:AE14"/>
    <mergeCell ref="AF14:AJ14"/>
    <mergeCell ref="AK14:AO14"/>
    <mergeCell ref="AP14:AT14"/>
    <mergeCell ref="AU14:AY14"/>
    <mergeCell ref="AZ14:BD14"/>
    <mergeCell ref="BE14:BI14"/>
    <mergeCell ref="A13:B13"/>
    <mergeCell ref="C13:AE13"/>
    <mergeCell ref="AF13:AJ13"/>
    <mergeCell ref="AK13:AO13"/>
    <mergeCell ref="AP13:AT13"/>
    <mergeCell ref="AU13:AY13"/>
    <mergeCell ref="AZ11:BD11"/>
    <mergeCell ref="BE11:BI11"/>
    <mergeCell ref="A12:B12"/>
    <mergeCell ref="C12:AE12"/>
    <mergeCell ref="AF12:AJ12"/>
    <mergeCell ref="AK12:AO12"/>
    <mergeCell ref="AP12:AT12"/>
    <mergeCell ref="AU12:AY12"/>
    <mergeCell ref="AZ12:BD12"/>
    <mergeCell ref="BE12:BI12"/>
    <mergeCell ref="A11:B11"/>
    <mergeCell ref="C11:AE11"/>
    <mergeCell ref="AF11:AJ11"/>
    <mergeCell ref="AK11:AO11"/>
    <mergeCell ref="AP11:AT11"/>
    <mergeCell ref="AU11:AY11"/>
    <mergeCell ref="AZ9:BD9"/>
    <mergeCell ref="BE9:BI9"/>
    <mergeCell ref="A10:B10"/>
    <mergeCell ref="C10:AE10"/>
    <mergeCell ref="AF10:AJ10"/>
    <mergeCell ref="AK10:AO10"/>
    <mergeCell ref="AP10:AT10"/>
    <mergeCell ref="AU10:AY10"/>
    <mergeCell ref="AZ10:BD10"/>
    <mergeCell ref="BE10:BI10"/>
    <mergeCell ref="A9:B9"/>
    <mergeCell ref="C9:AE9"/>
    <mergeCell ref="AF9:AJ9"/>
    <mergeCell ref="AK9:AO9"/>
    <mergeCell ref="AP9:AT9"/>
    <mergeCell ref="AU9:AY9"/>
    <mergeCell ref="AZ7:BD7"/>
    <mergeCell ref="BE7:BI7"/>
    <mergeCell ref="A8:B8"/>
    <mergeCell ref="C8:AE8"/>
    <mergeCell ref="AF8:AJ8"/>
    <mergeCell ref="AK8:AO8"/>
    <mergeCell ref="AP8:AT8"/>
    <mergeCell ref="AU8:AY8"/>
    <mergeCell ref="AZ8:BD8"/>
    <mergeCell ref="BE8:BI8"/>
    <mergeCell ref="A7:B7"/>
    <mergeCell ref="C7:AE7"/>
    <mergeCell ref="AF7:AJ7"/>
    <mergeCell ref="AK7:AO7"/>
    <mergeCell ref="AP7:AT7"/>
    <mergeCell ref="AU7:AY7"/>
    <mergeCell ref="AU4:AY5"/>
    <mergeCell ref="AZ4:BI4"/>
    <mergeCell ref="A6:B6"/>
    <mergeCell ref="C6:AE6"/>
    <mergeCell ref="AF6:AJ6"/>
    <mergeCell ref="AK6:AO6"/>
    <mergeCell ref="AP6:AT6"/>
    <mergeCell ref="AU6:AY6"/>
    <mergeCell ref="AZ6:BD6"/>
    <mergeCell ref="BE6:BI6"/>
    <mergeCell ref="AF5:AJ5"/>
    <mergeCell ref="AK5:AO5"/>
    <mergeCell ref="AZ5:BD5"/>
    <mergeCell ref="BE5:BI5"/>
    <mergeCell ref="A2:BI2"/>
    <mergeCell ref="A3:BI3"/>
    <mergeCell ref="A4:B5"/>
    <mergeCell ref="C4:AE5"/>
    <mergeCell ref="AF4:AO4"/>
    <mergeCell ref="AP4:AT5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38"/>
  <sheetViews>
    <sheetView view="pageBreakPreview" zoomScaleSheetLayoutView="100" workbookViewId="0" topLeftCell="A1">
      <selection activeCell="K145" sqref="K145"/>
    </sheetView>
  </sheetViews>
  <sheetFormatPr defaultColWidth="9.00390625" defaultRowHeight="12.75"/>
  <cols>
    <col min="1" max="1" width="4.125" style="621" customWidth="1"/>
    <col min="2" max="2" width="56.25390625" style="41" customWidth="1"/>
    <col min="3" max="3" width="11.375" style="636" customWidth="1"/>
    <col min="4" max="4" width="11.625" style="636" customWidth="1"/>
    <col min="5" max="5" width="12.25390625" style="637" customWidth="1"/>
    <col min="6" max="6" width="9.125" style="1" customWidth="1"/>
    <col min="7" max="7" width="15.625" style="1" customWidth="1"/>
    <col min="8" max="16384" width="9.125" style="1" customWidth="1"/>
  </cols>
  <sheetData>
    <row r="1" spans="3:5" ht="15" customHeight="1">
      <c r="C1" s="1959" t="s">
        <v>1093</v>
      </c>
      <c r="D1" s="1951"/>
      <c r="E1" s="1951"/>
    </row>
    <row r="2" ht="18" customHeight="1"/>
    <row r="3" spans="3:5" ht="13.5" thickBot="1">
      <c r="C3" s="622"/>
      <c r="D3" s="622"/>
      <c r="E3" s="731" t="s">
        <v>876</v>
      </c>
    </row>
    <row r="4" spans="1:5" ht="4.5" customHeight="1">
      <c r="A4" s="42"/>
      <c r="B4" s="43"/>
      <c r="C4" s="44"/>
      <c r="D4" s="44"/>
      <c r="E4" s="45"/>
    </row>
    <row r="5" spans="1:5" s="2" customFormat="1" ht="12.75">
      <c r="A5" s="1443" t="s">
        <v>14</v>
      </c>
      <c r="B5" s="1444"/>
      <c r="C5" s="47" t="s">
        <v>15</v>
      </c>
      <c r="D5" s="47" t="s">
        <v>16</v>
      </c>
      <c r="E5" s="1445" t="s">
        <v>17</v>
      </c>
    </row>
    <row r="6" spans="1:5" s="2" customFormat="1" ht="12.75">
      <c r="A6" s="1443"/>
      <c r="B6" s="1444"/>
      <c r="C6" s="47" t="s">
        <v>18</v>
      </c>
      <c r="D6" s="47" t="s">
        <v>18</v>
      </c>
      <c r="E6" s="1445"/>
    </row>
    <row r="7" spans="1:5" ht="4.5" customHeight="1" thickBot="1">
      <c r="A7" s="48"/>
      <c r="B7" s="49"/>
      <c r="C7" s="50"/>
      <c r="D7" s="50"/>
      <c r="E7" s="51"/>
    </row>
    <row r="8" spans="1:5" ht="13.5" customHeight="1" thickBot="1">
      <c r="A8" s="1446" t="s">
        <v>19</v>
      </c>
      <c r="B8" s="1447"/>
      <c r="C8" s="1447"/>
      <c r="D8" s="1447"/>
      <c r="E8" s="1448"/>
    </row>
    <row r="9" spans="1:5" s="3" customFormat="1" ht="15" customHeight="1">
      <c r="A9" s="46" t="s">
        <v>20</v>
      </c>
      <c r="B9" s="52" t="s">
        <v>123</v>
      </c>
      <c r="C9" s="623"/>
      <c r="D9" s="623"/>
      <c r="E9" s="624"/>
    </row>
    <row r="10" spans="1:5" s="3" customFormat="1" ht="15" customHeight="1">
      <c r="A10" s="46"/>
      <c r="B10" s="53" t="s">
        <v>144</v>
      </c>
      <c r="C10" s="54">
        <f>'3.bev '!F10+'3.bev '!F22</f>
        <v>113284000</v>
      </c>
      <c r="D10" s="54">
        <f>'3.bev '!G10+'3.bev '!G22</f>
        <v>800000</v>
      </c>
      <c r="E10" s="55">
        <f>C10+D10</f>
        <v>114084000</v>
      </c>
    </row>
    <row r="11" spans="1:5" s="3" customFormat="1" ht="15" customHeight="1">
      <c r="A11" s="46"/>
      <c r="B11" s="53" t="s">
        <v>145</v>
      </c>
      <c r="C11" s="54">
        <f>'3.bev '!F11+'3.bev '!F23</f>
        <v>160873768</v>
      </c>
      <c r="D11" s="54">
        <f>'3.bev '!G31+'3.bev '!G27</f>
        <v>4386240</v>
      </c>
      <c r="E11" s="55">
        <f aca="true" t="shared" si="0" ref="E11:E45">C11+D11</f>
        <v>165260008</v>
      </c>
    </row>
    <row r="12" spans="1:5" s="3" customFormat="1" ht="15" customHeight="1">
      <c r="A12" s="46"/>
      <c r="B12" s="210" t="s">
        <v>146</v>
      </c>
      <c r="C12" s="54">
        <f>'3.bev '!F12+'3.bev '!F24</f>
        <v>161219222</v>
      </c>
      <c r="D12" s="54">
        <f>'3.bev '!G12+'3.bev '!G24</f>
        <v>4386240</v>
      </c>
      <c r="E12" s="55">
        <f t="shared" si="0"/>
        <v>165605462</v>
      </c>
    </row>
    <row r="13" spans="1:5" s="3" customFormat="1" ht="12.75" customHeight="1">
      <c r="A13" s="46"/>
      <c r="B13" s="56" t="s">
        <v>105</v>
      </c>
      <c r="C13" s="57"/>
      <c r="D13" s="57"/>
      <c r="E13" s="55"/>
    </row>
    <row r="14" spans="1:5" s="3" customFormat="1" ht="12.75" customHeight="1">
      <c r="A14" s="46"/>
      <c r="B14" s="53" t="s">
        <v>144</v>
      </c>
      <c r="C14" s="57">
        <f>'4.int.bev '!G10</f>
        <v>40771000</v>
      </c>
      <c r="D14" s="57"/>
      <c r="E14" s="55">
        <f t="shared" si="0"/>
        <v>40771000</v>
      </c>
    </row>
    <row r="15" spans="1:5" s="3" customFormat="1" ht="12.75" customHeight="1">
      <c r="A15" s="46"/>
      <c r="B15" s="53" t="s">
        <v>145</v>
      </c>
      <c r="C15" s="57">
        <f>'4.int.bev '!G11</f>
        <v>44066500</v>
      </c>
      <c r="D15" s="57"/>
      <c r="E15" s="55">
        <f t="shared" si="0"/>
        <v>44066500</v>
      </c>
    </row>
    <row r="16" spans="1:5" s="3" customFormat="1" ht="12.75" customHeight="1">
      <c r="A16" s="46"/>
      <c r="B16" s="210" t="s">
        <v>146</v>
      </c>
      <c r="C16" s="57">
        <f>'4.int.bev '!G12</f>
        <v>44072600</v>
      </c>
      <c r="D16" s="57"/>
      <c r="E16" s="55">
        <f t="shared" si="0"/>
        <v>44072600</v>
      </c>
    </row>
    <row r="17" spans="1:5" s="3" customFormat="1" ht="16.5" customHeight="1">
      <c r="A17" s="46" t="s">
        <v>21</v>
      </c>
      <c r="B17" s="59" t="s">
        <v>122</v>
      </c>
      <c r="C17" s="457"/>
      <c r="D17" s="457"/>
      <c r="E17" s="55"/>
    </row>
    <row r="18" spans="1:5" s="4" customFormat="1" ht="12" customHeight="1">
      <c r="A18" s="60" t="s">
        <v>3</v>
      </c>
      <c r="B18" s="61" t="s">
        <v>287</v>
      </c>
      <c r="C18" s="62"/>
      <c r="D18" s="625"/>
      <c r="E18" s="55"/>
    </row>
    <row r="19" spans="1:5" s="4" customFormat="1" ht="12" customHeight="1">
      <c r="A19" s="60"/>
      <c r="B19" s="53" t="s">
        <v>144</v>
      </c>
      <c r="C19" s="62">
        <f>'3.bev '!F49</f>
        <v>686041694</v>
      </c>
      <c r="D19" s="625"/>
      <c r="E19" s="55">
        <f t="shared" si="0"/>
        <v>686041694</v>
      </c>
    </row>
    <row r="20" spans="1:5" s="4" customFormat="1" ht="12" customHeight="1">
      <c r="A20" s="60"/>
      <c r="B20" s="53" t="s">
        <v>145</v>
      </c>
      <c r="C20" s="62">
        <f>'3.bev '!F50</f>
        <v>716553291</v>
      </c>
      <c r="D20" s="625"/>
      <c r="E20" s="55">
        <f t="shared" si="0"/>
        <v>716553291</v>
      </c>
    </row>
    <row r="21" spans="1:5" s="4" customFormat="1" ht="12" customHeight="1">
      <c r="A21" s="60"/>
      <c r="B21" s="210" t="s">
        <v>146</v>
      </c>
      <c r="C21" s="62">
        <f>'3.bev '!F51+'3.bev '!F77</f>
        <v>731900433</v>
      </c>
      <c r="D21" s="625"/>
      <c r="E21" s="55">
        <f t="shared" si="0"/>
        <v>731900433</v>
      </c>
    </row>
    <row r="22" spans="1:6" s="4" customFormat="1" ht="12" customHeight="1">
      <c r="A22" s="60" t="s">
        <v>4</v>
      </c>
      <c r="B22" s="718" t="s">
        <v>288</v>
      </c>
      <c r="C22" s="625"/>
      <c r="D22" s="62"/>
      <c r="E22" s="55"/>
      <c r="F22" s="492"/>
    </row>
    <row r="23" spans="1:6" s="4" customFormat="1" ht="12" customHeight="1">
      <c r="A23" s="60"/>
      <c r="B23" s="53" t="s">
        <v>144</v>
      </c>
      <c r="C23" s="625"/>
      <c r="D23" s="62">
        <f>'3.bev '!G156</f>
        <v>0</v>
      </c>
      <c r="E23" s="55">
        <f t="shared" si="0"/>
        <v>0</v>
      </c>
      <c r="F23" s="492"/>
    </row>
    <row r="24" spans="1:6" s="4" customFormat="1" ht="12" customHeight="1">
      <c r="A24" s="60"/>
      <c r="B24" s="53" t="s">
        <v>145</v>
      </c>
      <c r="C24" s="625"/>
      <c r="D24" s="62">
        <f>'3.bev '!G157</f>
        <v>1737235208</v>
      </c>
      <c r="E24" s="55">
        <f t="shared" si="0"/>
        <v>1737235208</v>
      </c>
      <c r="F24" s="492"/>
    </row>
    <row r="25" spans="1:6" s="4" customFormat="1" ht="12" customHeight="1">
      <c r="A25" s="60"/>
      <c r="B25" s="210" t="s">
        <v>146</v>
      </c>
      <c r="C25" s="625"/>
      <c r="D25" s="62">
        <f>'3.bev '!G158</f>
        <v>790914999</v>
      </c>
      <c r="E25" s="55">
        <f t="shared" si="0"/>
        <v>790914999</v>
      </c>
      <c r="F25" s="492"/>
    </row>
    <row r="26" spans="1:5" s="4" customFormat="1" ht="12" customHeight="1">
      <c r="A26" s="60" t="s">
        <v>5</v>
      </c>
      <c r="B26" s="63" t="s">
        <v>102</v>
      </c>
      <c r="C26" s="62"/>
      <c r="D26" s="62"/>
      <c r="E26" s="55"/>
    </row>
    <row r="27" spans="1:5" s="4" customFormat="1" ht="12" customHeight="1">
      <c r="A27" s="60"/>
      <c r="B27" s="53" t="s">
        <v>144</v>
      </c>
      <c r="C27" s="62">
        <f>'3.bev '!F224</f>
        <v>636600000</v>
      </c>
      <c r="D27" s="62"/>
      <c r="E27" s="55">
        <f t="shared" si="0"/>
        <v>636600000</v>
      </c>
    </row>
    <row r="28" spans="1:5" s="4" customFormat="1" ht="12" customHeight="1">
      <c r="A28" s="60"/>
      <c r="B28" s="53" t="s">
        <v>145</v>
      </c>
      <c r="C28" s="62">
        <f>'3.bev '!F225</f>
        <v>636600000</v>
      </c>
      <c r="D28" s="62"/>
      <c r="E28" s="55">
        <f t="shared" si="0"/>
        <v>636600000</v>
      </c>
    </row>
    <row r="29" spans="1:5" s="4" customFormat="1" ht="12" customHeight="1">
      <c r="A29" s="60"/>
      <c r="B29" s="210" t="s">
        <v>146</v>
      </c>
      <c r="C29" s="62">
        <f>'3.bev '!F226</f>
        <v>926338186</v>
      </c>
      <c r="D29" s="62"/>
      <c r="E29" s="55">
        <f t="shared" si="0"/>
        <v>926338186</v>
      </c>
    </row>
    <row r="30" spans="1:5" s="4" customFormat="1" ht="12" customHeight="1">
      <c r="A30" s="60" t="s">
        <v>6</v>
      </c>
      <c r="B30" s="63" t="s">
        <v>289</v>
      </c>
      <c r="C30" s="64"/>
      <c r="D30" s="626"/>
      <c r="E30" s="55"/>
    </row>
    <row r="31" spans="1:5" s="4" customFormat="1" ht="12" customHeight="1">
      <c r="A31" s="60"/>
      <c r="B31" s="53" t="s">
        <v>144</v>
      </c>
      <c r="C31" s="64">
        <f>'3.bev '!F280</f>
        <v>91210000</v>
      </c>
      <c r="D31" s="626"/>
      <c r="E31" s="55">
        <f t="shared" si="0"/>
        <v>91210000</v>
      </c>
    </row>
    <row r="32" spans="1:5" s="4" customFormat="1" ht="12" customHeight="1">
      <c r="A32" s="60"/>
      <c r="B32" s="53" t="s">
        <v>145</v>
      </c>
      <c r="C32" s="64">
        <f>'3.bev '!F281</f>
        <v>105080264</v>
      </c>
      <c r="D32" s="626"/>
      <c r="E32" s="55">
        <f t="shared" si="0"/>
        <v>105080264</v>
      </c>
    </row>
    <row r="33" spans="1:5" s="4" customFormat="1" ht="12" customHeight="1">
      <c r="A33" s="60"/>
      <c r="B33" s="210" t="s">
        <v>146</v>
      </c>
      <c r="C33" s="64">
        <f>'3.bev '!F282</f>
        <v>123176220</v>
      </c>
      <c r="D33" s="626"/>
      <c r="E33" s="55">
        <f t="shared" si="0"/>
        <v>123176220</v>
      </c>
    </row>
    <row r="34" spans="1:5" s="4" customFormat="1" ht="12" customHeight="1">
      <c r="A34" s="60" t="s">
        <v>7</v>
      </c>
      <c r="B34" s="63" t="s">
        <v>290</v>
      </c>
      <c r="C34" s="626"/>
      <c r="D34" s="64"/>
      <c r="E34" s="55"/>
    </row>
    <row r="35" spans="1:5" s="4" customFormat="1" ht="12" customHeight="1">
      <c r="A35" s="60"/>
      <c r="B35" s="53" t="s">
        <v>144</v>
      </c>
      <c r="C35" s="626"/>
      <c r="D35" s="64">
        <v>0</v>
      </c>
      <c r="E35" s="55">
        <f t="shared" si="0"/>
        <v>0</v>
      </c>
    </row>
    <row r="36" spans="1:5" s="4" customFormat="1" ht="12" customHeight="1">
      <c r="A36" s="60"/>
      <c r="B36" s="53" t="s">
        <v>145</v>
      </c>
      <c r="C36" s="626"/>
      <c r="D36" s="64">
        <f>'3.bev '!H373+'3.bev '!G370</f>
        <v>60607737</v>
      </c>
      <c r="E36" s="55">
        <f t="shared" si="0"/>
        <v>60607737</v>
      </c>
    </row>
    <row r="37" spans="1:5" s="4" customFormat="1" ht="12" customHeight="1">
      <c r="A37" s="60"/>
      <c r="B37" s="210" t="s">
        <v>146</v>
      </c>
      <c r="C37" s="626"/>
      <c r="D37" s="64">
        <f>'3.bev '!H374+'3.bev '!G371</f>
        <v>62136037</v>
      </c>
      <c r="E37" s="55">
        <f t="shared" si="0"/>
        <v>62136037</v>
      </c>
    </row>
    <row r="38" spans="1:5" s="4" customFormat="1" ht="12" customHeight="1">
      <c r="A38" s="60" t="s">
        <v>8</v>
      </c>
      <c r="B38" s="63" t="s">
        <v>291</v>
      </c>
      <c r="C38" s="64"/>
      <c r="D38" s="626"/>
      <c r="E38" s="55"/>
    </row>
    <row r="39" spans="1:5" s="4" customFormat="1" ht="12" customHeight="1">
      <c r="A39" s="60"/>
      <c r="B39" s="53" t="s">
        <v>144</v>
      </c>
      <c r="C39" s="64">
        <f>'3.bev '!F377</f>
        <v>0</v>
      </c>
      <c r="D39" s="626"/>
      <c r="E39" s="55">
        <f t="shared" si="0"/>
        <v>0</v>
      </c>
    </row>
    <row r="40" spans="1:5" s="4" customFormat="1" ht="12" customHeight="1">
      <c r="A40" s="60"/>
      <c r="B40" s="53" t="s">
        <v>145</v>
      </c>
      <c r="C40" s="64">
        <f>'3.bev '!F378+'3.bev '!F382</f>
        <v>20536436</v>
      </c>
      <c r="D40" s="626"/>
      <c r="E40" s="55">
        <f t="shared" si="0"/>
        <v>20536436</v>
      </c>
    </row>
    <row r="41" spans="1:5" s="4" customFormat="1" ht="12" customHeight="1">
      <c r="A41" s="60"/>
      <c r="B41" s="210" t="s">
        <v>146</v>
      </c>
      <c r="C41" s="64">
        <f>'3.bev '!F379+'3.bev '!F383</f>
        <v>20536436</v>
      </c>
      <c r="D41" s="626"/>
      <c r="E41" s="55">
        <f t="shared" si="0"/>
        <v>20536436</v>
      </c>
    </row>
    <row r="42" spans="1:5" s="4" customFormat="1" ht="12" customHeight="1">
      <c r="A42" s="60" t="s">
        <v>9</v>
      </c>
      <c r="B42" s="63" t="s">
        <v>205</v>
      </c>
      <c r="C42" s="626"/>
      <c r="D42" s="64"/>
      <c r="E42" s="55"/>
    </row>
    <row r="43" spans="1:5" s="4" customFormat="1" ht="12" customHeight="1">
      <c r="A43" s="60"/>
      <c r="B43" s="53" t="s">
        <v>144</v>
      </c>
      <c r="C43" s="646"/>
      <c r="D43" s="66">
        <f>'3.bev '!G386+'3.bev '!G389</f>
        <v>1000000</v>
      </c>
      <c r="E43" s="55">
        <f t="shared" si="0"/>
        <v>1000000</v>
      </c>
    </row>
    <row r="44" spans="1:5" s="4" customFormat="1" ht="12" customHeight="1">
      <c r="A44" s="60"/>
      <c r="B44" s="53" t="s">
        <v>145</v>
      </c>
      <c r="C44" s="626"/>
      <c r="D44" s="64">
        <f>'3.bev '!G387+'3.bev '!G390</f>
        <v>1000000</v>
      </c>
      <c r="E44" s="55">
        <f t="shared" si="0"/>
        <v>1000000</v>
      </c>
    </row>
    <row r="45" spans="1:5" s="4" customFormat="1" ht="12" customHeight="1" thickBot="1">
      <c r="A45" s="60"/>
      <c r="B45" s="210" t="s">
        <v>146</v>
      </c>
      <c r="C45" s="646"/>
      <c r="D45" s="66">
        <f>'3.bev '!G388+'3.bev '!G391</f>
        <v>1926564</v>
      </c>
      <c r="E45" s="55">
        <f t="shared" si="0"/>
        <v>1926564</v>
      </c>
    </row>
    <row r="46" spans="1:5" s="5" customFormat="1" ht="14.25" customHeight="1" thickBot="1" thickTop="1">
      <c r="A46" s="1435" t="s">
        <v>119</v>
      </c>
      <c r="B46" s="1436"/>
      <c r="C46" s="484"/>
      <c r="D46" s="484"/>
      <c r="E46" s="485"/>
    </row>
    <row r="47" spans="1:5" s="5" customFormat="1" ht="14.25" customHeight="1" thickTop="1">
      <c r="A47" s="67"/>
      <c r="B47" s="53" t="s">
        <v>144</v>
      </c>
      <c r="C47" s="444">
        <f aca="true" t="shared" si="1" ref="C47:D49">C19+C23+C27+C31+C35+C39+C43</f>
        <v>1413851694</v>
      </c>
      <c r="D47" s="444">
        <f t="shared" si="1"/>
        <v>1000000</v>
      </c>
      <c r="E47" s="486">
        <f>C47+D47</f>
        <v>1414851694</v>
      </c>
    </row>
    <row r="48" spans="1:5" s="5" customFormat="1" ht="14.25" customHeight="1">
      <c r="A48" s="80"/>
      <c r="B48" s="53" t="s">
        <v>145</v>
      </c>
      <c r="C48" s="69">
        <f t="shared" si="1"/>
        <v>1478769991</v>
      </c>
      <c r="D48" s="69">
        <f t="shared" si="1"/>
        <v>1798842945</v>
      </c>
      <c r="E48" s="70">
        <f>C48+D48</f>
        <v>3277612936</v>
      </c>
    </row>
    <row r="49" spans="1:5" s="5" customFormat="1" ht="14.25" customHeight="1" thickBot="1">
      <c r="A49" s="71"/>
      <c r="B49" s="210" t="s">
        <v>146</v>
      </c>
      <c r="C49" s="443">
        <f t="shared" si="1"/>
        <v>1801951275</v>
      </c>
      <c r="D49" s="443">
        <f>D21+D25+D29+D33+D37+D41+D45</f>
        <v>854977600</v>
      </c>
      <c r="E49" s="487">
        <f>C49+D49</f>
        <v>2656928875</v>
      </c>
    </row>
    <row r="50" spans="1:5" s="6" customFormat="1" ht="15" customHeight="1" thickBot="1" thickTop="1">
      <c r="A50" s="1439" t="s">
        <v>292</v>
      </c>
      <c r="B50" s="1440"/>
      <c r="C50" s="496"/>
      <c r="D50" s="496"/>
      <c r="E50" s="498"/>
    </row>
    <row r="51" spans="1:5" s="6" customFormat="1" ht="15" customHeight="1" thickTop="1">
      <c r="A51" s="628"/>
      <c r="B51" s="53" t="s">
        <v>144</v>
      </c>
      <c r="C51" s="395">
        <f aca="true" t="shared" si="2" ref="C51:D53">C47+C10</f>
        <v>1527135694</v>
      </c>
      <c r="D51" s="395">
        <f t="shared" si="2"/>
        <v>1800000</v>
      </c>
      <c r="E51" s="483">
        <f>D51+C51</f>
        <v>1528935694</v>
      </c>
    </row>
    <row r="52" spans="1:5" s="6" customFormat="1" ht="15" customHeight="1">
      <c r="A52" s="72"/>
      <c r="B52" s="53" t="s">
        <v>145</v>
      </c>
      <c r="C52" s="31">
        <f t="shared" si="2"/>
        <v>1639643759</v>
      </c>
      <c r="D52" s="31">
        <f t="shared" si="2"/>
        <v>1803229185</v>
      </c>
      <c r="E52" s="65">
        <f>D52+C52</f>
        <v>3442872944</v>
      </c>
    </row>
    <row r="53" spans="1:6" s="6" customFormat="1" ht="15" customHeight="1" thickBot="1">
      <c r="A53" s="74"/>
      <c r="B53" s="137" t="s">
        <v>146</v>
      </c>
      <c r="C53" s="495">
        <f t="shared" si="2"/>
        <v>1963170497</v>
      </c>
      <c r="D53" s="495">
        <f t="shared" si="2"/>
        <v>859363840</v>
      </c>
      <c r="E53" s="647">
        <f>D53+C53</f>
        <v>2822534337</v>
      </c>
      <c r="F53" s="1400"/>
    </row>
    <row r="54" spans="1:7" s="6" customFormat="1" ht="18.75" customHeight="1" thickBot="1" thickTop="1">
      <c r="A54" s="1439" t="s">
        <v>188</v>
      </c>
      <c r="B54" s="1440"/>
      <c r="C54" s="496"/>
      <c r="D54" s="496"/>
      <c r="E54" s="627"/>
      <c r="G54" s="26"/>
    </row>
    <row r="55" spans="1:7" s="6" customFormat="1" ht="13.5" customHeight="1" thickTop="1">
      <c r="A55" s="628"/>
      <c r="B55" s="53" t="s">
        <v>144</v>
      </c>
      <c r="C55" s="395">
        <f aca="true" t="shared" si="3" ref="C55:D57">C51-C105-C122</f>
        <v>-690926211</v>
      </c>
      <c r="D55" s="395">
        <f t="shared" si="3"/>
        <v>-846414496</v>
      </c>
      <c r="E55" s="483">
        <f>D55+C55</f>
        <v>-1537340707</v>
      </c>
      <c r="G55" s="26"/>
    </row>
    <row r="56" spans="1:7" s="6" customFormat="1" ht="13.5" customHeight="1">
      <c r="A56" s="72"/>
      <c r="B56" s="53" t="s">
        <v>145</v>
      </c>
      <c r="C56" s="31">
        <f t="shared" si="3"/>
        <v>-403732762</v>
      </c>
      <c r="D56" s="31">
        <f t="shared" si="3"/>
        <v>-1194110537</v>
      </c>
      <c r="E56" s="65">
        <f>D56+C56</f>
        <v>-1597843299</v>
      </c>
      <c r="G56" s="26"/>
    </row>
    <row r="57" spans="1:7" s="6" customFormat="1" ht="13.5" customHeight="1" thickBot="1">
      <c r="A57" s="1028"/>
      <c r="B57" s="313" t="s">
        <v>146</v>
      </c>
      <c r="C57" s="649">
        <f t="shared" si="3"/>
        <v>275327232</v>
      </c>
      <c r="D57" s="649">
        <f t="shared" si="3"/>
        <v>587502603</v>
      </c>
      <c r="E57" s="1029">
        <f>D57+C57</f>
        <v>862829835</v>
      </c>
      <c r="G57" s="26"/>
    </row>
    <row r="58" spans="1:7" s="6" customFormat="1" ht="15" customHeight="1">
      <c r="A58" s="1030" t="s">
        <v>25</v>
      </c>
      <c r="B58" s="1031" t="s">
        <v>293</v>
      </c>
      <c r="C58" s="1032"/>
      <c r="D58" s="1032"/>
      <c r="E58" s="1033"/>
      <c r="G58" s="26"/>
    </row>
    <row r="59" spans="1:7" s="6" customFormat="1" ht="15.75" customHeight="1">
      <c r="A59" s="629" t="s">
        <v>3</v>
      </c>
      <c r="B59" s="1449" t="s">
        <v>729</v>
      </c>
      <c r="C59" s="1450"/>
      <c r="D59" s="1450"/>
      <c r="E59" s="1451"/>
      <c r="G59" s="26"/>
    </row>
    <row r="60" spans="1:7" s="6" customFormat="1" ht="15.75" customHeight="1">
      <c r="A60" s="648"/>
      <c r="B60" s="53" t="s">
        <v>144</v>
      </c>
      <c r="C60" s="1034">
        <f>'3.bev '!F394+'3.bev '!F397+'3.bev '!F400+'3.bev '!F34</f>
        <v>353688361</v>
      </c>
      <c r="D60" s="1034">
        <f>'3.bev '!G394+'3.bev '!G397+'3.bev '!G400+'3.bev '!G34</f>
        <v>80351000</v>
      </c>
      <c r="E60" s="1036">
        <f>C60+D60</f>
        <v>434039361</v>
      </c>
      <c r="G60" s="26"/>
    </row>
    <row r="61" spans="1:7" s="6" customFormat="1" ht="15.75" customHeight="1">
      <c r="A61" s="648"/>
      <c r="B61" s="53" t="s">
        <v>145</v>
      </c>
      <c r="C61" s="1034">
        <f>'3.bev '!F395+'3.bev '!F398+'3.bev '!F401+'3.bev '!F35</f>
        <v>354191151</v>
      </c>
      <c r="D61" s="1034">
        <f>'3.bev '!G395+'3.bev '!G398+'3.bev '!G401+'3.bev '!G35</f>
        <v>80350802</v>
      </c>
      <c r="E61" s="1036">
        <f>C61+D61</f>
        <v>434541953</v>
      </c>
      <c r="G61" s="26"/>
    </row>
    <row r="62" spans="1:7" s="6" customFormat="1" ht="15.75" customHeight="1">
      <c r="A62" s="648"/>
      <c r="B62" s="53" t="s">
        <v>146</v>
      </c>
      <c r="C62" s="1034">
        <f>'3.bev '!F396+'3.bev '!F399+'3.bev '!F402+'3.bev '!F36</f>
        <v>354191151</v>
      </c>
      <c r="D62" s="1034">
        <f>'3.bev '!G396+'3.bev '!G399+'3.bev '!G402+'3.bev '!G36</f>
        <v>80350802</v>
      </c>
      <c r="E62" s="1036">
        <f>C62+D62</f>
        <v>434541953</v>
      </c>
      <c r="F62" s="26"/>
      <c r="G62" s="26"/>
    </row>
    <row r="63" spans="1:7" s="6" customFormat="1" ht="15.75" customHeight="1">
      <c r="A63" s="648" t="s">
        <v>4</v>
      </c>
      <c r="B63" s="1021" t="s">
        <v>301</v>
      </c>
      <c r="C63" s="1034"/>
      <c r="D63" s="1034"/>
      <c r="E63" s="1036"/>
      <c r="G63" s="26"/>
    </row>
    <row r="64" spans="1:7" s="6" customFormat="1" ht="15.75" customHeight="1">
      <c r="A64" s="648"/>
      <c r="B64" s="53" t="s">
        <v>144</v>
      </c>
      <c r="C64" s="1034">
        <f>'3.bev '!F404+'3.bev '!F407</f>
        <v>5354345174</v>
      </c>
      <c r="D64" s="1034">
        <f>'3.bev '!G404+'3.bev '!G407</f>
        <v>686063496</v>
      </c>
      <c r="E64" s="1036">
        <f>C64+D64</f>
        <v>6040408670</v>
      </c>
      <c r="G64" s="26"/>
    </row>
    <row r="65" spans="1:7" s="6" customFormat="1" ht="15.75" customHeight="1">
      <c r="A65" s="648"/>
      <c r="B65" s="53" t="s">
        <v>145</v>
      </c>
      <c r="C65" s="1034">
        <f>'3.bev '!F405+'3.bev '!F408</f>
        <v>5066648935</v>
      </c>
      <c r="D65" s="1034">
        <f>'3.bev '!G405+'3.bev '!G408</f>
        <v>983759735</v>
      </c>
      <c r="E65" s="1036">
        <f>C65+D65</f>
        <v>6050408670</v>
      </c>
      <c r="G65" s="26"/>
    </row>
    <row r="66" spans="1:7" s="6" customFormat="1" ht="15.75" customHeight="1">
      <c r="A66" s="648"/>
      <c r="B66" s="53" t="s">
        <v>146</v>
      </c>
      <c r="C66" s="1034">
        <f>'3.bev '!F406+'3.bev '!F409</f>
        <v>1224700000</v>
      </c>
      <c r="D66" s="1034">
        <f>'3.bev '!G406+'3.bev '!G409</f>
        <v>0</v>
      </c>
      <c r="E66" s="1036">
        <f>C66+D66</f>
        <v>1224700000</v>
      </c>
      <c r="G66" s="1349"/>
    </row>
    <row r="67" spans="1:7" s="6" customFormat="1" ht="15.75" customHeight="1">
      <c r="A67" s="648" t="s">
        <v>5</v>
      </c>
      <c r="B67" s="715" t="s">
        <v>730</v>
      </c>
      <c r="C67" s="1034"/>
      <c r="D67" s="1034"/>
      <c r="E67" s="1036"/>
      <c r="G67" s="1349"/>
    </row>
    <row r="68" spans="1:7" s="6" customFormat="1" ht="12.75" customHeight="1">
      <c r="A68" s="648"/>
      <c r="B68" s="53" t="s">
        <v>144</v>
      </c>
      <c r="C68" s="1034">
        <f>'3.bev '!F411</f>
        <v>0</v>
      </c>
      <c r="D68" s="1034">
        <f>'3.bev '!G411</f>
        <v>80000000</v>
      </c>
      <c r="E68" s="1036">
        <f>SUM(C68:D68)</f>
        <v>80000000</v>
      </c>
      <c r="G68" s="1349"/>
    </row>
    <row r="69" spans="1:7" s="6" customFormat="1" ht="12.75" customHeight="1">
      <c r="A69" s="648"/>
      <c r="B69" s="53" t="s">
        <v>145</v>
      </c>
      <c r="C69" s="1034">
        <f>'3.bev '!F412</f>
        <v>0</v>
      </c>
      <c r="D69" s="1034">
        <f>'3.bev '!G412</f>
        <v>130000000</v>
      </c>
      <c r="E69" s="1036">
        <f>SUM(C69:D69)</f>
        <v>130000000</v>
      </c>
      <c r="G69" s="1349"/>
    </row>
    <row r="70" spans="1:7" s="6" customFormat="1" ht="12" customHeight="1">
      <c r="A70" s="648"/>
      <c r="B70" s="53" t="s">
        <v>146</v>
      </c>
      <c r="C70" s="1034">
        <f>'3.bev '!F413</f>
        <v>0</v>
      </c>
      <c r="D70" s="1034">
        <f>'3.bev '!G413</f>
        <v>27877000</v>
      </c>
      <c r="E70" s="1036">
        <f>SUM(C70:D70)</f>
        <v>27877000</v>
      </c>
      <c r="G70" s="1349"/>
    </row>
    <row r="71" spans="1:7" s="6" customFormat="1" ht="13.5" customHeight="1">
      <c r="A71" s="648" t="s">
        <v>6</v>
      </c>
      <c r="B71" s="1021" t="s">
        <v>728</v>
      </c>
      <c r="C71" s="1034"/>
      <c r="D71" s="1034"/>
      <c r="E71" s="1035"/>
      <c r="G71" s="1349"/>
    </row>
    <row r="72" spans="1:7" s="6" customFormat="1" ht="13.5" customHeight="1">
      <c r="A72" s="648"/>
      <c r="B72" s="53" t="s">
        <v>144</v>
      </c>
      <c r="C72" s="711">
        <f>'3.bev '!F415</f>
        <v>0</v>
      </c>
      <c r="D72" s="711">
        <f>'3.bev '!G415</f>
        <v>0</v>
      </c>
      <c r="E72" s="65">
        <f>C72+D72</f>
        <v>0</v>
      </c>
      <c r="G72" s="26"/>
    </row>
    <row r="73" spans="1:7" s="6" customFormat="1" ht="12.75" customHeight="1">
      <c r="A73" s="648"/>
      <c r="B73" s="53" t="s">
        <v>145</v>
      </c>
      <c r="C73" s="711">
        <f>'3.bev '!F416</f>
        <v>17873670</v>
      </c>
      <c r="D73" s="711">
        <f>'3.bev '!G416</f>
        <v>0</v>
      </c>
      <c r="E73" s="65">
        <f>C73+D73</f>
        <v>17873670</v>
      </c>
      <c r="G73" s="26"/>
    </row>
    <row r="74" spans="1:7" s="6" customFormat="1" ht="13.5" customHeight="1" thickBot="1">
      <c r="A74" s="728"/>
      <c r="B74" s="137" t="s">
        <v>146</v>
      </c>
      <c r="C74" s="711">
        <f>'3.bev '!F417</f>
        <v>17873670</v>
      </c>
      <c r="D74" s="711">
        <f>'3.bev '!G417</f>
        <v>0</v>
      </c>
      <c r="E74" s="730">
        <f>C74+D74</f>
        <v>17873670</v>
      </c>
      <c r="G74" s="26"/>
    </row>
    <row r="75" spans="1:5" s="630" customFormat="1" ht="18" customHeight="1" thickBot="1" thickTop="1">
      <c r="A75" s="1441" t="s">
        <v>294</v>
      </c>
      <c r="B75" s="1442"/>
      <c r="C75" s="496"/>
      <c r="D75" s="496"/>
      <c r="E75" s="498"/>
    </row>
    <row r="76" spans="1:5" s="630" customFormat="1" ht="15" customHeight="1" thickTop="1">
      <c r="A76" s="75"/>
      <c r="B76" s="53" t="s">
        <v>144</v>
      </c>
      <c r="C76" s="395">
        <f>C51+C72+C64+C60</f>
        <v>7235169229</v>
      </c>
      <c r="D76" s="395">
        <f>D51+D72+D64+D60+D68</f>
        <v>848214496</v>
      </c>
      <c r="E76" s="667">
        <f>D76+C76</f>
        <v>8083383725</v>
      </c>
    </row>
    <row r="77" spans="1:5" s="630" customFormat="1" ht="12" customHeight="1">
      <c r="A77" s="46"/>
      <c r="B77" s="53" t="s">
        <v>145</v>
      </c>
      <c r="C77" s="31">
        <f>C73+C52+C65+C61</f>
        <v>7078357515</v>
      </c>
      <c r="D77" s="31">
        <f>D73+D52+D65+D61+D69</f>
        <v>2997339722</v>
      </c>
      <c r="E77" s="73">
        <f>C77+D77</f>
        <v>10075697237</v>
      </c>
    </row>
    <row r="78" spans="1:7" s="630" customFormat="1" ht="10.5" customHeight="1" thickBot="1">
      <c r="A78" s="93"/>
      <c r="B78" s="92" t="s">
        <v>146</v>
      </c>
      <c r="C78" s="649">
        <f>C74+C53+C66+C62+C70</f>
        <v>3559935318</v>
      </c>
      <c r="D78" s="497">
        <f>D74+D53+D66+D62+D70</f>
        <v>967591642</v>
      </c>
      <c r="E78" s="668">
        <f>C78+D78</f>
        <v>4527526960</v>
      </c>
      <c r="G78" s="999"/>
    </row>
    <row r="79" spans="1:5" s="2" customFormat="1" ht="12.75">
      <c r="A79" s="1443" t="s">
        <v>14</v>
      </c>
      <c r="B79" s="1444"/>
      <c r="C79" s="47" t="s">
        <v>15</v>
      </c>
      <c r="D79" s="47" t="s">
        <v>16</v>
      </c>
      <c r="E79" s="1445" t="s">
        <v>17</v>
      </c>
    </row>
    <row r="80" spans="1:5" s="2" customFormat="1" ht="12.75">
      <c r="A80" s="1443"/>
      <c r="B80" s="1444"/>
      <c r="C80" s="47" t="s">
        <v>18</v>
      </c>
      <c r="D80" s="47" t="s">
        <v>18</v>
      </c>
      <c r="E80" s="1445"/>
    </row>
    <row r="81" spans="1:5" ht="4.5" customHeight="1" thickBot="1">
      <c r="A81" s="48"/>
      <c r="B81" s="77"/>
      <c r="C81" s="50"/>
      <c r="D81" s="50"/>
      <c r="E81" s="51"/>
    </row>
    <row r="82" spans="1:5" ht="13.5" customHeight="1" thickBot="1">
      <c r="A82" s="1446" t="s">
        <v>22</v>
      </c>
      <c r="B82" s="1447"/>
      <c r="C82" s="1447"/>
      <c r="D82" s="1447"/>
      <c r="E82" s="1448"/>
    </row>
    <row r="83" spans="1:5" s="3" customFormat="1" ht="11.25" customHeight="1">
      <c r="A83" s="46" t="s">
        <v>20</v>
      </c>
      <c r="B83" s="78" t="s">
        <v>109</v>
      </c>
      <c r="C83" s="631"/>
      <c r="D83" s="632"/>
      <c r="E83" s="633"/>
    </row>
    <row r="84" spans="1:5" s="4" customFormat="1" ht="13.5" customHeight="1">
      <c r="A84" s="60" t="s">
        <v>3</v>
      </c>
      <c r="B84" s="61" t="s">
        <v>12</v>
      </c>
      <c r="C84" s="62"/>
      <c r="D84" s="625"/>
      <c r="E84" s="79"/>
    </row>
    <row r="85" spans="1:5" s="4" customFormat="1" ht="13.5" customHeight="1">
      <c r="A85" s="60"/>
      <c r="B85" s="53" t="s">
        <v>144</v>
      </c>
      <c r="C85" s="62">
        <f>'3.bev '!F473</f>
        <v>681793000</v>
      </c>
      <c r="D85" s="625"/>
      <c r="E85" s="79">
        <f>C85</f>
        <v>681793000</v>
      </c>
    </row>
    <row r="86" spans="1:5" s="4" customFormat="1" ht="13.5" customHeight="1">
      <c r="A86" s="60"/>
      <c r="B86" s="53" t="s">
        <v>145</v>
      </c>
      <c r="C86" s="62">
        <f>'3.bev '!F474</f>
        <v>702143798</v>
      </c>
      <c r="D86" s="625"/>
      <c r="E86" s="79">
        <f aca="true" t="shared" si="4" ref="E86:E103">C86</f>
        <v>702143798</v>
      </c>
    </row>
    <row r="87" spans="1:5" s="4" customFormat="1" ht="13.5" customHeight="1">
      <c r="A87" s="60"/>
      <c r="B87" s="210" t="s">
        <v>146</v>
      </c>
      <c r="C87" s="62">
        <f>'3.bev '!F475</f>
        <v>642109075</v>
      </c>
      <c r="D87" s="625"/>
      <c r="E87" s="79">
        <f t="shared" si="4"/>
        <v>642109075</v>
      </c>
    </row>
    <row r="88" spans="1:5" s="4" customFormat="1" ht="13.5" customHeight="1">
      <c r="A88" s="60" t="s">
        <v>4</v>
      </c>
      <c r="B88" s="63" t="s">
        <v>108</v>
      </c>
      <c r="C88" s="62"/>
      <c r="D88" s="626"/>
      <c r="E88" s="79"/>
    </row>
    <row r="89" spans="1:5" s="4" customFormat="1" ht="13.5" customHeight="1">
      <c r="A89" s="60"/>
      <c r="B89" s="53" t="s">
        <v>144</v>
      </c>
      <c r="C89" s="62">
        <f>'3.bev '!F477</f>
        <v>149126264</v>
      </c>
      <c r="D89" s="626"/>
      <c r="E89" s="79">
        <f t="shared" si="4"/>
        <v>149126264</v>
      </c>
    </row>
    <row r="90" spans="1:5" s="4" customFormat="1" ht="13.5" customHeight="1">
      <c r="A90" s="60"/>
      <c r="B90" s="53" t="s">
        <v>145</v>
      </c>
      <c r="C90" s="62">
        <f>'3.bev '!F478</f>
        <v>159941898</v>
      </c>
      <c r="D90" s="626"/>
      <c r="E90" s="79">
        <f t="shared" si="4"/>
        <v>159941898</v>
      </c>
    </row>
    <row r="91" spans="1:8" s="4" customFormat="1" ht="13.5" customHeight="1">
      <c r="A91" s="60"/>
      <c r="B91" s="210" t="s">
        <v>146</v>
      </c>
      <c r="C91" s="62">
        <f>'3.bev '!F479</f>
        <v>144858482</v>
      </c>
      <c r="D91" s="626"/>
      <c r="E91" s="79">
        <f t="shared" si="4"/>
        <v>144858482</v>
      </c>
      <c r="H91" s="492"/>
    </row>
    <row r="92" spans="1:8" s="4" customFormat="1" ht="13.5" customHeight="1">
      <c r="A92" s="60" t="s">
        <v>5</v>
      </c>
      <c r="B92" s="63" t="s">
        <v>13</v>
      </c>
      <c r="C92" s="62"/>
      <c r="D92" s="626"/>
      <c r="E92" s="79"/>
      <c r="H92" s="492"/>
    </row>
    <row r="93" spans="1:10" s="4" customFormat="1" ht="13.5" customHeight="1">
      <c r="A93" s="60"/>
      <c r="B93" s="53" t="s">
        <v>144</v>
      </c>
      <c r="C93" s="62">
        <f>'3.bev '!F481</f>
        <v>851667336</v>
      </c>
      <c r="D93" s="626"/>
      <c r="E93" s="79">
        <f t="shared" si="4"/>
        <v>851667336</v>
      </c>
      <c r="J93" s="492"/>
    </row>
    <row r="94" spans="1:5" s="4" customFormat="1" ht="13.5" customHeight="1">
      <c r="A94" s="60"/>
      <c r="B94" s="53" t="s">
        <v>145</v>
      </c>
      <c r="C94" s="62">
        <f>'3.bev '!F482</f>
        <v>882454255</v>
      </c>
      <c r="D94" s="626"/>
      <c r="E94" s="79">
        <f t="shared" si="4"/>
        <v>882454255</v>
      </c>
    </row>
    <row r="95" spans="1:5" s="4" customFormat="1" ht="13.5" customHeight="1">
      <c r="A95" s="60"/>
      <c r="B95" s="210" t="s">
        <v>146</v>
      </c>
      <c r="C95" s="62">
        <f>'3.bev '!F483</f>
        <v>649879713</v>
      </c>
      <c r="D95" s="626"/>
      <c r="E95" s="79">
        <f t="shared" si="4"/>
        <v>649879713</v>
      </c>
    </row>
    <row r="96" spans="1:7" s="4" customFormat="1" ht="13.5" customHeight="1">
      <c r="A96" s="60" t="s">
        <v>6</v>
      </c>
      <c r="B96" s="110" t="s">
        <v>89</v>
      </c>
      <c r="C96" s="62"/>
      <c r="D96" s="626"/>
      <c r="E96" s="79"/>
      <c r="G96" s="492"/>
    </row>
    <row r="97" spans="1:7" s="4" customFormat="1" ht="13.5" customHeight="1">
      <c r="A97" s="60"/>
      <c r="B97" s="53" t="s">
        <v>144</v>
      </c>
      <c r="C97" s="62">
        <f>'3.bev '!F485</f>
        <v>8480000</v>
      </c>
      <c r="D97" s="626"/>
      <c r="E97" s="79">
        <f t="shared" si="4"/>
        <v>8480000</v>
      </c>
      <c r="G97" s="492"/>
    </row>
    <row r="98" spans="1:7" s="4" customFormat="1" ht="13.5" customHeight="1">
      <c r="A98" s="60"/>
      <c r="B98" s="53" t="s">
        <v>145</v>
      </c>
      <c r="C98" s="62">
        <f>'3.bev '!F486</f>
        <v>12423500</v>
      </c>
      <c r="D98" s="626"/>
      <c r="E98" s="79">
        <f t="shared" si="4"/>
        <v>12423500</v>
      </c>
      <c r="G98" s="492"/>
    </row>
    <row r="99" spans="1:7" s="4" customFormat="1" ht="13.5" customHeight="1">
      <c r="A99" s="60"/>
      <c r="B99" s="210" t="s">
        <v>146</v>
      </c>
      <c r="C99" s="62">
        <f>'3.bev '!F487</f>
        <v>7209209</v>
      </c>
      <c r="D99" s="626"/>
      <c r="E99" s="79">
        <f t="shared" si="4"/>
        <v>7209209</v>
      </c>
      <c r="G99" s="492"/>
    </row>
    <row r="100" spans="1:5" s="4" customFormat="1" ht="13.5" customHeight="1">
      <c r="A100" s="60" t="s">
        <v>8</v>
      </c>
      <c r="B100" s="29" t="s">
        <v>86</v>
      </c>
      <c r="C100" s="64"/>
      <c r="D100" s="626"/>
      <c r="E100" s="79"/>
    </row>
    <row r="101" spans="1:5" s="4" customFormat="1" ht="13.5" customHeight="1">
      <c r="A101" s="60"/>
      <c r="B101" s="53" t="s">
        <v>144</v>
      </c>
      <c r="C101" s="64">
        <f>'3.bev '!F489</f>
        <v>526995305</v>
      </c>
      <c r="D101" s="626"/>
      <c r="E101" s="79">
        <f t="shared" si="4"/>
        <v>526995305</v>
      </c>
    </row>
    <row r="102" spans="1:5" s="4" customFormat="1" ht="13.5" customHeight="1">
      <c r="A102" s="60"/>
      <c r="B102" s="53" t="s">
        <v>145</v>
      </c>
      <c r="C102" s="64">
        <f>'3.bev '!F490</f>
        <v>286413070</v>
      </c>
      <c r="D102" s="626"/>
      <c r="E102" s="79">
        <f t="shared" si="4"/>
        <v>286413070</v>
      </c>
    </row>
    <row r="103" spans="1:5" s="4" customFormat="1" ht="13.5" customHeight="1" thickBot="1">
      <c r="A103" s="60"/>
      <c r="B103" s="210" t="s">
        <v>146</v>
      </c>
      <c r="C103" s="64">
        <f>'3.bev '!F491</f>
        <v>243786786</v>
      </c>
      <c r="D103" s="672"/>
      <c r="E103" s="79">
        <f t="shared" si="4"/>
        <v>243786786</v>
      </c>
    </row>
    <row r="104" spans="1:5" s="5" customFormat="1" ht="14.25" customHeight="1" thickBot="1" thickTop="1">
      <c r="A104" s="1435" t="s">
        <v>110</v>
      </c>
      <c r="B104" s="1436"/>
      <c r="C104" s="484"/>
      <c r="D104" s="634"/>
      <c r="E104" s="635"/>
    </row>
    <row r="105" spans="1:5" s="5" customFormat="1" ht="14.25" customHeight="1" thickTop="1">
      <c r="A105" s="80"/>
      <c r="B105" s="53" t="s">
        <v>144</v>
      </c>
      <c r="C105" s="443">
        <f>C85+C89+C93+C97+C101</f>
        <v>2218061905</v>
      </c>
      <c r="D105" s="669"/>
      <c r="E105" s="82">
        <f>C105</f>
        <v>2218061905</v>
      </c>
    </row>
    <row r="106" spans="1:5" s="5" customFormat="1" ht="14.25" customHeight="1">
      <c r="A106" s="697"/>
      <c r="B106" s="53" t="s">
        <v>145</v>
      </c>
      <c r="C106" s="69">
        <f>C86+C90+C94+C98+C102</f>
        <v>2043376521</v>
      </c>
      <c r="D106" s="698"/>
      <c r="E106" s="81">
        <f>C106</f>
        <v>2043376521</v>
      </c>
    </row>
    <row r="107" spans="1:5" s="5" customFormat="1" ht="14.25" customHeight="1" thickBot="1">
      <c r="A107" s="1022"/>
      <c r="B107" s="92" t="s">
        <v>146</v>
      </c>
      <c r="C107" s="704">
        <f>C87+C91+C95+C99+C103</f>
        <v>1687843265</v>
      </c>
      <c r="D107" s="1023"/>
      <c r="E107" s="1024">
        <f>C107</f>
        <v>1687843265</v>
      </c>
    </row>
    <row r="108" spans="1:5" s="3" customFormat="1" ht="15" customHeight="1">
      <c r="A108" s="1025" t="s">
        <v>21</v>
      </c>
      <c r="B108" s="1026" t="s">
        <v>111</v>
      </c>
      <c r="C108" s="1027"/>
      <c r="D108" s="623"/>
      <c r="E108" s="624"/>
    </row>
    <row r="109" spans="1:5" s="4" customFormat="1" ht="13.5" customHeight="1">
      <c r="A109" s="60" t="s">
        <v>3</v>
      </c>
      <c r="B109" s="61" t="s">
        <v>23</v>
      </c>
      <c r="C109" s="625"/>
      <c r="D109" s="62"/>
      <c r="E109" s="79"/>
    </row>
    <row r="110" spans="1:5" s="4" customFormat="1" ht="13.5" customHeight="1">
      <c r="A110" s="60"/>
      <c r="B110" s="53" t="s">
        <v>144</v>
      </c>
      <c r="C110" s="625"/>
      <c r="D110" s="62">
        <f>'3.bev '!G498</f>
        <v>619412715</v>
      </c>
      <c r="E110" s="79">
        <f>D110</f>
        <v>619412715</v>
      </c>
    </row>
    <row r="111" spans="1:5" s="4" customFormat="1" ht="13.5" customHeight="1">
      <c r="A111" s="60"/>
      <c r="B111" s="53" t="s">
        <v>145</v>
      </c>
      <c r="C111" s="625"/>
      <c r="D111" s="62">
        <f>'3.bev '!G499</f>
        <v>2500653977</v>
      </c>
      <c r="E111" s="79">
        <f>D111</f>
        <v>2500653977</v>
      </c>
    </row>
    <row r="112" spans="1:5" s="4" customFormat="1" ht="13.5" customHeight="1">
      <c r="A112" s="60"/>
      <c r="B112" s="210" t="s">
        <v>146</v>
      </c>
      <c r="C112" s="625"/>
      <c r="D112" s="62">
        <f>'3.bev '!G500</f>
        <v>187320116</v>
      </c>
      <c r="E112" s="79">
        <f>D112</f>
        <v>187320116</v>
      </c>
    </row>
    <row r="113" spans="1:5" s="4" customFormat="1" ht="12" customHeight="1">
      <c r="A113" s="60" t="s">
        <v>4</v>
      </c>
      <c r="B113" s="63" t="s">
        <v>24</v>
      </c>
      <c r="C113" s="626"/>
      <c r="D113" s="62"/>
      <c r="E113" s="79"/>
    </row>
    <row r="114" spans="1:5" s="4" customFormat="1" ht="12" customHeight="1">
      <c r="A114" s="60"/>
      <c r="B114" s="53" t="s">
        <v>144</v>
      </c>
      <c r="C114" s="626"/>
      <c r="D114" s="62">
        <f>'3.bev '!G502</f>
        <v>144914565</v>
      </c>
      <c r="E114" s="79">
        <f>D114</f>
        <v>144914565</v>
      </c>
    </row>
    <row r="115" spans="1:5" s="4" customFormat="1" ht="12" customHeight="1">
      <c r="A115" s="60"/>
      <c r="B115" s="53" t="s">
        <v>145</v>
      </c>
      <c r="C115" s="626"/>
      <c r="D115" s="62">
        <f>'3.bev '!G503</f>
        <v>394986916</v>
      </c>
      <c r="E115" s="79">
        <f>D115</f>
        <v>394986916</v>
      </c>
    </row>
    <row r="116" spans="1:5" s="4" customFormat="1" ht="12" customHeight="1">
      <c r="A116" s="60"/>
      <c r="B116" s="210" t="s">
        <v>146</v>
      </c>
      <c r="C116" s="626"/>
      <c r="D116" s="62">
        <f>'3.bev '!G504</f>
        <v>62355508</v>
      </c>
      <c r="E116" s="79">
        <f>D116</f>
        <v>62355508</v>
      </c>
    </row>
    <row r="117" spans="1:5" s="4" customFormat="1" ht="12" customHeight="1">
      <c r="A117" s="60" t="s">
        <v>5</v>
      </c>
      <c r="B117" s="63" t="s">
        <v>30</v>
      </c>
      <c r="C117" s="626"/>
      <c r="D117" s="62"/>
      <c r="E117" s="79"/>
    </row>
    <row r="118" spans="1:5" s="4" customFormat="1" ht="12" customHeight="1">
      <c r="A118" s="60"/>
      <c r="B118" s="53" t="s">
        <v>144</v>
      </c>
      <c r="C118" s="626"/>
      <c r="D118" s="64">
        <f>'3.bev '!G506+'7.céltart'!C14</f>
        <v>83887216</v>
      </c>
      <c r="E118" s="81">
        <f>D118</f>
        <v>83887216</v>
      </c>
    </row>
    <row r="119" spans="1:5" s="4" customFormat="1" ht="12" customHeight="1">
      <c r="A119" s="60"/>
      <c r="B119" s="53" t="s">
        <v>145</v>
      </c>
      <c r="C119" s="626"/>
      <c r="D119" s="64">
        <f>'3.bev '!G507</f>
        <v>101698829</v>
      </c>
      <c r="E119" s="81">
        <f>D119</f>
        <v>101698829</v>
      </c>
    </row>
    <row r="120" spans="1:5" s="4" customFormat="1" ht="12" customHeight="1" thickBot="1">
      <c r="A120" s="706"/>
      <c r="B120" s="137" t="s">
        <v>146</v>
      </c>
      <c r="C120" s="672"/>
      <c r="D120" s="671">
        <f>'3.bev '!G508</f>
        <v>22185613</v>
      </c>
      <c r="E120" s="673">
        <f>D120</f>
        <v>22185613</v>
      </c>
    </row>
    <row r="121" spans="1:5" s="5" customFormat="1" ht="12.75" customHeight="1" thickBot="1" thickTop="1">
      <c r="A121" s="1435" t="s">
        <v>112</v>
      </c>
      <c r="B121" s="1436"/>
      <c r="C121" s="634"/>
      <c r="D121" s="484"/>
      <c r="E121" s="635"/>
    </row>
    <row r="122" spans="1:5" s="5" customFormat="1" ht="12.75" customHeight="1" thickTop="1">
      <c r="A122" s="67"/>
      <c r="B122" s="53" t="s">
        <v>144</v>
      </c>
      <c r="C122" s="670"/>
      <c r="D122" s="444">
        <f>D110+D114+D118</f>
        <v>848214496</v>
      </c>
      <c r="E122" s="482">
        <f>D122</f>
        <v>848214496</v>
      </c>
    </row>
    <row r="123" spans="1:5" s="5" customFormat="1" ht="12.75" customHeight="1">
      <c r="A123" s="68"/>
      <c r="B123" s="53" t="s">
        <v>145</v>
      </c>
      <c r="C123" s="698"/>
      <c r="D123" s="69">
        <f>D111+D115+D119</f>
        <v>2997339722</v>
      </c>
      <c r="E123" s="81">
        <f>D123</f>
        <v>2997339722</v>
      </c>
    </row>
    <row r="124" spans="1:8" s="5" customFormat="1" ht="12.75" customHeight="1" thickBot="1">
      <c r="A124" s="80"/>
      <c r="B124" s="210" t="s">
        <v>146</v>
      </c>
      <c r="C124" s="669"/>
      <c r="D124" s="443">
        <f>D112+D116+D120</f>
        <v>271861237</v>
      </c>
      <c r="E124" s="82">
        <f>D124</f>
        <v>271861237</v>
      </c>
      <c r="G124" s="727"/>
      <c r="H124" s="727"/>
    </row>
    <row r="125" spans="1:5" s="5" customFormat="1" ht="12.75" customHeight="1">
      <c r="A125" s="1206" t="s">
        <v>25</v>
      </c>
      <c r="B125" s="1207" t="s">
        <v>61</v>
      </c>
      <c r="C125" s="1208"/>
      <c r="D125" s="1208"/>
      <c r="E125" s="1209"/>
    </row>
    <row r="126" spans="1:5" s="5" customFormat="1" ht="12.75" customHeight="1">
      <c r="A126" s="88"/>
      <c r="B126" s="53" t="s">
        <v>144</v>
      </c>
      <c r="C126" s="69">
        <f>'3.bev '!F514</f>
        <v>5017107324</v>
      </c>
      <c r="D126" s="69">
        <f>'3.bev '!G514</f>
        <v>0</v>
      </c>
      <c r="E126" s="81">
        <f>C126</f>
        <v>5017107324</v>
      </c>
    </row>
    <row r="127" spans="1:5" s="5" customFormat="1" ht="12.75" customHeight="1">
      <c r="A127" s="88"/>
      <c r="B127" s="53" t="s">
        <v>145</v>
      </c>
      <c r="C127" s="69">
        <f>'3.bev '!F515</f>
        <v>5034980994</v>
      </c>
      <c r="D127" s="69">
        <f>'3.bev '!G515</f>
        <v>0</v>
      </c>
      <c r="E127" s="81">
        <f>C127+D127</f>
        <v>5034980994</v>
      </c>
    </row>
    <row r="128" spans="1:5" s="5" customFormat="1" ht="14.25" customHeight="1" thickBot="1">
      <c r="A128" s="87"/>
      <c r="B128" s="210" t="s">
        <v>146</v>
      </c>
      <c r="C128" s="488">
        <f>'3.bev '!F516</f>
        <v>1509134941</v>
      </c>
      <c r="D128" s="69">
        <f>'3.bev '!G516</f>
        <v>0</v>
      </c>
      <c r="E128" s="81">
        <f>C128+D128</f>
        <v>1509134941</v>
      </c>
    </row>
    <row r="129" spans="1:5" s="6" customFormat="1" ht="15" customHeight="1" thickBot="1" thickTop="1">
      <c r="A129" s="1437" t="s">
        <v>295</v>
      </c>
      <c r="B129" s="1438"/>
      <c r="C129" s="489">
        <f>SUM(C104,C121)+C125</f>
        <v>0</v>
      </c>
      <c r="D129" s="489">
        <f>SUM(D104,D121)+D125</f>
        <v>0</v>
      </c>
      <c r="E129" s="490">
        <f>SUM(C129:D129)</f>
        <v>0</v>
      </c>
    </row>
    <row r="130" spans="1:5" ht="12.75">
      <c r="A130" s="699"/>
      <c r="B130" s="53" t="s">
        <v>144</v>
      </c>
      <c r="C130" s="701">
        <f aca="true" t="shared" si="5" ref="C130:D132">C105+C122+C126</f>
        <v>7235169229</v>
      </c>
      <c r="D130" s="442">
        <f t="shared" si="5"/>
        <v>848214496</v>
      </c>
      <c r="E130" s="702">
        <f>C130+D130</f>
        <v>8083383725</v>
      </c>
    </row>
    <row r="131" spans="1:5" ht="12.75">
      <c r="A131" s="699"/>
      <c r="B131" s="53" t="s">
        <v>145</v>
      </c>
      <c r="C131" s="91">
        <f t="shared" si="5"/>
        <v>7078357515</v>
      </c>
      <c r="D131" s="69">
        <f t="shared" si="5"/>
        <v>2997339722</v>
      </c>
      <c r="E131" s="70">
        <f>C131+D131</f>
        <v>10075697237</v>
      </c>
    </row>
    <row r="132" spans="1:8" ht="13.5" thickBot="1">
      <c r="A132" s="700"/>
      <c r="B132" s="313" t="s">
        <v>146</v>
      </c>
      <c r="C132" s="703">
        <f t="shared" si="5"/>
        <v>3196978206</v>
      </c>
      <c r="D132" s="704">
        <f t="shared" si="5"/>
        <v>271861237</v>
      </c>
      <c r="E132" s="705">
        <f>C132+D132</f>
        <v>3468839443</v>
      </c>
      <c r="H132" s="995"/>
    </row>
    <row r="133" ht="12.75">
      <c r="H133" s="995"/>
    </row>
    <row r="136" spans="3:5" ht="12.75">
      <c r="C136" s="1350"/>
      <c r="D136" s="1350"/>
      <c r="E136" s="1350"/>
    </row>
    <row r="137" spans="3:5" ht="12.75">
      <c r="C137" s="1351"/>
      <c r="D137" s="1351"/>
      <c r="E137" s="1352"/>
    </row>
    <row r="138" spans="3:5" ht="12.75">
      <c r="C138" s="1350"/>
      <c r="D138" s="1350"/>
      <c r="E138" s="1353"/>
    </row>
  </sheetData>
  <sheetProtection/>
  <mergeCells count="15">
    <mergeCell ref="C1:E1"/>
    <mergeCell ref="A5:B6"/>
    <mergeCell ref="E5:E6"/>
    <mergeCell ref="A8:E8"/>
    <mergeCell ref="A46:B46"/>
    <mergeCell ref="A50:B50"/>
    <mergeCell ref="B59:E59"/>
    <mergeCell ref="A121:B121"/>
    <mergeCell ref="A129:B129"/>
    <mergeCell ref="A54:B54"/>
    <mergeCell ref="A75:B75"/>
    <mergeCell ref="A79:B80"/>
    <mergeCell ref="E79:E80"/>
    <mergeCell ref="A82:E82"/>
    <mergeCell ref="A104:B10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2"/>
  <headerFooter alignWithMargins="0">
    <oddFooter>&amp;C&amp;P. oldal</oddFooter>
  </headerFooter>
  <rowBreaks count="1" manualBreakCount="1">
    <brk id="66" max="4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workbookViewId="0" topLeftCell="A1">
      <selection activeCell="J42" sqref="J42"/>
    </sheetView>
  </sheetViews>
  <sheetFormatPr defaultColWidth="9.00390625" defaultRowHeight="12.75"/>
  <cols>
    <col min="1" max="1" width="3.25390625" style="1004" customWidth="1"/>
    <col min="2" max="2" width="78.625" style="1005" customWidth="1"/>
    <col min="3" max="3" width="10.00390625" style="1398" customWidth="1"/>
    <col min="4" max="4" width="11.125" style="1398" customWidth="1"/>
    <col min="5" max="16384" width="9.125" style="902" customWidth="1"/>
  </cols>
  <sheetData>
    <row r="1" spans="1:4" ht="13.5" customHeight="1">
      <c r="A1" s="1910" t="s">
        <v>14</v>
      </c>
      <c r="B1" s="1911"/>
      <c r="C1" s="1914" t="s">
        <v>1070</v>
      </c>
      <c r="D1" s="1915"/>
    </row>
    <row r="2" spans="1:4" ht="21.75" customHeight="1">
      <c r="A2" s="1912"/>
      <c r="B2" s="1913"/>
      <c r="C2" s="1105" t="s">
        <v>555</v>
      </c>
      <c r="D2" s="1106" t="s">
        <v>556</v>
      </c>
    </row>
    <row r="3" spans="1:4" ht="16.5" customHeight="1">
      <c r="A3" s="903" t="s">
        <v>210</v>
      </c>
      <c r="B3" s="1128" t="s">
        <v>711</v>
      </c>
      <c r="C3" s="1107">
        <f>SUM(C4:C8)</f>
        <v>603</v>
      </c>
      <c r="D3" s="1108">
        <f>SUM(D4:D8)</f>
        <v>49044815.55</v>
      </c>
    </row>
    <row r="4" spans="1:4" ht="12.75">
      <c r="A4" s="904">
        <v>1</v>
      </c>
      <c r="B4" s="905" t="s">
        <v>557</v>
      </c>
      <c r="C4" s="1109">
        <f>28</f>
        <v>28</v>
      </c>
      <c r="D4" s="1110">
        <f>C4*(300+335)/2*1.27*230</f>
        <v>2596769</v>
      </c>
    </row>
    <row r="5" spans="1:4" ht="12.75">
      <c r="A5" s="906">
        <v>2</v>
      </c>
      <c r="B5" s="907" t="s">
        <v>558</v>
      </c>
      <c r="C5" s="1111">
        <f>290</f>
        <v>290</v>
      </c>
      <c r="D5" s="1112">
        <f>C5*220*(285+315)/2*1.27</f>
        <v>24307800</v>
      </c>
    </row>
    <row r="6" spans="1:4" ht="12.75">
      <c r="A6" s="906">
        <v>3</v>
      </c>
      <c r="B6" s="905" t="s">
        <v>559</v>
      </c>
      <c r="C6" s="1109">
        <f>97+40+78+36</f>
        <v>251</v>
      </c>
      <c r="D6" s="1110">
        <f>(40+36/2)*185*(205+230)/2*1.27+(97+78/2)*185*1.27*(383+615)/2</f>
        <v>18908541.05</v>
      </c>
    </row>
    <row r="7" spans="1:4" ht="12.75">
      <c r="A7" s="906">
        <v>4</v>
      </c>
      <c r="B7" s="905" t="s">
        <v>560</v>
      </c>
      <c r="C7" s="1109">
        <f>1+1+17+3</f>
        <v>22</v>
      </c>
      <c r="D7" s="1110">
        <f>C7*185*(280+310)/2*1.27</f>
        <v>1524825.5</v>
      </c>
    </row>
    <row r="8" spans="1:4" ht="12.75">
      <c r="A8" s="906">
        <v>5</v>
      </c>
      <c r="B8" s="905" t="s">
        <v>561</v>
      </c>
      <c r="C8" s="1109">
        <f>0+12</f>
        <v>12</v>
      </c>
      <c r="D8" s="1110">
        <f>C8*200*(530+590)/2*1.27</f>
        <v>1706880</v>
      </c>
    </row>
    <row r="9" spans="1:4" ht="14.25" customHeight="1">
      <c r="A9" s="903" t="s">
        <v>213</v>
      </c>
      <c r="B9" s="1128" t="s">
        <v>562</v>
      </c>
      <c r="C9" s="1103">
        <v>0</v>
      </c>
      <c r="D9" s="1104">
        <v>0</v>
      </c>
    </row>
    <row r="10" spans="1:4" ht="25.5" customHeight="1">
      <c r="A10" s="903" t="s">
        <v>337</v>
      </c>
      <c r="B10" s="1129" t="s">
        <v>563</v>
      </c>
      <c r="C10" s="1091">
        <f>C13+C18+C19</f>
        <v>2992</v>
      </c>
      <c r="D10" s="1092">
        <f>D13+D18+D19</f>
        <v>22193154</v>
      </c>
    </row>
    <row r="11" spans="1:4" ht="12.75" customHeight="1">
      <c r="A11" s="908" t="s">
        <v>3</v>
      </c>
      <c r="B11" s="909" t="s">
        <v>564</v>
      </c>
      <c r="C11" s="1093"/>
      <c r="D11" s="1094"/>
    </row>
    <row r="12" spans="1:4" ht="12.75">
      <c r="A12" s="910"/>
      <c r="B12" s="911" t="s">
        <v>240</v>
      </c>
      <c r="C12" s="1095">
        <v>55</v>
      </c>
      <c r="D12" s="1096">
        <v>795841</v>
      </c>
    </row>
    <row r="13" spans="1:4" ht="15" customHeight="1">
      <c r="A13" s="912"/>
      <c r="B13" s="1130" t="s">
        <v>565</v>
      </c>
      <c r="C13" s="1097">
        <f>SUM(C12:C12)</f>
        <v>55</v>
      </c>
      <c r="D13" s="1098">
        <f>SUM(D12:D12)</f>
        <v>795841</v>
      </c>
    </row>
    <row r="14" spans="1:4" ht="12.75">
      <c r="A14" s="904" t="s">
        <v>4</v>
      </c>
      <c r="B14" s="909" t="s">
        <v>598</v>
      </c>
      <c r="C14" s="1093"/>
      <c r="D14" s="1094"/>
    </row>
    <row r="15" spans="1:4" ht="13.5">
      <c r="A15" s="904"/>
      <c r="B15" s="1002" t="s">
        <v>673</v>
      </c>
      <c r="C15" s="1089">
        <v>1924</v>
      </c>
      <c r="D15" s="1090">
        <v>9793740</v>
      </c>
    </row>
    <row r="16" spans="1:4" ht="13.5">
      <c r="A16" s="904"/>
      <c r="B16" s="1002" t="s">
        <v>674</v>
      </c>
      <c r="C16" s="1089">
        <v>635</v>
      </c>
      <c r="D16" s="1090">
        <v>8497004</v>
      </c>
    </row>
    <row r="17" spans="1:4" ht="13.5">
      <c r="A17" s="904"/>
      <c r="B17" s="1003" t="s">
        <v>675</v>
      </c>
      <c r="C17" s="1099">
        <f>108+58+1</f>
        <v>167</v>
      </c>
      <c r="D17" s="1100">
        <f>1042330+1259839+26400</f>
        <v>2328569</v>
      </c>
    </row>
    <row r="18" spans="1:4" ht="12.75">
      <c r="A18" s="904"/>
      <c r="B18" s="1130" t="s">
        <v>566</v>
      </c>
      <c r="C18" s="1097">
        <f>SUM(C15:C17)</f>
        <v>2726</v>
      </c>
      <c r="D18" s="1098">
        <f>SUM(D15:D17)</f>
        <v>20619313</v>
      </c>
    </row>
    <row r="19" spans="1:4" ht="13.5">
      <c r="A19" s="906" t="s">
        <v>5</v>
      </c>
      <c r="B19" s="913" t="s">
        <v>597</v>
      </c>
      <c r="C19" s="1101">
        <v>211</v>
      </c>
      <c r="D19" s="1102">
        <v>778000</v>
      </c>
    </row>
    <row r="20" spans="1:4" ht="12" customHeight="1">
      <c r="A20" s="914" t="s">
        <v>339</v>
      </c>
      <c r="B20" s="1131" t="s">
        <v>567</v>
      </c>
      <c r="C20" s="1245" t="s">
        <v>568</v>
      </c>
      <c r="D20" s="1246" t="s">
        <v>556</v>
      </c>
    </row>
    <row r="21" spans="1:4" ht="12.75" customHeight="1">
      <c r="A21" s="904" t="s">
        <v>3</v>
      </c>
      <c r="B21" s="915" t="s">
        <v>595</v>
      </c>
      <c r="C21" s="1247" t="s">
        <v>53</v>
      </c>
      <c r="D21" s="1248" t="s">
        <v>53</v>
      </c>
    </row>
    <row r="22" spans="1:4" ht="12.75">
      <c r="A22" s="904"/>
      <c r="B22" s="916" t="s">
        <v>1071</v>
      </c>
      <c r="C22" s="1089">
        <f>348+356+1620</f>
        <v>2324</v>
      </c>
      <c r="D22" s="1248">
        <f>2784000+712000+6480000</f>
        <v>9976000</v>
      </c>
    </row>
    <row r="23" spans="1:4" ht="12.75">
      <c r="A23" s="904"/>
      <c r="B23" s="916" t="s">
        <v>569</v>
      </c>
      <c r="C23" s="1247">
        <v>12</v>
      </c>
      <c r="D23" s="1248">
        <v>48000</v>
      </c>
    </row>
    <row r="24" spans="1:8" ht="12.75">
      <c r="A24" s="904"/>
      <c r="B24" s="916" t="s">
        <v>570</v>
      </c>
      <c r="C24" s="1247">
        <v>288</v>
      </c>
      <c r="D24" s="1248">
        <v>1728000</v>
      </c>
      <c r="H24" s="942"/>
    </row>
    <row r="25" spans="1:4" ht="13.5">
      <c r="A25" s="904" t="s">
        <v>4</v>
      </c>
      <c r="B25" s="915" t="s">
        <v>596</v>
      </c>
      <c r="C25" s="1089">
        <v>480</v>
      </c>
      <c r="D25" s="1090">
        <v>1920000</v>
      </c>
    </row>
    <row r="26" spans="1:4" ht="13.5">
      <c r="A26" s="917" t="s">
        <v>5</v>
      </c>
      <c r="B26" s="918" t="s">
        <v>594</v>
      </c>
      <c r="C26" s="1099">
        <v>680</v>
      </c>
      <c r="D26" s="1100">
        <v>2159000</v>
      </c>
    </row>
    <row r="27" spans="1:4" ht="12.75">
      <c r="A27" s="917"/>
      <c r="B27" s="918"/>
      <c r="C27" s="1099" t="s">
        <v>672</v>
      </c>
      <c r="D27" s="1100" t="s">
        <v>556</v>
      </c>
    </row>
    <row r="28" spans="1:4" ht="12.75">
      <c r="A28" s="917" t="s">
        <v>6</v>
      </c>
      <c r="B28" s="918" t="s">
        <v>870</v>
      </c>
      <c r="C28" s="1402">
        <v>365</v>
      </c>
      <c r="D28" s="1403">
        <v>127000</v>
      </c>
    </row>
    <row r="29" spans="1:6" ht="12.75">
      <c r="A29" s="917" t="s">
        <v>7</v>
      </c>
      <c r="B29" s="918" t="s">
        <v>871</v>
      </c>
      <c r="C29" s="1402">
        <v>365</v>
      </c>
      <c r="D29" s="1403">
        <v>254000</v>
      </c>
      <c r="F29" s="942"/>
    </row>
    <row r="30" spans="1:6" ht="12.75">
      <c r="A30" s="917" t="s">
        <v>8</v>
      </c>
      <c r="B30" s="918" t="s">
        <v>1079</v>
      </c>
      <c r="C30" s="1402">
        <v>306</v>
      </c>
      <c r="D30" s="1403">
        <v>181000</v>
      </c>
      <c r="F30" s="942"/>
    </row>
    <row r="31" spans="1:6" ht="12.75">
      <c r="A31" s="917" t="s">
        <v>9</v>
      </c>
      <c r="B31" s="918" t="s">
        <v>1080</v>
      </c>
      <c r="C31" s="1402">
        <v>276</v>
      </c>
      <c r="D31" s="1403">
        <v>84000</v>
      </c>
      <c r="F31" s="942"/>
    </row>
    <row r="32" spans="1:4" ht="12.75">
      <c r="A32" s="917" t="s">
        <v>10</v>
      </c>
      <c r="B32" s="1001" t="s">
        <v>872</v>
      </c>
      <c r="C32" s="1402">
        <v>365</v>
      </c>
      <c r="D32" s="1403">
        <v>156000</v>
      </c>
    </row>
    <row r="33" spans="1:4" ht="12.75">
      <c r="A33" s="917" t="s">
        <v>11</v>
      </c>
      <c r="B33" s="1001" t="s">
        <v>866</v>
      </c>
      <c r="C33" s="1402">
        <v>365</v>
      </c>
      <c r="D33" s="1403">
        <f>241000+1837000</f>
        <v>2078000</v>
      </c>
    </row>
    <row r="34" spans="1:4" ht="12.75">
      <c r="A34" s="917" t="s">
        <v>680</v>
      </c>
      <c r="B34" s="1001" t="s">
        <v>1081</v>
      </c>
      <c r="C34" s="1402">
        <v>334</v>
      </c>
      <c r="D34" s="1403">
        <v>204000</v>
      </c>
    </row>
    <row r="35" spans="1:4" ht="12.75">
      <c r="A35" s="917" t="s">
        <v>869</v>
      </c>
      <c r="B35" s="1001" t="s">
        <v>873</v>
      </c>
      <c r="C35" s="1402">
        <v>365</v>
      </c>
      <c r="D35" s="1403">
        <v>142000</v>
      </c>
    </row>
    <row r="36" spans="1:5" ht="12.75">
      <c r="A36" s="917" t="s">
        <v>1082</v>
      </c>
      <c r="B36" s="1001" t="s">
        <v>867</v>
      </c>
      <c r="C36" s="1402">
        <v>365</v>
      </c>
      <c r="D36" s="1403">
        <v>505000</v>
      </c>
      <c r="E36" s="942"/>
    </row>
    <row r="37" spans="1:4" ht="12.75">
      <c r="A37" s="917" t="s">
        <v>1083</v>
      </c>
      <c r="B37" s="1001" t="s">
        <v>868</v>
      </c>
      <c r="C37" s="1402">
        <v>365</v>
      </c>
      <c r="D37" s="1403">
        <v>1935000</v>
      </c>
    </row>
    <row r="38" spans="1:4" ht="12.75">
      <c r="A38" s="919"/>
      <c r="B38" s="1130" t="s">
        <v>1084</v>
      </c>
      <c r="C38" s="1404">
        <f>SUM(C21:C37)</f>
        <v>7255</v>
      </c>
      <c r="D38" s="1405">
        <f>SUM(D21:D37)</f>
        <v>21497000</v>
      </c>
    </row>
    <row r="39" spans="1:4" ht="15.75" customHeight="1">
      <c r="A39" s="903" t="s">
        <v>341</v>
      </c>
      <c r="B39" s="1129" t="s">
        <v>572</v>
      </c>
      <c r="C39" s="1083" t="s">
        <v>573</v>
      </c>
      <c r="D39" s="1084" t="s">
        <v>556</v>
      </c>
    </row>
    <row r="40" spans="1:4" ht="15.75" customHeight="1">
      <c r="A40" s="920" t="s">
        <v>3</v>
      </c>
      <c r="B40" s="921" t="s">
        <v>593</v>
      </c>
      <c r="C40" s="1085"/>
      <c r="D40" s="1086"/>
    </row>
    <row r="41" spans="1:4" ht="13.5" customHeight="1">
      <c r="A41" s="922" t="s">
        <v>53</v>
      </c>
      <c r="B41" s="923" t="s">
        <v>574</v>
      </c>
      <c r="C41" s="1087">
        <v>9498</v>
      </c>
      <c r="D41" s="1088">
        <v>2374500</v>
      </c>
    </row>
    <row r="42" spans="1:4" ht="14.25" customHeight="1">
      <c r="A42" s="1406" t="s">
        <v>53</v>
      </c>
      <c r="B42" s="1407" t="s">
        <v>575</v>
      </c>
      <c r="C42" s="1408">
        <v>8616</v>
      </c>
      <c r="D42" s="1409">
        <v>2154000</v>
      </c>
    </row>
    <row r="43" spans="1:4" ht="14.25" customHeight="1">
      <c r="A43" s="1410" t="s">
        <v>4</v>
      </c>
      <c r="B43" s="1411" t="s">
        <v>576</v>
      </c>
      <c r="C43" s="1412"/>
      <c r="D43" s="1413"/>
    </row>
    <row r="44" spans="1:4" ht="12" customHeight="1">
      <c r="A44" s="1406"/>
      <c r="B44" s="1407" t="s">
        <v>577</v>
      </c>
      <c r="C44" s="1414">
        <v>551</v>
      </c>
      <c r="D44" s="1409">
        <v>137750</v>
      </c>
    </row>
    <row r="45" spans="1:4" ht="12" customHeight="1">
      <c r="A45" s="1406"/>
      <c r="B45" s="1407" t="s">
        <v>578</v>
      </c>
      <c r="C45" s="1414">
        <v>1643</v>
      </c>
      <c r="D45" s="1409">
        <v>821500</v>
      </c>
    </row>
    <row r="46" spans="1:4" ht="12.75" customHeight="1">
      <c r="A46" s="1415"/>
      <c r="B46" s="1416" t="s">
        <v>571</v>
      </c>
      <c r="C46" s="1404">
        <f>C41+C42+C44+C45</f>
        <v>20308</v>
      </c>
      <c r="D46" s="1417">
        <f>D41+D42+D44+D45</f>
        <v>5487750</v>
      </c>
    </row>
    <row r="47" spans="1:4" ht="13.5" thickBot="1">
      <c r="A47" s="1916" t="s">
        <v>579</v>
      </c>
      <c r="B47" s="1917"/>
      <c r="C47" s="1418">
        <f>C3+C9+C10+C38+C46</f>
        <v>31158</v>
      </c>
      <c r="D47" s="1419">
        <f>D3+D9+D10+D38+D46</f>
        <v>98222719.55</v>
      </c>
    </row>
    <row r="48" spans="1:4" ht="12.75" customHeight="1">
      <c r="A48" s="1420" t="s">
        <v>580</v>
      </c>
      <c r="B48" s="1421"/>
      <c r="C48" s="1422"/>
      <c r="D48" s="1422"/>
    </row>
    <row r="49" spans="1:4" ht="13.5" customHeight="1">
      <c r="A49" s="1918" t="s">
        <v>1085</v>
      </c>
      <c r="B49" s="1919"/>
      <c r="C49" s="1919"/>
      <c r="D49" s="1919"/>
    </row>
    <row r="50" spans="1:5" ht="22.5" customHeight="1">
      <c r="A50" s="1903" t="s">
        <v>1086</v>
      </c>
      <c r="B50" s="1904"/>
      <c r="C50" s="1904"/>
      <c r="D50" s="1904"/>
      <c r="E50" s="924"/>
    </row>
    <row r="51" spans="1:5" ht="12.75" customHeight="1">
      <c r="A51" s="1903" t="s">
        <v>1087</v>
      </c>
      <c r="B51" s="1904"/>
      <c r="C51" s="1904"/>
      <c r="D51" s="1904"/>
      <c r="E51" s="924"/>
    </row>
    <row r="52" spans="1:5" ht="12.75" customHeight="1">
      <c r="A52" s="1905" t="s">
        <v>1088</v>
      </c>
      <c r="B52" s="1905"/>
      <c r="C52" s="1905"/>
      <c r="D52" s="1905"/>
      <c r="E52" s="925"/>
    </row>
    <row r="53" spans="1:5" ht="12.75" customHeight="1">
      <c r="A53" s="1906" t="s">
        <v>712</v>
      </c>
      <c r="B53" s="1906"/>
      <c r="C53" s="1906"/>
      <c r="D53" s="1906"/>
      <c r="E53" s="924"/>
    </row>
    <row r="54" spans="1:4" ht="21.75" customHeight="1">
      <c r="A54" s="1907" t="s">
        <v>713</v>
      </c>
      <c r="B54" s="1908"/>
      <c r="C54" s="1908"/>
      <c r="D54" s="1908"/>
    </row>
    <row r="55" spans="1:4" ht="15" customHeight="1">
      <c r="A55" s="1907" t="s">
        <v>714</v>
      </c>
      <c r="B55" s="1909"/>
      <c r="C55" s="1909"/>
      <c r="D55" s="1909"/>
    </row>
    <row r="56" spans="1:4" ht="12.75" customHeight="1">
      <c r="A56" s="1906" t="s">
        <v>715</v>
      </c>
      <c r="B56" s="1906"/>
      <c r="C56" s="1906"/>
      <c r="D56" s="1906"/>
    </row>
    <row r="57" spans="1:4" ht="12.75">
      <c r="A57" s="1244"/>
      <c r="B57" s="1244"/>
      <c r="C57" s="1397"/>
      <c r="D57" s="1397"/>
    </row>
  </sheetData>
  <sheetProtection/>
  <mergeCells count="11">
    <mergeCell ref="A1:B2"/>
    <mergeCell ref="C1:D1"/>
    <mergeCell ref="A47:B47"/>
    <mergeCell ref="A49:D49"/>
    <mergeCell ref="A50:D50"/>
    <mergeCell ref="A51:D51"/>
    <mergeCell ref="A52:D52"/>
    <mergeCell ref="A53:D53"/>
    <mergeCell ref="A54:D54"/>
    <mergeCell ref="A55:D55"/>
    <mergeCell ref="A56:D56"/>
  </mergeCells>
  <printOptions/>
  <pageMargins left="0.1968503937007874" right="0.1968503937007874" top="0.7874015748031497" bottom="0.5905511811023623" header="0.5118110236220472" footer="0.5118110236220472"/>
  <pageSetup horizontalDpi="120" verticalDpi="120" orientation="portrait" paperSize="9" scale="98" r:id="rId1"/>
  <headerFooter alignWithMargins="0">
    <oddHeader>&amp;C1. kimutatás: Az önkormányzat közvetett támogatásai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A10" sqref="A10"/>
    </sheetView>
  </sheetViews>
  <sheetFormatPr defaultColWidth="9.00390625" defaultRowHeight="12.75"/>
  <cols>
    <col min="1" max="1" width="38.625" style="926" customWidth="1"/>
    <col min="2" max="2" width="11.625" style="926" customWidth="1"/>
    <col min="3" max="3" width="13.375" style="926" customWidth="1"/>
    <col min="4" max="4" width="30.875" style="926" customWidth="1"/>
    <col min="5" max="9" width="9.125" style="875" customWidth="1"/>
    <col min="10" max="10" width="11.125" style="875" bestFit="1" customWidth="1"/>
    <col min="11" max="16384" width="9.125" style="875" customWidth="1"/>
  </cols>
  <sheetData>
    <row r="3" ht="13.5" thickBot="1">
      <c r="D3" s="927" t="s">
        <v>508</v>
      </c>
    </row>
    <row r="4" spans="1:4" ht="33.75" customHeight="1">
      <c r="A4" s="1921" t="s">
        <v>14</v>
      </c>
      <c r="B4" s="1923" t="s">
        <v>581</v>
      </c>
      <c r="C4" s="1925" t="s">
        <v>582</v>
      </c>
      <c r="D4" s="1927" t="s">
        <v>583</v>
      </c>
    </row>
    <row r="5" spans="1:4" ht="13.5" thickBot="1">
      <c r="A5" s="1922"/>
      <c r="B5" s="1924"/>
      <c r="C5" s="1926"/>
      <c r="D5" s="1928"/>
    </row>
    <row r="6" spans="1:4" ht="17.25" customHeight="1">
      <c r="A6" s="1929" t="s">
        <v>584</v>
      </c>
      <c r="B6" s="1930"/>
      <c r="C6" s="1930"/>
      <c r="D6" s="1931"/>
    </row>
    <row r="7" spans="1:4" ht="18" customHeight="1">
      <c r="A7" s="1228" t="s">
        <v>857</v>
      </c>
      <c r="B7" s="1229">
        <v>2020</v>
      </c>
      <c r="C7" s="1230">
        <v>250000000</v>
      </c>
      <c r="D7" s="1231" t="s">
        <v>585</v>
      </c>
    </row>
    <row r="8" spans="1:4" ht="45" customHeight="1">
      <c r="A8" s="1232" t="s">
        <v>858</v>
      </c>
      <c r="B8" s="1229">
        <v>2022</v>
      </c>
      <c r="C8" s="1230">
        <v>80000000</v>
      </c>
      <c r="D8" s="1233" t="s">
        <v>859</v>
      </c>
    </row>
    <row r="9" spans="1:4" ht="18" customHeight="1">
      <c r="A9" s="1234" t="s">
        <v>1062</v>
      </c>
      <c r="B9" s="1229"/>
      <c r="C9" s="1230">
        <v>62952383</v>
      </c>
      <c r="D9" s="1233"/>
    </row>
    <row r="10" spans="1:10" ht="18" customHeight="1">
      <c r="A10" s="1235" t="s">
        <v>860</v>
      </c>
      <c r="B10" s="1229">
        <v>2026</v>
      </c>
      <c r="C10" s="1230">
        <v>300000000</v>
      </c>
      <c r="D10" s="1233" t="s">
        <v>859</v>
      </c>
      <c r="J10" s="928"/>
    </row>
    <row r="11" spans="1:4" ht="18" customHeight="1">
      <c r="A11" s="1234" t="s">
        <v>1062</v>
      </c>
      <c r="B11" s="1229"/>
      <c r="C11" s="1230">
        <v>150000000</v>
      </c>
      <c r="D11" s="1233"/>
    </row>
    <row r="12" spans="1:4" ht="18" customHeight="1">
      <c r="A12" s="1390" t="s">
        <v>1063</v>
      </c>
      <c r="B12" s="1229">
        <v>2027</v>
      </c>
      <c r="C12" s="1230">
        <v>570000000</v>
      </c>
      <c r="D12" s="1391" t="s">
        <v>859</v>
      </c>
    </row>
    <row r="13" spans="1:4" ht="18" customHeight="1">
      <c r="A13" s="1234" t="s">
        <v>1062</v>
      </c>
      <c r="B13" s="1229"/>
      <c r="C13" s="1230">
        <v>0</v>
      </c>
      <c r="D13" s="1391"/>
    </row>
    <row r="14" spans="1:4" ht="15.75" customHeight="1">
      <c r="A14" s="1932" t="s">
        <v>586</v>
      </c>
      <c r="B14" s="1933"/>
      <c r="C14" s="1933"/>
      <c r="D14" s="1934"/>
    </row>
    <row r="15" spans="1:4" ht="26.25" customHeight="1">
      <c r="A15" s="1236" t="s">
        <v>861</v>
      </c>
      <c r="B15" s="1237" t="s">
        <v>587</v>
      </c>
      <c r="C15" s="1238">
        <f>16550-1000-1800</f>
        <v>13750</v>
      </c>
      <c r="D15" s="1239" t="s">
        <v>862</v>
      </c>
    </row>
    <row r="16" spans="1:6" ht="16.5" customHeight="1" thickBot="1">
      <c r="A16" s="1392" t="s">
        <v>588</v>
      </c>
      <c r="B16" s="1240" t="s">
        <v>589</v>
      </c>
      <c r="C16" s="1241">
        <f>1207-20-184-95-98-391</f>
        <v>419</v>
      </c>
      <c r="D16" s="1393" t="s">
        <v>590</v>
      </c>
      <c r="F16" s="928"/>
    </row>
    <row r="17" spans="1:5" ht="25.5" customHeight="1">
      <c r="A17" s="1920" t="s">
        <v>53</v>
      </c>
      <c r="B17" s="1920"/>
      <c r="C17" s="1920"/>
      <c r="D17" s="1242"/>
      <c r="E17" s="929"/>
    </row>
    <row r="18" spans="1:5" ht="24" customHeight="1">
      <c r="A18" s="1935" t="s">
        <v>53</v>
      </c>
      <c r="B18" s="1920"/>
      <c r="C18" s="1920"/>
      <c r="D18" s="929"/>
      <c r="E18" s="929"/>
    </row>
    <row r="19" spans="1:5" ht="24" customHeight="1">
      <c r="A19" s="1936" t="s">
        <v>53</v>
      </c>
      <c r="B19" s="1937"/>
      <c r="C19" s="1937"/>
      <c r="D19" s="930"/>
      <c r="E19" s="930"/>
    </row>
    <row r="20" spans="1:5" ht="35.25" customHeight="1">
      <c r="A20" s="1920" t="s">
        <v>53</v>
      </c>
      <c r="B20" s="1920"/>
      <c r="C20" s="1920"/>
      <c r="D20" s="929"/>
      <c r="E20" s="929"/>
    </row>
    <row r="140" ht="13.5" customHeight="1"/>
  </sheetData>
  <sheetProtection/>
  <mergeCells count="10">
    <mergeCell ref="A20:C20"/>
    <mergeCell ref="A4:A5"/>
    <mergeCell ref="B4:B5"/>
    <mergeCell ref="C4:C5"/>
    <mergeCell ref="D4:D5"/>
    <mergeCell ref="A6:D6"/>
    <mergeCell ref="A14:D14"/>
    <mergeCell ref="A17:C17"/>
    <mergeCell ref="A18:C18"/>
    <mergeCell ref="A19:C19"/>
  </mergeCells>
  <printOptions/>
  <pageMargins left="0.75" right="0.75" top="1" bottom="1" header="0.5" footer="0.5"/>
  <pageSetup horizontalDpi="120" verticalDpi="120" orientation="portrait" paperSize="9" scale="87" r:id="rId1"/>
  <headerFooter alignWithMargins="0">
    <oddHeader>&amp;C2. kimutatás: Az önkormányzat adósságállományának, önkormányzat által nyújtott kölcsön állományának lejárat, cél szerinti bontásban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3.375" style="1080" customWidth="1"/>
    <col min="2" max="2" width="62.125" style="803" customWidth="1"/>
    <col min="3" max="3" width="12.375" style="799" customWidth="1"/>
    <col min="4" max="4" width="12.75390625" style="810" customWidth="1"/>
    <col min="5" max="5" width="13.125" style="799" customWidth="1"/>
    <col min="6" max="6" width="12.875" style="799" customWidth="1"/>
    <col min="7" max="7" width="18.00390625" style="0" customWidth="1"/>
    <col min="10" max="10" width="11.75390625" style="0" bestFit="1" customWidth="1"/>
  </cols>
  <sheetData>
    <row r="2" ht="20.25" customHeight="1">
      <c r="G2" s="808" t="s">
        <v>508</v>
      </c>
    </row>
    <row r="3" spans="1:7" s="804" customFormat="1" ht="54.75" customHeight="1">
      <c r="A3" s="802"/>
      <c r="B3" s="802"/>
      <c r="C3" s="1066" t="s">
        <v>630</v>
      </c>
      <c r="D3" s="1066" t="s">
        <v>506</v>
      </c>
      <c r="E3" s="1066" t="s">
        <v>507</v>
      </c>
      <c r="F3" s="1066" t="s">
        <v>1044</v>
      </c>
      <c r="G3" s="1066" t="s">
        <v>1072</v>
      </c>
    </row>
    <row r="4" spans="1:7" s="1079" customFormat="1" ht="14.25" customHeight="1">
      <c r="A4" s="1081">
        <v>1</v>
      </c>
      <c r="B4" s="1078" t="s">
        <v>792</v>
      </c>
      <c r="C4" s="807">
        <v>105187233</v>
      </c>
      <c r="D4" s="1113">
        <v>105187233</v>
      </c>
      <c r="E4" s="807">
        <v>105187233</v>
      </c>
      <c r="F4" s="807">
        <v>0</v>
      </c>
      <c r="G4" s="807">
        <f>D4-E4-F4</f>
        <v>0</v>
      </c>
    </row>
    <row r="5" spans="1:7" s="1079" customFormat="1" ht="14.25" customHeight="1">
      <c r="A5" s="1081">
        <v>2</v>
      </c>
      <c r="B5" s="1078" t="s">
        <v>1073</v>
      </c>
      <c r="C5" s="807">
        <v>223563150</v>
      </c>
      <c r="D5" s="1113">
        <f>226251094+1582633</f>
        <v>227833727</v>
      </c>
      <c r="E5" s="807">
        <v>227293577</v>
      </c>
      <c r="F5" s="807">
        <v>0</v>
      </c>
      <c r="G5" s="807">
        <f>E5-D5</f>
        <v>-540150</v>
      </c>
    </row>
    <row r="6" spans="1:7" s="411" customFormat="1" ht="13.5" customHeight="1">
      <c r="A6" s="1938">
        <v>3</v>
      </c>
      <c r="B6" s="805" t="s">
        <v>791</v>
      </c>
      <c r="C6" s="806">
        <v>54660960</v>
      </c>
      <c r="D6" s="1114">
        <v>54660960</v>
      </c>
      <c r="E6" s="806">
        <v>54660960</v>
      </c>
      <c r="F6" s="979">
        <v>0</v>
      </c>
      <c r="G6" s="979">
        <v>0</v>
      </c>
    </row>
    <row r="7" spans="1:7" s="411" customFormat="1" ht="12.75" customHeight="1">
      <c r="A7" s="1939"/>
      <c r="B7" s="805" t="s">
        <v>788</v>
      </c>
      <c r="C7" s="806">
        <v>46272640</v>
      </c>
      <c r="D7" s="1114">
        <v>41696640</v>
      </c>
      <c r="E7" s="806">
        <v>41696640</v>
      </c>
      <c r="F7" s="979">
        <v>0</v>
      </c>
      <c r="G7" s="979">
        <f>E7-D7</f>
        <v>0</v>
      </c>
    </row>
    <row r="8" spans="1:7" s="411" customFormat="1" ht="13.5" customHeight="1">
      <c r="A8" s="1939"/>
      <c r="B8" s="805" t="s">
        <v>790</v>
      </c>
      <c r="C8" s="806">
        <f>60535237+450414</f>
        <v>60985651</v>
      </c>
      <c r="D8" s="1114">
        <f>60535237+4875806+450414-169974</f>
        <v>65691483</v>
      </c>
      <c r="E8" s="806">
        <v>66159195</v>
      </c>
      <c r="F8" s="979">
        <v>0</v>
      </c>
      <c r="G8" s="979">
        <f>E8-D8</f>
        <v>467712</v>
      </c>
    </row>
    <row r="9" spans="1:7" s="1079" customFormat="1" ht="27.75" customHeight="1">
      <c r="A9" s="1940"/>
      <c r="B9" s="1078" t="s">
        <v>863</v>
      </c>
      <c r="C9" s="807">
        <f>SUM(C6:C8)</f>
        <v>161919251</v>
      </c>
      <c r="D9" s="1113">
        <f>SUM(D6:D8)</f>
        <v>162049083</v>
      </c>
      <c r="E9" s="807">
        <f>SUM(E6:E8)</f>
        <v>162516795</v>
      </c>
      <c r="F9" s="807">
        <v>0</v>
      </c>
      <c r="G9" s="807">
        <f>E9-D9</f>
        <v>467712</v>
      </c>
    </row>
    <row r="10" spans="1:7" s="411" customFormat="1" ht="12.75">
      <c r="A10" s="1938">
        <v>5</v>
      </c>
      <c r="B10" s="805" t="s">
        <v>892</v>
      </c>
      <c r="C10" s="806">
        <v>0</v>
      </c>
      <c r="D10" s="1114">
        <v>3189000</v>
      </c>
      <c r="E10" s="806">
        <v>0</v>
      </c>
      <c r="F10" s="806">
        <v>3189000</v>
      </c>
      <c r="G10" s="979">
        <f>D10-E10-F10</f>
        <v>0</v>
      </c>
    </row>
    <row r="11" spans="1:7" s="411" customFormat="1" ht="12.75">
      <c r="A11" s="1939"/>
      <c r="B11" s="805" t="s">
        <v>1035</v>
      </c>
      <c r="C11" s="806">
        <v>0</v>
      </c>
      <c r="D11" s="1114">
        <v>9000000</v>
      </c>
      <c r="E11" s="806">
        <v>0</v>
      </c>
      <c r="F11" s="806">
        <v>9000000</v>
      </c>
      <c r="G11" s="979">
        <f>D11-E11-F11</f>
        <v>0</v>
      </c>
    </row>
    <row r="12" spans="1:7" s="411" customFormat="1" ht="12.75">
      <c r="A12" s="1939"/>
      <c r="B12" s="805" t="s">
        <v>1036</v>
      </c>
      <c r="C12" s="806">
        <v>0</v>
      </c>
      <c r="D12" s="1114">
        <v>1383938</v>
      </c>
      <c r="E12" s="806">
        <v>1383938</v>
      </c>
      <c r="F12" s="806">
        <v>0</v>
      </c>
      <c r="G12" s="979">
        <f aca="true" t="shared" si="0" ref="G12:G17">D12-E12-F12</f>
        <v>0</v>
      </c>
    </row>
    <row r="13" spans="1:7" s="411" customFormat="1" ht="12.75">
      <c r="A13" s="1939"/>
      <c r="B13" s="805" t="s">
        <v>1037</v>
      </c>
      <c r="C13" s="806">
        <v>0</v>
      </c>
      <c r="D13" s="1114">
        <v>91197</v>
      </c>
      <c r="E13" s="806">
        <v>91197</v>
      </c>
      <c r="F13" s="806">
        <v>0</v>
      </c>
      <c r="G13" s="979">
        <f t="shared" si="0"/>
        <v>0</v>
      </c>
    </row>
    <row r="14" spans="1:7" s="411" customFormat="1" ht="12.75">
      <c r="A14" s="1939"/>
      <c r="B14" s="805" t="s">
        <v>1038</v>
      </c>
      <c r="C14" s="806">
        <v>0</v>
      </c>
      <c r="D14" s="1114">
        <v>587121</v>
      </c>
      <c r="E14" s="806">
        <v>587121</v>
      </c>
      <c r="F14" s="806">
        <v>0</v>
      </c>
      <c r="G14" s="979">
        <f t="shared" si="0"/>
        <v>0</v>
      </c>
    </row>
    <row r="15" spans="1:7" s="411" customFormat="1" ht="12.75">
      <c r="A15" s="1939"/>
      <c r="B15" s="805" t="s">
        <v>1034</v>
      </c>
      <c r="C15" s="806">
        <v>0</v>
      </c>
      <c r="D15" s="1114">
        <v>20378452</v>
      </c>
      <c r="E15" s="806">
        <v>20378452</v>
      </c>
      <c r="F15" s="806">
        <v>0</v>
      </c>
      <c r="G15" s="979">
        <f t="shared" si="0"/>
        <v>0</v>
      </c>
    </row>
    <row r="16" spans="1:7" s="411" customFormat="1" ht="25.5">
      <c r="A16" s="1939"/>
      <c r="B16" s="805" t="s">
        <v>786</v>
      </c>
      <c r="C16" s="806">
        <v>16506060</v>
      </c>
      <c r="D16" s="1114">
        <v>16506060</v>
      </c>
      <c r="E16" s="806">
        <v>16506060</v>
      </c>
      <c r="F16" s="806">
        <v>0</v>
      </c>
      <c r="G16" s="979">
        <f t="shared" si="0"/>
        <v>0</v>
      </c>
    </row>
    <row r="17" spans="1:7" s="411" customFormat="1" ht="25.5">
      <c r="A17" s="1939"/>
      <c r="B17" s="805" t="s">
        <v>695</v>
      </c>
      <c r="C17" s="806">
        <v>0</v>
      </c>
      <c r="D17" s="1114">
        <v>1236565</v>
      </c>
      <c r="E17" s="806">
        <v>1236565</v>
      </c>
      <c r="F17" s="806">
        <v>0</v>
      </c>
      <c r="G17" s="979">
        <f t="shared" si="0"/>
        <v>0</v>
      </c>
    </row>
    <row r="18" spans="1:7" s="411" customFormat="1" ht="25.5">
      <c r="A18" s="1939"/>
      <c r="B18" s="805" t="s">
        <v>1039</v>
      </c>
      <c r="C18" s="806">
        <v>0</v>
      </c>
      <c r="D18" s="1114">
        <v>3917327</v>
      </c>
      <c r="E18" s="806">
        <v>3171571</v>
      </c>
      <c r="F18" s="806">
        <v>0</v>
      </c>
      <c r="G18" s="979">
        <f aca="true" t="shared" si="1" ref="G18:G23">-(D18-E18-F18)</f>
        <v>-745756</v>
      </c>
    </row>
    <row r="19" spans="1:7" s="411" customFormat="1" ht="12.75">
      <c r="A19" s="1939"/>
      <c r="B19" s="805" t="s">
        <v>1045</v>
      </c>
      <c r="C19" s="806">
        <v>0</v>
      </c>
      <c r="D19" s="1114">
        <v>4042675</v>
      </c>
      <c r="E19" s="806">
        <v>3905063</v>
      </c>
      <c r="F19" s="806">
        <v>0</v>
      </c>
      <c r="G19" s="979">
        <f t="shared" si="1"/>
        <v>-137612</v>
      </c>
    </row>
    <row r="20" spans="1:7" s="411" customFormat="1" ht="25.5">
      <c r="A20" s="1939"/>
      <c r="B20" s="805" t="s">
        <v>1040</v>
      </c>
      <c r="C20" s="806">
        <v>0</v>
      </c>
      <c r="D20" s="1114">
        <v>4949052</v>
      </c>
      <c r="E20" s="806">
        <v>4949052</v>
      </c>
      <c r="F20" s="806">
        <v>0</v>
      </c>
      <c r="G20" s="979">
        <f t="shared" si="1"/>
        <v>0</v>
      </c>
    </row>
    <row r="21" spans="1:7" s="411" customFormat="1" ht="25.5">
      <c r="A21" s="1939"/>
      <c r="B21" s="805" t="s">
        <v>1041</v>
      </c>
      <c r="C21" s="806">
        <v>0</v>
      </c>
      <c r="D21" s="1114">
        <v>585158</v>
      </c>
      <c r="E21" s="806">
        <v>585158</v>
      </c>
      <c r="F21" s="806">
        <v>0</v>
      </c>
      <c r="G21" s="979">
        <f t="shared" si="1"/>
        <v>0</v>
      </c>
    </row>
    <row r="22" spans="1:7" s="411" customFormat="1" ht="12.75">
      <c r="A22" s="1939"/>
      <c r="B22" s="805" t="s">
        <v>1042</v>
      </c>
      <c r="C22" s="806">
        <v>0</v>
      </c>
      <c r="D22" s="1114">
        <v>7340000</v>
      </c>
      <c r="E22" s="806">
        <v>7340000</v>
      </c>
      <c r="F22" s="806">
        <v>0</v>
      </c>
      <c r="G22" s="979">
        <f t="shared" si="1"/>
        <v>0</v>
      </c>
    </row>
    <row r="23" spans="1:7" s="411" customFormat="1" ht="12.75">
      <c r="A23" s="1939"/>
      <c r="B23" s="805" t="s">
        <v>1043</v>
      </c>
      <c r="C23" s="806">
        <v>0</v>
      </c>
      <c r="D23" s="1114">
        <v>500000</v>
      </c>
      <c r="E23" s="806"/>
      <c r="F23" s="806">
        <v>500000</v>
      </c>
      <c r="G23" s="979">
        <f t="shared" si="1"/>
        <v>0</v>
      </c>
    </row>
    <row r="24" spans="1:7" s="1079" customFormat="1" ht="25.5">
      <c r="A24" s="1940"/>
      <c r="B24" s="1078" t="s">
        <v>787</v>
      </c>
      <c r="C24" s="807">
        <f>SUM(C10:C23)</f>
        <v>16506060</v>
      </c>
      <c r="D24" s="1113">
        <f>SUM(D10:D23)</f>
        <v>73706545</v>
      </c>
      <c r="E24" s="807">
        <f>SUM(E10:E23)</f>
        <v>60134177</v>
      </c>
      <c r="F24" s="807">
        <f>SUM(F10:F23)</f>
        <v>12689000</v>
      </c>
      <c r="G24" s="807">
        <f>SUM(G10:G23)</f>
        <v>-883368</v>
      </c>
    </row>
    <row r="25" spans="1:7" s="947" customFormat="1" ht="15">
      <c r="A25" s="1082"/>
      <c r="B25" s="945" t="s">
        <v>789</v>
      </c>
      <c r="C25" s="946">
        <f>C4+C5+C9+C24</f>
        <v>507175694</v>
      </c>
      <c r="D25" s="946">
        <f>D4+D5+D9+D24</f>
        <v>568776588</v>
      </c>
      <c r="E25" s="946">
        <f>E4+E5+E9+E24</f>
        <v>555131782</v>
      </c>
      <c r="F25" s="946">
        <f>F4+F5+F9+F24</f>
        <v>12689000</v>
      </c>
      <c r="G25" s="946">
        <f>G4+G5+G9+G24</f>
        <v>-955806</v>
      </c>
    </row>
    <row r="26" ht="12.75">
      <c r="G26" s="799"/>
    </row>
    <row r="27" ht="12.75">
      <c r="G27" s="799"/>
    </row>
    <row r="28" spans="4:6" ht="12.75">
      <c r="D28"/>
      <c r="F28"/>
    </row>
    <row r="29" spans="4:6" ht="12.75">
      <c r="D29"/>
      <c r="E29"/>
      <c r="F29"/>
    </row>
    <row r="30" spans="4:6" ht="12.75">
      <c r="D30" s="799"/>
      <c r="E30"/>
      <c r="F30"/>
    </row>
    <row r="31" spans="4:6" ht="12.75">
      <c r="D31"/>
      <c r="E31"/>
      <c r="F31"/>
    </row>
    <row r="32" spans="4:6" ht="12.75">
      <c r="D32" s="799"/>
      <c r="E32"/>
      <c r="F32"/>
    </row>
  </sheetData>
  <sheetProtection/>
  <mergeCells count="2">
    <mergeCell ref="A6:A9"/>
    <mergeCell ref="A10:A2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56"/>
  <sheetViews>
    <sheetView view="pageBreakPreview" zoomScaleSheetLayoutView="100" zoomScalePageLayoutView="0" workbookViewId="0" topLeftCell="A1">
      <selection activeCell="L25" sqref="L25"/>
    </sheetView>
  </sheetViews>
  <sheetFormatPr defaultColWidth="9.00390625" defaultRowHeight="12.75"/>
  <cols>
    <col min="1" max="1" width="4.125" style="621" customWidth="1"/>
    <col min="2" max="2" width="51.375" style="41" customWidth="1"/>
    <col min="3" max="3" width="11.375" style="636" hidden="1" customWidth="1"/>
    <col min="4" max="4" width="11.375" style="636" customWidth="1"/>
    <col min="5" max="5" width="11.625" style="636" customWidth="1"/>
    <col min="6" max="6" width="10.75390625" style="637" customWidth="1"/>
    <col min="7" max="16384" width="9.125" style="1" customWidth="1"/>
  </cols>
  <sheetData>
    <row r="2" spans="1:6" ht="12.75" customHeight="1">
      <c r="A2" s="1941" t="s">
        <v>1074</v>
      </c>
      <c r="B2" s="1941"/>
      <c r="C2" s="1941"/>
      <c r="D2" s="1941"/>
      <c r="E2" s="1941"/>
      <c r="F2" s="1941"/>
    </row>
    <row r="4" spans="3:6" ht="13.5" thickBot="1">
      <c r="C4" s="622"/>
      <c r="D4" s="622"/>
      <c r="E4" s="622"/>
      <c r="F4" s="986" t="s">
        <v>875</v>
      </c>
    </row>
    <row r="5" spans="1:6" ht="5.25" customHeight="1">
      <c r="A5" s="42"/>
      <c r="B5" s="43"/>
      <c r="C5" s="44"/>
      <c r="D5" s="44"/>
      <c r="E5" s="44"/>
      <c r="F5" s="45"/>
    </row>
    <row r="6" spans="1:6" s="2" customFormat="1" ht="12.75" customHeight="1">
      <c r="A6" s="1443" t="s">
        <v>14</v>
      </c>
      <c r="B6" s="1444"/>
      <c r="C6" s="1942">
        <v>2016</v>
      </c>
      <c r="D6" s="1942">
        <v>2018</v>
      </c>
      <c r="E6" s="1943">
        <v>2019</v>
      </c>
      <c r="F6" s="1944">
        <v>2020</v>
      </c>
    </row>
    <row r="7" spans="1:6" s="2" customFormat="1" ht="12.75" customHeight="1">
      <c r="A7" s="1443"/>
      <c r="B7" s="1444"/>
      <c r="C7" s="1942"/>
      <c r="D7" s="1942"/>
      <c r="E7" s="1943"/>
      <c r="F7" s="1944"/>
    </row>
    <row r="8" spans="1:6" ht="4.5" customHeight="1" thickBot="1">
      <c r="A8" s="48"/>
      <c r="B8" s="49"/>
      <c r="C8" s="50"/>
      <c r="D8" s="50"/>
      <c r="E8" s="50"/>
      <c r="F8" s="51"/>
    </row>
    <row r="9" spans="1:6" ht="13.5" customHeight="1" thickBot="1">
      <c r="A9" s="1446" t="s">
        <v>19</v>
      </c>
      <c r="B9" s="1447"/>
      <c r="C9" s="1447"/>
      <c r="D9" s="1447"/>
      <c r="E9" s="1447"/>
      <c r="F9" s="1448"/>
    </row>
    <row r="10" spans="1:6" s="3" customFormat="1" ht="25.5" customHeight="1">
      <c r="A10" s="46" t="s">
        <v>20</v>
      </c>
      <c r="B10" s="52" t="s">
        <v>666</v>
      </c>
      <c r="C10" s="987">
        <f>'[1]2.mell'!C12</f>
        <v>101714</v>
      </c>
      <c r="D10" s="987">
        <v>135377789</v>
      </c>
      <c r="E10" s="987">
        <v>136000000</v>
      </c>
      <c r="F10" s="1067">
        <v>138000000</v>
      </c>
    </row>
    <row r="11" spans="1:6" s="3" customFormat="1" ht="12.75" customHeight="1">
      <c r="A11" s="46"/>
      <c r="B11" s="56" t="s">
        <v>105</v>
      </c>
      <c r="C11" s="57">
        <f>'[1]2.mell'!C13</f>
        <v>31905</v>
      </c>
      <c r="D11" s="711">
        <v>54044000</v>
      </c>
      <c r="E11" s="711">
        <v>55000000</v>
      </c>
      <c r="F11" s="1068">
        <v>56000000</v>
      </c>
    </row>
    <row r="12" spans="1:6" s="3" customFormat="1" ht="27.75" customHeight="1">
      <c r="A12" s="46" t="s">
        <v>21</v>
      </c>
      <c r="B12" s="59" t="s">
        <v>667</v>
      </c>
      <c r="C12" s="711"/>
      <c r="D12" s="711"/>
      <c r="E12" s="711"/>
      <c r="F12" s="1068"/>
    </row>
    <row r="13" spans="1:6" s="4" customFormat="1" ht="12" customHeight="1">
      <c r="A13" s="60" t="s">
        <v>3</v>
      </c>
      <c r="B13" s="61" t="s">
        <v>287</v>
      </c>
      <c r="C13" s="711">
        <f>'[1]2.mell'!C15</f>
        <v>785678</v>
      </c>
      <c r="D13" s="711">
        <v>817344513</v>
      </c>
      <c r="E13" s="711">
        <v>830000000</v>
      </c>
      <c r="F13" s="1068">
        <v>835000000</v>
      </c>
    </row>
    <row r="14" spans="1:7" s="4" customFormat="1" ht="12" customHeight="1">
      <c r="A14" s="60" t="s">
        <v>4</v>
      </c>
      <c r="B14" s="988" t="s">
        <v>288</v>
      </c>
      <c r="C14" s="711">
        <f>'[1]2.mell'!D16</f>
        <v>35526</v>
      </c>
      <c r="D14" s="711">
        <v>597762659</v>
      </c>
      <c r="E14" s="711">
        <v>500000000</v>
      </c>
      <c r="F14" s="1068">
        <v>510000000</v>
      </c>
      <c r="G14" s="492"/>
    </row>
    <row r="15" spans="1:6" s="4" customFormat="1" ht="12" customHeight="1">
      <c r="A15" s="60" t="s">
        <v>5</v>
      </c>
      <c r="B15" s="61" t="s">
        <v>102</v>
      </c>
      <c r="C15" s="711">
        <f>'[1]2.mell'!C17</f>
        <v>591500</v>
      </c>
      <c r="D15" s="711">
        <v>721200000</v>
      </c>
      <c r="E15" s="711">
        <v>735000000</v>
      </c>
      <c r="F15" s="1068">
        <v>745000000</v>
      </c>
    </row>
    <row r="16" spans="1:6" s="4" customFormat="1" ht="12" customHeight="1">
      <c r="A16" s="60" t="s">
        <v>6</v>
      </c>
      <c r="B16" s="63" t="s">
        <v>289</v>
      </c>
      <c r="C16" s="711">
        <f>'[1]2.mell'!C18</f>
        <v>93362</v>
      </c>
      <c r="D16" s="711">
        <v>112698955</v>
      </c>
      <c r="E16" s="711">
        <v>114000000</v>
      </c>
      <c r="F16" s="1068">
        <v>116000000</v>
      </c>
    </row>
    <row r="17" spans="1:6" s="4" customFormat="1" ht="12" customHeight="1">
      <c r="A17" s="60" t="s">
        <v>7</v>
      </c>
      <c r="B17" s="63" t="s">
        <v>290</v>
      </c>
      <c r="C17" s="711">
        <f>'[1]2.mell'!D19</f>
        <v>0</v>
      </c>
      <c r="D17" s="711">
        <f aca="true" t="shared" si="0" ref="D17:F18">C17*1.02</f>
        <v>0</v>
      </c>
      <c r="E17" s="711">
        <f t="shared" si="0"/>
        <v>0</v>
      </c>
      <c r="F17" s="1068">
        <f t="shared" si="0"/>
        <v>0</v>
      </c>
    </row>
    <row r="18" spans="1:6" s="4" customFormat="1" ht="12" customHeight="1">
      <c r="A18" s="60" t="s">
        <v>8</v>
      </c>
      <c r="B18" s="63" t="s">
        <v>291</v>
      </c>
      <c r="C18" s="711">
        <f>'[1]2.mell'!C20</f>
        <v>0</v>
      </c>
      <c r="D18" s="711">
        <f t="shared" si="0"/>
        <v>0</v>
      </c>
      <c r="E18" s="711">
        <f t="shared" si="0"/>
        <v>0</v>
      </c>
      <c r="F18" s="1068">
        <f t="shared" si="0"/>
        <v>0</v>
      </c>
    </row>
    <row r="19" spans="1:6" s="4" customFormat="1" ht="12" customHeight="1" thickBot="1">
      <c r="A19" s="60" t="s">
        <v>9</v>
      </c>
      <c r="B19" s="63" t="s">
        <v>205</v>
      </c>
      <c r="C19" s="54">
        <f>'[1]2.mell'!D21</f>
        <v>2500</v>
      </c>
      <c r="D19" s="54">
        <v>1800000</v>
      </c>
      <c r="E19" s="54">
        <v>1800000</v>
      </c>
      <c r="F19" s="1069">
        <v>1800000</v>
      </c>
    </row>
    <row r="20" spans="1:6" s="5" customFormat="1" ht="14.25" customHeight="1" thickBot="1" thickTop="1">
      <c r="A20" s="1435" t="s">
        <v>119</v>
      </c>
      <c r="B20" s="1436"/>
      <c r="C20" s="484">
        <f>SUM(C13:C19)</f>
        <v>1508566</v>
      </c>
      <c r="D20" s="484">
        <f>SUM(D13:D19)</f>
        <v>2250806127</v>
      </c>
      <c r="E20" s="484">
        <f>SUM(E13:E19)</f>
        <v>2180800000</v>
      </c>
      <c r="F20" s="485">
        <f>SUM(F13:F19)</f>
        <v>2207800000</v>
      </c>
    </row>
    <row r="21" spans="1:6" s="6" customFormat="1" ht="15" customHeight="1" thickBot="1" thickTop="1">
      <c r="A21" s="1439" t="s">
        <v>668</v>
      </c>
      <c r="B21" s="1440"/>
      <c r="C21" s="496">
        <f>SUM(C10)+C20</f>
        <v>1610280</v>
      </c>
      <c r="D21" s="496">
        <f>SUM(D10)+D20</f>
        <v>2386183916</v>
      </c>
      <c r="E21" s="496">
        <f>SUM(E10)+E20</f>
        <v>2316800000</v>
      </c>
      <c r="F21" s="498">
        <f>SUM(F10)+F20</f>
        <v>2345800000</v>
      </c>
    </row>
    <row r="22" spans="1:9" s="6" customFormat="1" ht="30.75" customHeight="1" thickBot="1" thickTop="1">
      <c r="A22" s="1945" t="s">
        <v>669</v>
      </c>
      <c r="B22" s="1946"/>
      <c r="C22" s="496">
        <f>C21-C44</f>
        <v>-1228125</v>
      </c>
      <c r="D22" s="496">
        <f>D21-D44</f>
        <v>-2787240888</v>
      </c>
      <c r="E22" s="496">
        <f>E21-E44</f>
        <v>-825200000</v>
      </c>
      <c r="F22" s="498">
        <f>F21-F44</f>
        <v>-423200000</v>
      </c>
      <c r="H22" s="26"/>
      <c r="I22" s="26"/>
    </row>
    <row r="23" spans="1:8" s="6" customFormat="1" ht="18.75" customHeight="1" thickTop="1">
      <c r="A23" s="628" t="s">
        <v>25</v>
      </c>
      <c r="B23" s="83" t="s">
        <v>293</v>
      </c>
      <c r="C23" s="395"/>
      <c r="D23" s="395"/>
      <c r="E23" s="395"/>
      <c r="F23" s="483"/>
      <c r="H23" s="26"/>
    </row>
    <row r="24" spans="1:10" s="6" customFormat="1" ht="30" customHeight="1">
      <c r="A24" s="629" t="s">
        <v>3</v>
      </c>
      <c r="B24" s="989" t="s">
        <v>670</v>
      </c>
      <c r="C24" s="30">
        <f>'[1]2.mell'!E26</f>
        <v>1246432</v>
      </c>
      <c r="D24" s="30">
        <v>1061114558</v>
      </c>
      <c r="E24" s="30">
        <v>575200000</v>
      </c>
      <c r="F24" s="1070">
        <v>173200000</v>
      </c>
      <c r="H24" s="26"/>
      <c r="I24" s="26"/>
      <c r="J24" s="26"/>
    </row>
    <row r="25" spans="1:10" s="6" customFormat="1" ht="30" customHeight="1">
      <c r="A25" s="648" t="s">
        <v>4</v>
      </c>
      <c r="B25" s="1399" t="s">
        <v>1075</v>
      </c>
      <c r="C25" s="31"/>
      <c r="D25" s="31">
        <v>4324000000</v>
      </c>
      <c r="E25" s="31">
        <v>3000000000</v>
      </c>
      <c r="F25" s="73">
        <v>1500000000</v>
      </c>
      <c r="H25" s="26"/>
      <c r="I25" s="26"/>
      <c r="J25" s="26"/>
    </row>
    <row r="26" spans="1:8" s="6" customFormat="1" ht="27.75" customHeight="1" thickBot="1">
      <c r="A26" s="648" t="s">
        <v>5</v>
      </c>
      <c r="B26" s="990" t="s">
        <v>1076</v>
      </c>
      <c r="C26" s="729">
        <f>'[1]2.mell'!E27</f>
        <v>5000000</v>
      </c>
      <c r="D26" s="729">
        <v>420000000</v>
      </c>
      <c r="E26" s="729">
        <v>250000000</v>
      </c>
      <c r="F26" s="730">
        <v>250000000</v>
      </c>
      <c r="H26" s="26"/>
    </row>
    <row r="27" spans="1:6" s="630" customFormat="1" ht="18" customHeight="1" thickBot="1" thickTop="1">
      <c r="A27" s="1441" t="s">
        <v>294</v>
      </c>
      <c r="B27" s="1442"/>
      <c r="C27" s="496">
        <f>C21+C24+C26</f>
        <v>7856712</v>
      </c>
      <c r="D27" s="496">
        <f>D21+D24+D26+D25</f>
        <v>8191298474</v>
      </c>
      <c r="E27" s="496">
        <f>E21+E24+E26+E25</f>
        <v>6142000000</v>
      </c>
      <c r="F27" s="498">
        <f>F21+F24+F26+F25</f>
        <v>4269000000</v>
      </c>
    </row>
    <row r="28" spans="1:6" s="2" customFormat="1" ht="13.5" thickTop="1">
      <c r="A28" s="1443" t="s">
        <v>14</v>
      </c>
      <c r="B28" s="1444"/>
      <c r="C28" s="47" t="s">
        <v>15</v>
      </c>
      <c r="D28" s="47"/>
      <c r="E28" s="47"/>
      <c r="F28" s="1445"/>
    </row>
    <row r="29" spans="1:6" s="2" customFormat="1" ht="12.75">
      <c r="A29" s="1443"/>
      <c r="B29" s="1444"/>
      <c r="C29" s="47" t="s">
        <v>18</v>
      </c>
      <c r="D29" s="47"/>
      <c r="E29" s="47"/>
      <c r="F29" s="1445"/>
    </row>
    <row r="30" spans="1:6" ht="4.5" customHeight="1" thickBot="1">
      <c r="A30" s="48"/>
      <c r="B30" s="77"/>
      <c r="C30" s="50"/>
      <c r="D30" s="50"/>
      <c r="E30" s="50"/>
      <c r="F30" s="51"/>
    </row>
    <row r="31" spans="1:6" ht="13.5" customHeight="1" thickBot="1">
      <c r="A31" s="1446" t="s">
        <v>22</v>
      </c>
      <c r="B31" s="1447"/>
      <c r="C31" s="1447"/>
      <c r="D31" s="1447"/>
      <c r="E31" s="1447"/>
      <c r="F31" s="1448"/>
    </row>
    <row r="32" spans="1:6" s="3" customFormat="1" ht="11.25" customHeight="1">
      <c r="A32" s="46" t="s">
        <v>20</v>
      </c>
      <c r="B32" s="78" t="s">
        <v>109</v>
      </c>
      <c r="C32" s="631"/>
      <c r="D32" s="631"/>
      <c r="E32" s="631"/>
      <c r="F32" s="633"/>
    </row>
    <row r="33" spans="1:6" s="4" customFormat="1" ht="13.5" customHeight="1">
      <c r="A33" s="60" t="s">
        <v>3</v>
      </c>
      <c r="B33" s="61" t="s">
        <v>12</v>
      </c>
      <c r="C33" s="62">
        <f>'[1]2.mell'!C34</f>
        <v>585068</v>
      </c>
      <c r="D33" s="62">
        <v>786068752</v>
      </c>
      <c r="E33" s="62">
        <v>800000000</v>
      </c>
      <c r="F33" s="1071">
        <v>815000000</v>
      </c>
    </row>
    <row r="34" spans="1:6" s="4" customFormat="1" ht="13.5" customHeight="1">
      <c r="A34" s="60" t="s">
        <v>4</v>
      </c>
      <c r="B34" s="63" t="s">
        <v>108</v>
      </c>
      <c r="C34" s="62">
        <f>'[1]2.mell'!C35</f>
        <v>155518</v>
      </c>
      <c r="D34" s="62">
        <v>159933124</v>
      </c>
      <c r="E34" s="62">
        <v>162000000</v>
      </c>
      <c r="F34" s="1071">
        <v>165000000</v>
      </c>
    </row>
    <row r="35" spans="1:6" s="4" customFormat="1" ht="13.5" customHeight="1">
      <c r="A35" s="60" t="s">
        <v>5</v>
      </c>
      <c r="B35" s="63" t="s">
        <v>13</v>
      </c>
      <c r="C35" s="62">
        <f>'[1]2.mell'!C36</f>
        <v>785713</v>
      </c>
      <c r="D35" s="62">
        <v>1039567484</v>
      </c>
      <c r="E35" s="62">
        <v>1000000000</v>
      </c>
      <c r="F35" s="1071">
        <v>1020000000</v>
      </c>
    </row>
    <row r="36" spans="1:8" s="4" customFormat="1" ht="13.5" customHeight="1">
      <c r="A36" s="60" t="s">
        <v>6</v>
      </c>
      <c r="B36" s="110" t="s">
        <v>89</v>
      </c>
      <c r="C36" s="62">
        <f>'[1]2.mell'!C37</f>
        <v>8450</v>
      </c>
      <c r="D36" s="62">
        <v>10780000</v>
      </c>
      <c r="E36" s="62">
        <v>10000000</v>
      </c>
      <c r="F36" s="1071">
        <v>10000000</v>
      </c>
      <c r="H36" s="492"/>
    </row>
    <row r="37" spans="1:9" s="4" customFormat="1" ht="13.5" customHeight="1" thickBot="1">
      <c r="A37" s="60" t="s">
        <v>8</v>
      </c>
      <c r="B37" s="991" t="s">
        <v>86</v>
      </c>
      <c r="C37" s="62">
        <f>'[1]2.mell'!C38</f>
        <v>575046</v>
      </c>
      <c r="D37" s="62">
        <v>248247372</v>
      </c>
      <c r="E37" s="62">
        <v>250000000</v>
      </c>
      <c r="F37" s="1071">
        <v>255000000</v>
      </c>
      <c r="I37" s="492"/>
    </row>
    <row r="38" spans="1:6" s="5" customFormat="1" ht="14.25" customHeight="1" thickBot="1" thickTop="1">
      <c r="A38" s="1435" t="s">
        <v>110</v>
      </c>
      <c r="B38" s="1436"/>
      <c r="C38" s="484">
        <f>SUM(C33:C37)</f>
        <v>2109795</v>
      </c>
      <c r="D38" s="484">
        <f>SUM(D33:D37)</f>
        <v>2244596732</v>
      </c>
      <c r="E38" s="484">
        <f>SUM(E33:E37)</f>
        <v>2222000000</v>
      </c>
      <c r="F38" s="485">
        <f>SUM(F33:F37)</f>
        <v>2265000000</v>
      </c>
    </row>
    <row r="39" spans="1:6" s="3" customFormat="1" ht="15" customHeight="1" thickTop="1">
      <c r="A39" s="46" t="s">
        <v>21</v>
      </c>
      <c r="B39" s="78" t="s">
        <v>111</v>
      </c>
      <c r="C39" s="992"/>
      <c r="D39" s="992"/>
      <c r="E39" s="992"/>
      <c r="F39" s="1070"/>
    </row>
    <row r="40" spans="1:6" s="4" customFormat="1" ht="13.5" customHeight="1">
      <c r="A40" s="60" t="s">
        <v>3</v>
      </c>
      <c r="B40" s="61" t="s">
        <v>23</v>
      </c>
      <c r="C40" s="62">
        <f>'[1]2.mell'!D41</f>
        <v>592184</v>
      </c>
      <c r="D40" s="62">
        <v>2348128482</v>
      </c>
      <c r="E40" s="62">
        <v>600000000</v>
      </c>
      <c r="F40" s="1071">
        <v>300000000</v>
      </c>
    </row>
    <row r="41" spans="1:6" s="4" customFormat="1" ht="12" customHeight="1">
      <c r="A41" s="60" t="s">
        <v>4</v>
      </c>
      <c r="B41" s="63" t="s">
        <v>24</v>
      </c>
      <c r="C41" s="64">
        <f>'[1]2.mell'!D42</f>
        <v>117159</v>
      </c>
      <c r="D41" s="62">
        <v>293675555</v>
      </c>
      <c r="E41" s="62">
        <v>300000000</v>
      </c>
      <c r="F41" s="1071">
        <v>200000000</v>
      </c>
    </row>
    <row r="42" spans="1:6" s="4" customFormat="1" ht="12" customHeight="1" thickBot="1">
      <c r="A42" s="60" t="s">
        <v>5</v>
      </c>
      <c r="B42" s="63" t="s">
        <v>30</v>
      </c>
      <c r="C42" s="64">
        <f>'[1]2.mell'!D43</f>
        <v>19267</v>
      </c>
      <c r="D42" s="62">
        <v>287024035</v>
      </c>
      <c r="E42" s="62">
        <v>20000000</v>
      </c>
      <c r="F42" s="1071">
        <v>4000000</v>
      </c>
    </row>
    <row r="43" spans="1:9" s="5" customFormat="1" ht="12.75" customHeight="1" thickBot="1" thickTop="1">
      <c r="A43" s="1435" t="s">
        <v>112</v>
      </c>
      <c r="B43" s="1436"/>
      <c r="C43" s="484">
        <f>SUM(C40:C42)</f>
        <v>728610</v>
      </c>
      <c r="D43" s="484">
        <f>SUM(D40:D42)</f>
        <v>2928828072</v>
      </c>
      <c r="E43" s="484">
        <f>SUM(E40:E42)</f>
        <v>920000000</v>
      </c>
      <c r="F43" s="485">
        <f>SUM(F40:F42)</f>
        <v>504000000</v>
      </c>
      <c r="G43" s="727"/>
      <c r="H43" s="727"/>
      <c r="I43" s="727"/>
    </row>
    <row r="44" spans="1:9" s="5" customFormat="1" ht="12.75" customHeight="1" thickBot="1" thickTop="1">
      <c r="A44" s="1439" t="s">
        <v>671</v>
      </c>
      <c r="B44" s="1440"/>
      <c r="C44" s="444">
        <f>C38+C43</f>
        <v>2838405</v>
      </c>
      <c r="D44" s="444">
        <f>D38+D43</f>
        <v>5173424804</v>
      </c>
      <c r="E44" s="444">
        <f>E38+E43</f>
        <v>3142000000</v>
      </c>
      <c r="F44" s="486">
        <f>F38+F43</f>
        <v>2769000000</v>
      </c>
      <c r="G44" s="727"/>
      <c r="H44" s="727"/>
      <c r="I44" s="727"/>
    </row>
    <row r="45" spans="1:6" s="5" customFormat="1" ht="12.75" customHeight="1" thickTop="1">
      <c r="A45" s="84" t="s">
        <v>25</v>
      </c>
      <c r="B45" s="85"/>
      <c r="C45" s="444"/>
      <c r="D45" s="444"/>
      <c r="E45" s="444"/>
      <c r="F45" s="482"/>
    </row>
    <row r="46" spans="1:6" s="5" customFormat="1" ht="12.75" customHeight="1">
      <c r="A46" s="86"/>
      <c r="B46" s="89" t="s">
        <v>61</v>
      </c>
      <c r="C46" s="69">
        <f>'[1]2.mell'!E47</f>
        <v>5018307</v>
      </c>
      <c r="D46" s="69">
        <v>3017873670</v>
      </c>
      <c r="E46" s="69">
        <v>3000000000</v>
      </c>
      <c r="F46" s="81">
        <v>1500000000</v>
      </c>
    </row>
    <row r="47" spans="1:6" s="5" customFormat="1" ht="6.75" customHeight="1" thickBot="1">
      <c r="A47" s="87"/>
      <c r="B47" s="993"/>
      <c r="C47" s="488"/>
      <c r="D47" s="488"/>
      <c r="E47" s="488"/>
      <c r="F47" s="1072"/>
    </row>
    <row r="48" spans="1:9" s="6" customFormat="1" ht="15" customHeight="1" thickBot="1" thickTop="1">
      <c r="A48" s="1437" t="s">
        <v>295</v>
      </c>
      <c r="B48" s="1438"/>
      <c r="C48" s="489">
        <f>SUM(C38,C43)+C46</f>
        <v>7856712</v>
      </c>
      <c r="D48" s="489">
        <f>SUM(D38,D43)+D46</f>
        <v>8191298474</v>
      </c>
      <c r="E48" s="489">
        <f>SUM(E38,E43)+E46</f>
        <v>6142000000</v>
      </c>
      <c r="F48" s="345">
        <f>SUM(F38,F43)+F46</f>
        <v>4269000000</v>
      </c>
      <c r="I48" s="26"/>
    </row>
    <row r="49" spans="3:9" ht="12.75">
      <c r="C49" s="994"/>
      <c r="D49" s="994"/>
      <c r="E49" s="994"/>
      <c r="F49" s="994"/>
      <c r="I49" s="995"/>
    </row>
    <row r="50" spans="3:6" ht="12.75">
      <c r="C50" s="996"/>
      <c r="D50" s="996"/>
      <c r="E50" s="996"/>
      <c r="F50" s="996"/>
    </row>
    <row r="51" spans="3:6" ht="12.75">
      <c r="C51" s="994"/>
      <c r="D51" s="994"/>
      <c r="E51" s="994"/>
      <c r="F51" s="994"/>
    </row>
    <row r="52" spans="3:6" ht="12.75">
      <c r="C52" s="994">
        <f>C27-C48</f>
        <v>0</v>
      </c>
      <c r="D52" s="994">
        <f>D27-D48</f>
        <v>0</v>
      </c>
      <c r="E52" s="994">
        <f>E27-E48</f>
        <v>0</v>
      </c>
      <c r="F52" s="994">
        <f>F27-F48</f>
        <v>0</v>
      </c>
    </row>
    <row r="53" spans="3:6" ht="12.75">
      <c r="C53" s="994"/>
      <c r="D53" s="994"/>
      <c r="E53" s="994"/>
      <c r="F53" s="994"/>
    </row>
    <row r="56" spans="3:7" ht="12.75">
      <c r="C56" s="996"/>
      <c r="D56" s="996"/>
      <c r="E56" s="996"/>
      <c r="F56" s="996"/>
      <c r="G56" s="997"/>
    </row>
  </sheetData>
  <sheetProtection/>
  <mergeCells count="18">
    <mergeCell ref="A31:F31"/>
    <mergeCell ref="A38:B38"/>
    <mergeCell ref="A43:B43"/>
    <mergeCell ref="A44:B44"/>
    <mergeCell ref="A48:B48"/>
    <mergeCell ref="A9:F9"/>
    <mergeCell ref="A20:B20"/>
    <mergeCell ref="A21:B21"/>
    <mergeCell ref="A22:B22"/>
    <mergeCell ref="A27:B27"/>
    <mergeCell ref="A28:B29"/>
    <mergeCell ref="F28:F29"/>
    <mergeCell ref="A2:F2"/>
    <mergeCell ref="A6:B7"/>
    <mergeCell ref="C6:C7"/>
    <mergeCell ref="D6:D7"/>
    <mergeCell ref="E6:E7"/>
    <mergeCell ref="F6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543"/>
  <sheetViews>
    <sheetView view="pageBreakPreview" zoomScaleSheetLayoutView="100" workbookViewId="0" topLeftCell="A1">
      <selection activeCell="A380" sqref="A380:D380"/>
    </sheetView>
  </sheetViews>
  <sheetFormatPr defaultColWidth="9.00390625" defaultRowHeight="12" customHeight="1"/>
  <cols>
    <col min="1" max="1" width="3.125" style="510" customWidth="1"/>
    <col min="2" max="2" width="3.875" style="510" customWidth="1"/>
    <col min="3" max="3" width="11.125" style="510" customWidth="1"/>
    <col min="4" max="4" width="11.625" style="510" customWidth="1"/>
    <col min="5" max="5" width="62.625" style="138" customWidth="1"/>
    <col min="6" max="6" width="12.75390625" style="618" customWidth="1"/>
    <col min="7" max="7" width="12.25390625" style="618" customWidth="1"/>
    <col min="8" max="8" width="13.00390625" style="618" customWidth="1"/>
    <col min="9" max="9" width="15.625" style="7" customWidth="1"/>
    <col min="10" max="11" width="12.625" style="1043" customWidth="1"/>
    <col min="12" max="15" width="12.625" style="7" customWidth="1"/>
    <col min="16" max="16384" width="9.125" style="7" customWidth="1"/>
  </cols>
  <sheetData>
    <row r="1" spans="5:8" ht="12" customHeight="1">
      <c r="E1" s="1535" t="s">
        <v>1094</v>
      </c>
      <c r="F1" s="1535"/>
      <c r="G1" s="1535"/>
      <c r="H1" s="1535"/>
    </row>
    <row r="2" spans="1:8" ht="15" customHeight="1">
      <c r="A2" s="511"/>
      <c r="B2" s="511"/>
      <c r="C2" s="511"/>
      <c r="D2" s="511"/>
      <c r="E2" s="95"/>
      <c r="F2" s="512"/>
      <c r="G2" s="512"/>
      <c r="H2" s="512"/>
    </row>
    <row r="3" spans="1:8" ht="14.25" customHeight="1" thickBot="1">
      <c r="A3" s="513"/>
      <c r="B3" s="513"/>
      <c r="C3" s="513"/>
      <c r="D3" s="513"/>
      <c r="E3" s="96"/>
      <c r="F3" s="97"/>
      <c r="G3" s="97"/>
      <c r="H3" s="180" t="s">
        <v>793</v>
      </c>
    </row>
    <row r="4" spans="1:8" ht="21" customHeight="1">
      <c r="A4" s="514"/>
      <c r="B4" s="515"/>
      <c r="C4" s="1536" t="s">
        <v>207</v>
      </c>
      <c r="D4" s="1538" t="s">
        <v>185</v>
      </c>
      <c r="E4" s="1540" t="s">
        <v>26</v>
      </c>
      <c r="F4" s="1542" t="s">
        <v>208</v>
      </c>
      <c r="G4" s="1542" t="s">
        <v>1033</v>
      </c>
      <c r="H4" s="1519" t="s">
        <v>17</v>
      </c>
    </row>
    <row r="5" spans="1:8" ht="19.5" customHeight="1" thickBot="1">
      <c r="A5" s="516"/>
      <c r="B5" s="517"/>
      <c r="C5" s="1537"/>
      <c r="D5" s="1539"/>
      <c r="E5" s="1541"/>
      <c r="F5" s="1543"/>
      <c r="G5" s="1543"/>
      <c r="H5" s="1520"/>
    </row>
    <row r="6" spans="1:8" ht="21" customHeight="1" thickBot="1">
      <c r="A6" s="1457" t="s">
        <v>209</v>
      </c>
      <c r="B6" s="1458"/>
      <c r="C6" s="1458"/>
      <c r="D6" s="1458"/>
      <c r="E6" s="1458"/>
      <c r="F6" s="1458"/>
      <c r="G6" s="1458"/>
      <c r="H6" s="1459"/>
    </row>
    <row r="7" spans="1:11" s="8" customFormat="1" ht="18" customHeight="1">
      <c r="A7" s="518" t="s">
        <v>210</v>
      </c>
      <c r="B7" s="519"/>
      <c r="C7" s="520"/>
      <c r="D7" s="1547" t="s">
        <v>124</v>
      </c>
      <c r="E7" s="1547"/>
      <c r="F7" s="1547"/>
      <c r="G7" s="1547"/>
      <c r="H7" s="1548"/>
      <c r="J7" s="1044"/>
      <c r="K7" s="1044"/>
    </row>
    <row r="8" spans="1:8" ht="6" customHeight="1">
      <c r="A8" s="521"/>
      <c r="B8" s="511"/>
      <c r="C8" s="511"/>
      <c r="D8" s="511"/>
      <c r="E8" s="522"/>
      <c r="F8" s="523"/>
      <c r="G8" s="523"/>
      <c r="H8" s="524"/>
    </row>
    <row r="9" spans="1:8" ht="12.75" customHeight="1">
      <c r="A9" s="525" t="s">
        <v>3</v>
      </c>
      <c r="B9" s="526"/>
      <c r="C9" s="526"/>
      <c r="D9" s="526"/>
      <c r="E9" s="620" t="s">
        <v>125</v>
      </c>
      <c r="F9" s="107"/>
      <c r="G9" s="128"/>
      <c r="H9" s="119"/>
    </row>
    <row r="10" spans="1:8" ht="12.75" customHeight="1">
      <c r="A10" s="521"/>
      <c r="B10" s="529"/>
      <c r="C10" s="529"/>
      <c r="D10" s="529"/>
      <c r="E10" s="53" t="s">
        <v>144</v>
      </c>
      <c r="F10" s="107">
        <f>F14+F18</f>
        <v>68462000</v>
      </c>
      <c r="G10" s="107">
        <f aca="true" t="shared" si="0" ref="F10:G12">G14+G18</f>
        <v>0</v>
      </c>
      <c r="H10" s="119">
        <f>F10+G10</f>
        <v>68462000</v>
      </c>
    </row>
    <row r="11" spans="1:8" ht="12.75" customHeight="1">
      <c r="A11" s="521"/>
      <c r="B11" s="529"/>
      <c r="C11" s="529"/>
      <c r="D11" s="529"/>
      <c r="E11" s="53" t="s">
        <v>145</v>
      </c>
      <c r="F11" s="107">
        <f t="shared" si="0"/>
        <v>67159426</v>
      </c>
      <c r="G11" s="107">
        <f t="shared" si="0"/>
        <v>0</v>
      </c>
      <c r="H11" s="119">
        <f aca="true" t="shared" si="1" ref="H11:H32">F11+G11</f>
        <v>67159426</v>
      </c>
    </row>
    <row r="12" spans="1:8" ht="12.75" customHeight="1">
      <c r="A12" s="521"/>
      <c r="B12" s="529"/>
      <c r="C12" s="529"/>
      <c r="D12" s="529"/>
      <c r="E12" s="210" t="s">
        <v>146</v>
      </c>
      <c r="F12" s="107">
        <f t="shared" si="0"/>
        <v>68543036</v>
      </c>
      <c r="G12" s="107">
        <f t="shared" si="0"/>
        <v>0</v>
      </c>
      <c r="H12" s="119">
        <f t="shared" si="1"/>
        <v>68543036</v>
      </c>
    </row>
    <row r="13" spans="1:11" s="21" customFormat="1" ht="12.75" customHeight="1">
      <c r="A13" s="527"/>
      <c r="B13" s="528"/>
      <c r="C13" s="529"/>
      <c r="D13" s="528" t="s">
        <v>106</v>
      </c>
      <c r="E13" s="116" t="s">
        <v>190</v>
      </c>
      <c r="F13" s="117"/>
      <c r="G13" s="530"/>
      <c r="H13" s="119"/>
      <c r="J13" s="1045"/>
      <c r="K13" s="1045"/>
    </row>
    <row r="14" spans="1:11" s="21" customFormat="1" ht="12.75" customHeight="1">
      <c r="A14" s="527"/>
      <c r="B14" s="528"/>
      <c r="C14" s="529"/>
      <c r="D14" s="528"/>
      <c r="E14" s="53" t="s">
        <v>144</v>
      </c>
      <c r="F14" s="117">
        <f>'4.int.bev '!D10+'4.int.bev '!D22+'4.int.bev '!D35</f>
        <v>6862000</v>
      </c>
      <c r="G14" s="530"/>
      <c r="H14" s="119">
        <f t="shared" si="1"/>
        <v>6862000</v>
      </c>
      <c r="J14" s="1045"/>
      <c r="K14" s="1045"/>
    </row>
    <row r="15" spans="1:11" s="21" customFormat="1" ht="12.75" customHeight="1">
      <c r="A15" s="527"/>
      <c r="B15" s="528"/>
      <c r="C15" s="529"/>
      <c r="D15" s="528"/>
      <c r="E15" s="53" t="s">
        <v>145</v>
      </c>
      <c r="F15" s="117">
        <f>'4.int.bev '!D11+'4.int.bev '!D23+'4.int.bev '!D36</f>
        <v>6800000</v>
      </c>
      <c r="G15" s="530"/>
      <c r="H15" s="119">
        <f t="shared" si="1"/>
        <v>6800000</v>
      </c>
      <c r="J15" s="1045"/>
      <c r="K15" s="1045"/>
    </row>
    <row r="16" spans="1:11" s="21" customFormat="1" ht="12.75" customHeight="1">
      <c r="A16" s="527"/>
      <c r="B16" s="528"/>
      <c r="C16" s="529"/>
      <c r="D16" s="528"/>
      <c r="E16" s="210" t="s">
        <v>146</v>
      </c>
      <c r="F16" s="117">
        <f>'4.int.bev '!D12+'4.int.bev '!D24+'4.int.bev '!D37</f>
        <v>7249065</v>
      </c>
      <c r="G16" s="530"/>
      <c r="H16" s="119">
        <f t="shared" si="1"/>
        <v>7249065</v>
      </c>
      <c r="J16" s="1045"/>
      <c r="K16" s="1045"/>
    </row>
    <row r="17" spans="1:11" s="21" customFormat="1" ht="12.75" customHeight="1">
      <c r="A17" s="527"/>
      <c r="B17" s="528"/>
      <c r="C17" s="529"/>
      <c r="D17" s="528" t="s">
        <v>107</v>
      </c>
      <c r="E17" s="116" t="s">
        <v>184</v>
      </c>
      <c r="F17" s="117"/>
      <c r="G17" s="530"/>
      <c r="H17" s="119"/>
      <c r="J17" s="1045"/>
      <c r="K17" s="1045"/>
    </row>
    <row r="18" spans="1:11" s="21" customFormat="1" ht="12.75" customHeight="1">
      <c r="A18" s="527"/>
      <c r="B18" s="528"/>
      <c r="C18" s="529"/>
      <c r="D18" s="528"/>
      <c r="E18" s="53" t="s">
        <v>144</v>
      </c>
      <c r="F18" s="117">
        <f>'4.int.bev '!D14+'4.int.bev '!D27+'4.int.bev '!D31</f>
        <v>61600000</v>
      </c>
      <c r="G18" s="530"/>
      <c r="H18" s="119">
        <f t="shared" si="1"/>
        <v>61600000</v>
      </c>
      <c r="J18" s="1045"/>
      <c r="K18" s="1045"/>
    </row>
    <row r="19" spans="1:11" s="21" customFormat="1" ht="12.75" customHeight="1">
      <c r="A19" s="527"/>
      <c r="B19" s="528"/>
      <c r="C19" s="529"/>
      <c r="D19" s="528"/>
      <c r="E19" s="53" t="s">
        <v>145</v>
      </c>
      <c r="F19" s="117">
        <f>'4.int.bev '!D15+'4.int.bev '!D28+'4.int.bev '!D32</f>
        <v>60359426</v>
      </c>
      <c r="G19" s="530"/>
      <c r="H19" s="119">
        <f t="shared" si="1"/>
        <v>60359426</v>
      </c>
      <c r="J19" s="1045"/>
      <c r="K19" s="1045"/>
    </row>
    <row r="20" spans="1:11" s="21" customFormat="1" ht="12.75" customHeight="1">
      <c r="A20" s="531"/>
      <c r="B20" s="532"/>
      <c r="C20" s="533"/>
      <c r="D20" s="532"/>
      <c r="E20" s="210" t="s">
        <v>146</v>
      </c>
      <c r="F20" s="117">
        <f>'4.int.bev '!D16+'4.int.bev '!D29+'4.int.bev '!D33</f>
        <v>61293971</v>
      </c>
      <c r="G20" s="530"/>
      <c r="H20" s="119">
        <f t="shared" si="1"/>
        <v>61293971</v>
      </c>
      <c r="J20" s="1045"/>
      <c r="K20" s="1045"/>
    </row>
    <row r="21" spans="1:8" ht="12.75" customHeight="1">
      <c r="A21" s="521" t="s">
        <v>4</v>
      </c>
      <c r="B21" s="529"/>
      <c r="C21" s="529"/>
      <c r="D21" s="529"/>
      <c r="E21" s="420" t="s">
        <v>719</v>
      </c>
      <c r="F21" s="107"/>
      <c r="G21" s="128"/>
      <c r="H21" s="119"/>
    </row>
    <row r="22" spans="1:8" ht="12.75" customHeight="1">
      <c r="A22" s="521"/>
      <c r="B22" s="529"/>
      <c r="C22" s="529"/>
      <c r="D22" s="529"/>
      <c r="E22" s="53" t="s">
        <v>144</v>
      </c>
      <c r="F22" s="107">
        <f aca="true" t="shared" si="2" ref="F22:G24">F26+F30</f>
        <v>44822000</v>
      </c>
      <c r="G22" s="107">
        <f t="shared" si="2"/>
        <v>800000</v>
      </c>
      <c r="H22" s="119">
        <f t="shared" si="1"/>
        <v>45622000</v>
      </c>
    </row>
    <row r="23" spans="1:8" ht="12.75" customHeight="1">
      <c r="A23" s="521"/>
      <c r="B23" s="529"/>
      <c r="C23" s="529"/>
      <c r="D23" s="529"/>
      <c r="E23" s="53" t="s">
        <v>145</v>
      </c>
      <c r="F23" s="107">
        <f>F27+F31</f>
        <v>93714342</v>
      </c>
      <c r="G23" s="107">
        <f>G27+G31</f>
        <v>4386240</v>
      </c>
      <c r="H23" s="119">
        <f t="shared" si="1"/>
        <v>98100582</v>
      </c>
    </row>
    <row r="24" spans="1:8" ht="12.75" customHeight="1">
      <c r="A24" s="521"/>
      <c r="B24" s="529"/>
      <c r="C24" s="529"/>
      <c r="D24" s="529"/>
      <c r="E24" s="210" t="s">
        <v>146</v>
      </c>
      <c r="F24" s="107">
        <f t="shared" si="2"/>
        <v>92676186</v>
      </c>
      <c r="G24" s="107">
        <f t="shared" si="2"/>
        <v>4386240</v>
      </c>
      <c r="H24" s="119">
        <f t="shared" si="1"/>
        <v>97062426</v>
      </c>
    </row>
    <row r="25" spans="1:8" ht="12.75" customHeight="1">
      <c r="A25" s="521"/>
      <c r="B25" s="529"/>
      <c r="C25" s="529"/>
      <c r="D25" s="529" t="s">
        <v>106</v>
      </c>
      <c r="E25" s="116" t="s">
        <v>190</v>
      </c>
      <c r="F25" s="117"/>
      <c r="G25" s="530"/>
      <c r="H25" s="119"/>
    </row>
    <row r="26" spans="1:8" ht="12.75" customHeight="1">
      <c r="A26" s="521"/>
      <c r="B26" s="529"/>
      <c r="C26" s="529"/>
      <c r="D26" s="529"/>
      <c r="E26" s="53" t="s">
        <v>144</v>
      </c>
      <c r="F26" s="117">
        <f>'4.int.bev '!F10+'4.int.bev '!F22</f>
        <v>43188000</v>
      </c>
      <c r="G26" s="530"/>
      <c r="H26" s="119">
        <f t="shared" si="1"/>
        <v>43188000</v>
      </c>
    </row>
    <row r="27" spans="1:8" ht="12.75" customHeight="1">
      <c r="A27" s="521"/>
      <c r="B27" s="529"/>
      <c r="C27" s="529"/>
      <c r="D27" s="529"/>
      <c r="E27" s="53" t="s">
        <v>145</v>
      </c>
      <c r="F27" s="117">
        <f>'4.int.bev '!F11+'4.int.bev '!F23</f>
        <v>54853222</v>
      </c>
      <c r="G27" s="530">
        <f>'4.int.bev '!E23</f>
        <v>82000</v>
      </c>
      <c r="H27" s="119">
        <f t="shared" si="1"/>
        <v>54935222</v>
      </c>
    </row>
    <row r="28" spans="1:8" ht="12.75" customHeight="1">
      <c r="A28" s="521"/>
      <c r="B28" s="529"/>
      <c r="C28" s="529"/>
      <c r="D28" s="529"/>
      <c r="E28" s="210" t="s">
        <v>146</v>
      </c>
      <c r="F28" s="117">
        <f>'4.int.bev '!F12+'4.int.bev '!F24</f>
        <v>54132961</v>
      </c>
      <c r="G28" s="530">
        <f>'4.int.bev '!E24</f>
        <v>82000</v>
      </c>
      <c r="H28" s="119">
        <f t="shared" si="1"/>
        <v>54214961</v>
      </c>
    </row>
    <row r="29" spans="1:8" ht="12.75" customHeight="1">
      <c r="A29" s="521"/>
      <c r="B29" s="529"/>
      <c r="C29" s="529"/>
      <c r="D29" s="529" t="s">
        <v>107</v>
      </c>
      <c r="E29" s="116" t="s">
        <v>184</v>
      </c>
      <c r="F29" s="117"/>
      <c r="G29" s="530"/>
      <c r="H29" s="119"/>
    </row>
    <row r="30" spans="1:8" ht="12.75" customHeight="1">
      <c r="A30" s="521"/>
      <c r="B30" s="511"/>
      <c r="C30" s="587"/>
      <c r="D30" s="587"/>
      <c r="E30" s="53" t="s">
        <v>144</v>
      </c>
      <c r="F30" s="131">
        <f>'4.int.bev '!F27+'4.int.bev '!H14</f>
        <v>1634000</v>
      </c>
      <c r="G30" s="600">
        <f>'4.int.bev '!I14</f>
        <v>800000</v>
      </c>
      <c r="H30" s="119">
        <f t="shared" si="1"/>
        <v>2434000</v>
      </c>
    </row>
    <row r="31" spans="1:8" ht="12.75" customHeight="1">
      <c r="A31" s="521"/>
      <c r="B31" s="511"/>
      <c r="C31" s="587"/>
      <c r="D31" s="587"/>
      <c r="E31" s="53" t="s">
        <v>145</v>
      </c>
      <c r="F31" s="117">
        <f>'4.int.bev '!F28+'4.int.bev '!H15+'4.int.bev '!F19</f>
        <v>38861120</v>
      </c>
      <c r="G31" s="117">
        <f>'4.int.bev '!I15+'4.int.bev '!E19+'4.int.bev '!E28+'4.int.bev '!I28</f>
        <v>4304240</v>
      </c>
      <c r="H31" s="119">
        <f t="shared" si="1"/>
        <v>43165360</v>
      </c>
    </row>
    <row r="32" spans="1:8" ht="12.75" customHeight="1">
      <c r="A32" s="521"/>
      <c r="B32" s="511"/>
      <c r="C32" s="587"/>
      <c r="D32" s="587"/>
      <c r="E32" s="210" t="s">
        <v>146</v>
      </c>
      <c r="F32" s="117">
        <f>'4.int.bev '!F29+'4.int.bev '!H16+'4.int.bev '!F20</f>
        <v>38543225</v>
      </c>
      <c r="G32" s="117">
        <f>'4.int.bev '!I16+'4.int.bev '!E20+'4.int.bev '!E29+'4.int.bev '!I29</f>
        <v>4304240</v>
      </c>
      <c r="H32" s="572">
        <f t="shared" si="1"/>
        <v>42847465</v>
      </c>
    </row>
    <row r="33" spans="1:14" ht="12.75" customHeight="1">
      <c r="A33" s="521" t="s">
        <v>5</v>
      </c>
      <c r="B33" s="511"/>
      <c r="C33" s="587"/>
      <c r="D33" s="511"/>
      <c r="E33" s="1133" t="s">
        <v>720</v>
      </c>
      <c r="F33" s="117"/>
      <c r="G33" s="530"/>
      <c r="H33" s="119"/>
      <c r="N33" s="1423"/>
    </row>
    <row r="34" spans="1:8" ht="12.75" customHeight="1">
      <c r="A34" s="521"/>
      <c r="B34" s="511"/>
      <c r="C34" s="587"/>
      <c r="D34" s="511" t="s">
        <v>53</v>
      </c>
      <c r="E34" s="53" t="s">
        <v>144</v>
      </c>
      <c r="F34" s="107">
        <f>F38+F42</f>
        <v>46565027</v>
      </c>
      <c r="G34" s="530"/>
      <c r="H34" s="119">
        <f>F34</f>
        <v>46565027</v>
      </c>
    </row>
    <row r="35" spans="1:8" ht="12.75" customHeight="1">
      <c r="A35" s="521"/>
      <c r="B35" s="511"/>
      <c r="C35" s="587"/>
      <c r="D35" s="511"/>
      <c r="E35" s="53" t="s">
        <v>145</v>
      </c>
      <c r="F35" s="107">
        <f>F39+F43</f>
        <v>46565027</v>
      </c>
      <c r="G35" s="530"/>
      <c r="H35" s="119">
        <f aca="true" t="shared" si="3" ref="H35:H44">F35</f>
        <v>46565027</v>
      </c>
    </row>
    <row r="36" spans="1:8" ht="12.75" customHeight="1">
      <c r="A36" s="521"/>
      <c r="B36" s="511"/>
      <c r="C36" s="587"/>
      <c r="D36" s="511"/>
      <c r="E36" s="53" t="s">
        <v>146</v>
      </c>
      <c r="F36" s="107">
        <f>F40+F44</f>
        <v>46565027</v>
      </c>
      <c r="G36" s="530"/>
      <c r="H36" s="119">
        <f t="shared" si="3"/>
        <v>46565027</v>
      </c>
    </row>
    <row r="37" spans="1:8" ht="12.75" customHeight="1">
      <c r="A37" s="521"/>
      <c r="B37" s="511"/>
      <c r="C37" s="587"/>
      <c r="D37" s="511" t="s">
        <v>106</v>
      </c>
      <c r="E37" s="116" t="s">
        <v>190</v>
      </c>
      <c r="F37" s="117"/>
      <c r="G37" s="530"/>
      <c r="H37" s="119"/>
    </row>
    <row r="38" spans="1:8" ht="12.75" customHeight="1">
      <c r="A38" s="521"/>
      <c r="B38" s="511"/>
      <c r="C38" s="587"/>
      <c r="D38" s="511"/>
      <c r="E38" s="53" t="s">
        <v>144</v>
      </c>
      <c r="F38" s="117">
        <f>'4.int.bev '!K10+'4.int.bev '!K22+'4.int.bev '!K35+'4.int.bev '!K43</f>
        <v>44471164</v>
      </c>
      <c r="G38" s="530"/>
      <c r="H38" s="119">
        <f t="shared" si="3"/>
        <v>44471164</v>
      </c>
    </row>
    <row r="39" spans="1:8" ht="12.75" customHeight="1">
      <c r="A39" s="521"/>
      <c r="B39" s="511"/>
      <c r="C39" s="587"/>
      <c r="D39" s="511"/>
      <c r="E39" s="53" t="s">
        <v>145</v>
      </c>
      <c r="F39" s="117">
        <f>'4.int.bev '!K11+'4.int.bev '!K23+'4.int.bev '!K36+'4.int.bev '!K44</f>
        <v>44471164</v>
      </c>
      <c r="G39" s="530"/>
      <c r="H39" s="119">
        <f t="shared" si="3"/>
        <v>44471164</v>
      </c>
    </row>
    <row r="40" spans="1:8" ht="12.75" customHeight="1">
      <c r="A40" s="521"/>
      <c r="B40" s="511"/>
      <c r="C40" s="587"/>
      <c r="D40" s="511"/>
      <c r="E40" s="53" t="s">
        <v>146</v>
      </c>
      <c r="F40" s="117">
        <f>'4.int.bev '!K12+'4.int.bev '!K24+'4.int.bev '!K37+'4.int.bev '!K45</f>
        <v>44471164</v>
      </c>
      <c r="G40" s="530"/>
      <c r="H40" s="119">
        <f t="shared" si="3"/>
        <v>44471164</v>
      </c>
    </row>
    <row r="41" spans="1:8" ht="12.75" customHeight="1">
      <c r="A41" s="521"/>
      <c r="B41" s="511"/>
      <c r="C41" s="587"/>
      <c r="D41" s="511" t="s">
        <v>107</v>
      </c>
      <c r="E41" s="116" t="s">
        <v>184</v>
      </c>
      <c r="F41" s="117"/>
      <c r="G41" s="530"/>
      <c r="H41" s="119"/>
    </row>
    <row r="42" spans="1:8" ht="12.75" customHeight="1">
      <c r="A42" s="521"/>
      <c r="B42" s="511"/>
      <c r="C42" s="587"/>
      <c r="D42" s="511"/>
      <c r="E42" s="53" t="s">
        <v>144</v>
      </c>
      <c r="F42" s="117">
        <f>'4.int.bev '!K27+'4.int.bev '!K31+'4.int.bev '!K14</f>
        <v>2093863</v>
      </c>
      <c r="G42" s="530"/>
      <c r="H42" s="119">
        <f t="shared" si="3"/>
        <v>2093863</v>
      </c>
    </row>
    <row r="43" spans="1:8" ht="12.75" customHeight="1">
      <c r="A43" s="521"/>
      <c r="B43" s="511"/>
      <c r="C43" s="587"/>
      <c r="D43" s="511"/>
      <c r="E43" s="53" t="s">
        <v>145</v>
      </c>
      <c r="F43" s="117">
        <f>'4.int.bev '!K28+'4.int.bev '!K32+'4.int.bev '!K15</f>
        <v>2093863</v>
      </c>
      <c r="G43" s="530"/>
      <c r="H43" s="119">
        <f t="shared" si="3"/>
        <v>2093863</v>
      </c>
    </row>
    <row r="44" spans="1:8" ht="12.75" customHeight="1" thickBot="1">
      <c r="A44" s="521"/>
      <c r="B44" s="511"/>
      <c r="C44" s="619"/>
      <c r="D44" s="1132"/>
      <c r="E44" s="210" t="s">
        <v>146</v>
      </c>
      <c r="F44" s="117">
        <f>'4.int.bev '!K29+'4.int.bev '!K33+'4.int.bev '!K16</f>
        <v>2093863</v>
      </c>
      <c r="G44" s="600"/>
      <c r="H44" s="119">
        <f t="shared" si="3"/>
        <v>2093863</v>
      </c>
    </row>
    <row r="45" spans="1:11" s="9" customFormat="1" ht="15" customHeight="1" thickBot="1" thickTop="1">
      <c r="A45" s="1475" t="s">
        <v>212</v>
      </c>
      <c r="B45" s="1476"/>
      <c r="C45" s="1476"/>
      <c r="D45" s="1476"/>
      <c r="E45" s="1477"/>
      <c r="F45" s="534"/>
      <c r="G45" s="535"/>
      <c r="H45" s="536"/>
      <c r="J45" s="1046"/>
      <c r="K45" s="1046"/>
    </row>
    <row r="46" spans="1:11" s="8" customFormat="1" ht="18" customHeight="1" thickTop="1">
      <c r="A46" s="518" t="s">
        <v>213</v>
      </c>
      <c r="B46" s="519"/>
      <c r="C46" s="537"/>
      <c r="D46" s="1521" t="s">
        <v>121</v>
      </c>
      <c r="E46" s="1521"/>
      <c r="F46" s="1521"/>
      <c r="G46" s="1521"/>
      <c r="H46" s="1522"/>
      <c r="J46" s="1044"/>
      <c r="K46" s="1044"/>
    </row>
    <row r="47" spans="1:11" s="9" customFormat="1" ht="6" customHeight="1">
      <c r="A47" s="538"/>
      <c r="B47" s="539"/>
      <c r="C47" s="511"/>
      <c r="D47" s="539"/>
      <c r="E47" s="127"/>
      <c r="F47" s="540"/>
      <c r="G47" s="540"/>
      <c r="H47" s="541"/>
      <c r="J47" s="1046"/>
      <c r="K47" s="1046"/>
    </row>
    <row r="48" spans="1:11" s="9" customFormat="1" ht="14.25" customHeight="1">
      <c r="A48" s="1523" t="s">
        <v>214</v>
      </c>
      <c r="B48" s="1524"/>
      <c r="C48" s="1524"/>
      <c r="D48" s="1524"/>
      <c r="E48" s="1524"/>
      <c r="F48" s="129"/>
      <c r="G48" s="129"/>
      <c r="H48" s="429"/>
      <c r="J48" s="1046"/>
      <c r="K48" s="1046"/>
    </row>
    <row r="49" spans="1:11" s="9" customFormat="1" ht="14.25" customHeight="1">
      <c r="A49" s="104"/>
      <c r="B49" s="105"/>
      <c r="C49" s="105"/>
      <c r="D49" s="105"/>
      <c r="E49" s="53" t="s">
        <v>144</v>
      </c>
      <c r="F49" s="107">
        <f>F54+F92+F78+F81</f>
        <v>686041694</v>
      </c>
      <c r="G49" s="591"/>
      <c r="H49" s="119">
        <f>F49</f>
        <v>686041694</v>
      </c>
      <c r="J49" s="1046"/>
      <c r="K49" s="1046"/>
    </row>
    <row r="50" spans="1:11" s="9" customFormat="1" ht="14.25" customHeight="1">
      <c r="A50" s="104"/>
      <c r="B50" s="105"/>
      <c r="C50" s="105"/>
      <c r="D50" s="105"/>
      <c r="E50" s="53" t="s">
        <v>145</v>
      </c>
      <c r="F50" s="107">
        <f>F55+F93+F82+F79+F88</f>
        <v>716553291</v>
      </c>
      <c r="G50" s="591"/>
      <c r="H50" s="119">
        <f>F50</f>
        <v>716553291</v>
      </c>
      <c r="J50" s="1046"/>
      <c r="K50" s="1046"/>
    </row>
    <row r="51" spans="1:11" s="9" customFormat="1" ht="14.25" customHeight="1">
      <c r="A51" s="104"/>
      <c r="B51" s="105"/>
      <c r="C51" s="105"/>
      <c r="D51" s="105"/>
      <c r="E51" s="53" t="s">
        <v>146</v>
      </c>
      <c r="F51" s="107">
        <f>F56+F94+F83+F80+F89</f>
        <v>731900433</v>
      </c>
      <c r="G51" s="591"/>
      <c r="H51" s="119">
        <f>F51</f>
        <v>731900433</v>
      </c>
      <c r="J51" s="1046"/>
      <c r="K51" s="1046"/>
    </row>
    <row r="52" spans="1:11" s="9" customFormat="1" ht="7.5" customHeight="1">
      <c r="A52" s="538"/>
      <c r="B52" s="539"/>
      <c r="C52" s="511"/>
      <c r="D52" s="539"/>
      <c r="E52" s="127"/>
      <c r="F52" s="542"/>
      <c r="G52" s="543"/>
      <c r="H52" s="544"/>
      <c r="J52" s="1046"/>
      <c r="K52" s="1046"/>
    </row>
    <row r="53" spans="1:8" ht="17.25" customHeight="1">
      <c r="A53" s="1525" t="s">
        <v>215</v>
      </c>
      <c r="B53" s="1526"/>
      <c r="C53" s="1527"/>
      <c r="D53" s="1527"/>
      <c r="E53" s="1528"/>
      <c r="F53" s="107"/>
      <c r="G53" s="545"/>
      <c r="H53" s="119"/>
    </row>
    <row r="54" spans="1:8" ht="12.75" customHeight="1">
      <c r="A54" s="652"/>
      <c r="B54" s="638"/>
      <c r="C54" s="641"/>
      <c r="D54" s="641"/>
      <c r="E54" s="53" t="s">
        <v>144</v>
      </c>
      <c r="F54" s="124">
        <f>F58+F62+F66+F70+F74</f>
        <v>507175694</v>
      </c>
      <c r="G54" s="584"/>
      <c r="H54" s="125">
        <f>F54</f>
        <v>507175694</v>
      </c>
    </row>
    <row r="55" spans="1:8" ht="12.75" customHeight="1">
      <c r="A55" s="652"/>
      <c r="B55" s="638"/>
      <c r="C55" s="642"/>
      <c r="D55" s="642"/>
      <c r="E55" s="53" t="s">
        <v>145</v>
      </c>
      <c r="F55" s="124">
        <f>F59+F63+F67+F71+F75</f>
        <v>556496391</v>
      </c>
      <c r="G55" s="584"/>
      <c r="H55" s="125">
        <f>F55</f>
        <v>556496391</v>
      </c>
    </row>
    <row r="56" spans="1:8" ht="12.75" customHeight="1">
      <c r="A56" s="652"/>
      <c r="B56" s="638"/>
      <c r="C56" s="642"/>
      <c r="D56" s="642"/>
      <c r="E56" s="53" t="s">
        <v>146</v>
      </c>
      <c r="F56" s="124">
        <f>F60+F64+F68+F72+F76</f>
        <v>556496391</v>
      </c>
      <c r="G56" s="584"/>
      <c r="H56" s="125">
        <f>F56</f>
        <v>556496391</v>
      </c>
    </row>
    <row r="57" spans="1:11" s="21" customFormat="1" ht="12.75" customHeight="1">
      <c r="A57" s="546"/>
      <c r="B57" s="547">
        <v>1</v>
      </c>
      <c r="C57" s="529" t="s">
        <v>216</v>
      </c>
      <c r="D57" s="528" t="s">
        <v>106</v>
      </c>
      <c r="E57" s="548" t="s">
        <v>187</v>
      </c>
      <c r="F57" s="439"/>
      <c r="G57" s="549"/>
      <c r="H57" s="550"/>
      <c r="J57" s="1045"/>
      <c r="K57" s="1045"/>
    </row>
    <row r="58" spans="1:11" s="21" customFormat="1" ht="12.75" customHeight="1">
      <c r="A58" s="546"/>
      <c r="B58" s="547"/>
      <c r="C58" s="529"/>
      <c r="D58" s="528"/>
      <c r="E58" s="53" t="s">
        <v>144</v>
      </c>
      <c r="F58" s="439">
        <v>105187233</v>
      </c>
      <c r="G58" s="549"/>
      <c r="H58" s="550">
        <f>F58</f>
        <v>105187233</v>
      </c>
      <c r="J58" s="1045"/>
      <c r="K58" s="1045"/>
    </row>
    <row r="59" spans="1:11" s="21" customFormat="1" ht="12.75" customHeight="1">
      <c r="A59" s="546"/>
      <c r="B59" s="547"/>
      <c r="C59" s="529"/>
      <c r="D59" s="528"/>
      <c r="E59" s="53" t="s">
        <v>145</v>
      </c>
      <c r="F59" s="439">
        <v>105774354</v>
      </c>
      <c r="G59" s="549"/>
      <c r="H59" s="550">
        <f aca="true" t="shared" si="4" ref="H59:H76">F59</f>
        <v>105774354</v>
      </c>
      <c r="J59" s="1045"/>
      <c r="K59" s="1045"/>
    </row>
    <row r="60" spans="1:11" s="21" customFormat="1" ht="12.75" customHeight="1">
      <c r="A60" s="546"/>
      <c r="B60" s="547"/>
      <c r="C60" s="529"/>
      <c r="D60" s="528"/>
      <c r="E60" s="210" t="s">
        <v>146</v>
      </c>
      <c r="F60" s="439">
        <v>105774354</v>
      </c>
      <c r="G60" s="549"/>
      <c r="H60" s="550">
        <f t="shared" si="4"/>
        <v>105774354</v>
      </c>
      <c r="J60" s="1045"/>
      <c r="K60" s="1045"/>
    </row>
    <row r="61" spans="1:11" s="21" customFormat="1" ht="12.75" customHeight="1">
      <c r="A61" s="546"/>
      <c r="B61" s="547">
        <v>2</v>
      </c>
      <c r="C61" s="529" t="s">
        <v>217</v>
      </c>
      <c r="D61" s="528" t="s">
        <v>106</v>
      </c>
      <c r="E61" s="423" t="s">
        <v>218</v>
      </c>
      <c r="F61" s="117"/>
      <c r="G61" s="551"/>
      <c r="H61" s="550"/>
      <c r="J61" s="1045"/>
      <c r="K61" s="1045"/>
    </row>
    <row r="62" spans="1:11" s="21" customFormat="1" ht="12.75" customHeight="1">
      <c r="A62" s="546"/>
      <c r="B62" s="547"/>
      <c r="C62" s="529"/>
      <c r="D62" s="528"/>
      <c r="E62" s="53" t="s">
        <v>144</v>
      </c>
      <c r="F62" s="117">
        <v>223563150</v>
      </c>
      <c r="G62" s="551"/>
      <c r="H62" s="550">
        <f t="shared" si="4"/>
        <v>223563150</v>
      </c>
      <c r="J62" s="1045"/>
      <c r="K62" s="1045"/>
    </row>
    <row r="63" spans="1:14" s="21" customFormat="1" ht="12.75" customHeight="1">
      <c r="A63" s="546"/>
      <c r="B63" s="547"/>
      <c r="C63" s="529"/>
      <c r="D63" s="528"/>
      <c r="E63" s="53" t="s">
        <v>145</v>
      </c>
      <c r="F63" s="117">
        <v>235173727</v>
      </c>
      <c r="G63" s="551"/>
      <c r="H63" s="550">
        <f t="shared" si="4"/>
        <v>235173727</v>
      </c>
      <c r="J63" s="1045"/>
      <c r="K63" s="1045"/>
      <c r="N63" s="1355"/>
    </row>
    <row r="64" spans="1:11" s="21" customFormat="1" ht="12.75" customHeight="1">
      <c r="A64" s="546"/>
      <c r="B64" s="547"/>
      <c r="C64" s="529"/>
      <c r="D64" s="528"/>
      <c r="E64" s="210" t="s">
        <v>146</v>
      </c>
      <c r="F64" s="117">
        <v>235173727</v>
      </c>
      <c r="G64" s="551"/>
      <c r="H64" s="550">
        <f t="shared" si="4"/>
        <v>235173727</v>
      </c>
      <c r="J64" s="1045"/>
      <c r="K64" s="1045"/>
    </row>
    <row r="65" spans="1:11" s="21" customFormat="1" ht="12.75" customHeight="1">
      <c r="A65" s="546"/>
      <c r="B65" s="547">
        <v>3</v>
      </c>
      <c r="C65" s="529" t="s">
        <v>219</v>
      </c>
      <c r="D65" s="528" t="s">
        <v>106</v>
      </c>
      <c r="E65" s="423" t="s">
        <v>220</v>
      </c>
      <c r="F65" s="117"/>
      <c r="G65" s="551"/>
      <c r="H65" s="550"/>
      <c r="J65" s="1045"/>
      <c r="K65" s="1045"/>
    </row>
    <row r="66" spans="1:11" s="21" customFormat="1" ht="12.75" customHeight="1">
      <c r="A66" s="546"/>
      <c r="B66" s="547"/>
      <c r="C66" s="529"/>
      <c r="D66" s="528"/>
      <c r="E66" s="53" t="s">
        <v>144</v>
      </c>
      <c r="F66" s="117">
        <v>161919251</v>
      </c>
      <c r="G66" s="551"/>
      <c r="H66" s="550">
        <f t="shared" si="4"/>
        <v>161919251</v>
      </c>
      <c r="J66" s="1045"/>
      <c r="K66" s="1045"/>
    </row>
    <row r="67" spans="1:11" s="21" customFormat="1" ht="12.75" customHeight="1">
      <c r="A67" s="546"/>
      <c r="B67" s="547"/>
      <c r="C67" s="529"/>
      <c r="D67" s="528"/>
      <c r="E67" s="53" t="s">
        <v>145</v>
      </c>
      <c r="F67" s="117">
        <v>186344862</v>
      </c>
      <c r="G67" s="551"/>
      <c r="H67" s="550">
        <f t="shared" si="4"/>
        <v>186344862</v>
      </c>
      <c r="J67" s="1045"/>
      <c r="K67" s="1045"/>
    </row>
    <row r="68" spans="1:11" s="21" customFormat="1" ht="12.75" customHeight="1">
      <c r="A68" s="546"/>
      <c r="B68" s="547"/>
      <c r="C68" s="529"/>
      <c r="D68" s="528"/>
      <c r="E68" s="210" t="s">
        <v>146</v>
      </c>
      <c r="F68" s="117">
        <v>186344862</v>
      </c>
      <c r="G68" s="551"/>
      <c r="H68" s="550">
        <f t="shared" si="4"/>
        <v>186344862</v>
      </c>
      <c r="J68" s="1045"/>
      <c r="K68" s="1045"/>
    </row>
    <row r="69" spans="1:11" s="21" customFormat="1" ht="12.75" customHeight="1">
      <c r="A69" s="546"/>
      <c r="B69" s="547">
        <v>4</v>
      </c>
      <c r="C69" s="529" t="s">
        <v>221</v>
      </c>
      <c r="D69" s="528" t="s">
        <v>106</v>
      </c>
      <c r="E69" s="423" t="s">
        <v>222</v>
      </c>
      <c r="F69" s="117"/>
      <c r="G69" s="551"/>
      <c r="H69" s="550"/>
      <c r="J69" s="1045"/>
      <c r="K69" s="1045"/>
    </row>
    <row r="70" spans="1:11" s="21" customFormat="1" ht="12.75" customHeight="1">
      <c r="A70" s="546"/>
      <c r="B70" s="547"/>
      <c r="C70" s="529"/>
      <c r="D70" s="528"/>
      <c r="E70" s="53" t="s">
        <v>144</v>
      </c>
      <c r="F70" s="117">
        <v>16506060</v>
      </c>
      <c r="G70" s="551"/>
      <c r="H70" s="550">
        <f t="shared" si="4"/>
        <v>16506060</v>
      </c>
      <c r="J70" s="1045"/>
      <c r="K70" s="1045"/>
    </row>
    <row r="71" spans="1:11" s="21" customFormat="1" ht="12.75" customHeight="1">
      <c r="A71" s="546"/>
      <c r="B71" s="547"/>
      <c r="C71" s="529"/>
      <c r="D71" s="528"/>
      <c r="E71" s="53" t="s">
        <v>145</v>
      </c>
      <c r="F71" s="117">
        <v>21785300</v>
      </c>
      <c r="G71" s="551"/>
      <c r="H71" s="550">
        <f t="shared" si="4"/>
        <v>21785300</v>
      </c>
      <c r="J71" s="1045"/>
      <c r="K71" s="1045"/>
    </row>
    <row r="72" spans="1:11" s="21" customFormat="1" ht="12.75" customHeight="1">
      <c r="A72" s="546"/>
      <c r="B72" s="547"/>
      <c r="C72" s="529"/>
      <c r="D72" s="528"/>
      <c r="E72" s="210" t="s">
        <v>146</v>
      </c>
      <c r="F72" s="117">
        <v>21785300</v>
      </c>
      <c r="G72" s="551"/>
      <c r="H72" s="550">
        <f t="shared" si="4"/>
        <v>21785300</v>
      </c>
      <c r="J72" s="1045"/>
      <c r="K72" s="1045"/>
    </row>
    <row r="73" spans="1:11" s="21" customFormat="1" ht="12.75" customHeight="1">
      <c r="A73" s="546"/>
      <c r="B73" s="547">
        <v>5</v>
      </c>
      <c r="C73" s="529" t="s">
        <v>223</v>
      </c>
      <c r="D73" s="528" t="s">
        <v>106</v>
      </c>
      <c r="E73" s="423" t="s">
        <v>224</v>
      </c>
      <c r="F73" s="117"/>
      <c r="G73" s="551"/>
      <c r="H73" s="550"/>
      <c r="J73" s="1045"/>
      <c r="K73" s="1045"/>
    </row>
    <row r="74" spans="1:11" s="21" customFormat="1" ht="12.75" customHeight="1">
      <c r="A74" s="546"/>
      <c r="B74" s="547"/>
      <c r="C74" s="529"/>
      <c r="D74" s="528"/>
      <c r="E74" s="53" t="s">
        <v>144</v>
      </c>
      <c r="F74" s="491">
        <v>0</v>
      </c>
      <c r="G74" s="639"/>
      <c r="H74" s="550">
        <f t="shared" si="4"/>
        <v>0</v>
      </c>
      <c r="J74" s="1045"/>
      <c r="K74" s="1045"/>
    </row>
    <row r="75" spans="1:11" s="21" customFormat="1" ht="12.75" customHeight="1">
      <c r="A75" s="546"/>
      <c r="B75" s="547"/>
      <c r="C75" s="529"/>
      <c r="D75" s="528"/>
      <c r="E75" s="53" t="s">
        <v>145</v>
      </c>
      <c r="F75" s="491">
        <v>7418148</v>
      </c>
      <c r="G75" s="639"/>
      <c r="H75" s="550">
        <f t="shared" si="4"/>
        <v>7418148</v>
      </c>
      <c r="J75" s="1045"/>
      <c r="K75" s="1045"/>
    </row>
    <row r="76" spans="1:11" s="21" customFormat="1" ht="12.75" customHeight="1">
      <c r="A76" s="546"/>
      <c r="B76" s="547"/>
      <c r="C76" s="529"/>
      <c r="D76" s="528"/>
      <c r="E76" s="210" t="s">
        <v>146</v>
      </c>
      <c r="F76" s="491">
        <v>7418148</v>
      </c>
      <c r="G76" s="639"/>
      <c r="H76" s="550">
        <f t="shared" si="4"/>
        <v>7418148</v>
      </c>
      <c r="J76" s="1045"/>
      <c r="K76" s="1045"/>
    </row>
    <row r="77" spans="1:8" ht="15" customHeight="1">
      <c r="A77" s="1508" t="s">
        <v>877</v>
      </c>
      <c r="B77" s="1509"/>
      <c r="C77" s="1506"/>
      <c r="D77" s="1506"/>
      <c r="E77" s="1507"/>
      <c r="F77" s="107"/>
      <c r="G77" s="545"/>
      <c r="H77" s="119"/>
    </row>
    <row r="78" spans="1:8" ht="15" customHeight="1">
      <c r="A78" s="576"/>
      <c r="B78" s="424"/>
      <c r="C78" s="739"/>
      <c r="D78" s="800" t="s">
        <v>107</v>
      </c>
      <c r="E78" s="53" t="s">
        <v>144</v>
      </c>
      <c r="F78" s="107">
        <v>1290000</v>
      </c>
      <c r="G78" s="545"/>
      <c r="H78" s="119">
        <f aca="true" t="shared" si="5" ref="H78:H83">F78</f>
        <v>1290000</v>
      </c>
    </row>
    <row r="79" spans="1:8" ht="15" customHeight="1">
      <c r="A79" s="576"/>
      <c r="B79" s="424"/>
      <c r="C79" s="424"/>
      <c r="D79" s="547"/>
      <c r="E79" s="53" t="s">
        <v>145</v>
      </c>
      <c r="F79" s="107">
        <v>1290000</v>
      </c>
      <c r="G79" s="545"/>
      <c r="H79" s="119">
        <f t="shared" si="5"/>
        <v>1290000</v>
      </c>
    </row>
    <row r="80" spans="1:8" ht="15" customHeight="1">
      <c r="A80" s="576"/>
      <c r="B80" s="424"/>
      <c r="C80" s="424"/>
      <c r="D80" s="640"/>
      <c r="E80" s="210" t="s">
        <v>146</v>
      </c>
      <c r="F80" s="107">
        <v>1290734</v>
      </c>
      <c r="G80" s="545"/>
      <c r="H80" s="119">
        <f t="shared" si="5"/>
        <v>1290734</v>
      </c>
    </row>
    <row r="81" spans="1:8" ht="15" customHeight="1">
      <c r="A81" s="576"/>
      <c r="B81" s="424"/>
      <c r="C81" s="424"/>
      <c r="D81" s="547" t="s">
        <v>106</v>
      </c>
      <c r="E81" s="53" t="s">
        <v>144</v>
      </c>
      <c r="F81" s="107">
        <v>32243000</v>
      </c>
      <c r="G81" s="545"/>
      <c r="H81" s="119">
        <f t="shared" si="5"/>
        <v>32243000</v>
      </c>
    </row>
    <row r="82" spans="1:8" ht="15" customHeight="1">
      <c r="A82" s="576"/>
      <c r="B82" s="424"/>
      <c r="C82" s="424"/>
      <c r="D82" s="740"/>
      <c r="E82" s="53" t="s">
        <v>145</v>
      </c>
      <c r="F82" s="107">
        <v>32243000</v>
      </c>
      <c r="G82" s="545"/>
      <c r="H82" s="119">
        <f t="shared" si="5"/>
        <v>32243000</v>
      </c>
    </row>
    <row r="83" spans="1:8" ht="15" customHeight="1">
      <c r="A83" s="794"/>
      <c r="B83" s="795"/>
      <c r="C83" s="795"/>
      <c r="D83" s="795"/>
      <c r="E83" s="724" t="s">
        <v>146</v>
      </c>
      <c r="F83" s="107">
        <v>40013492</v>
      </c>
      <c r="G83" s="545"/>
      <c r="H83" s="119">
        <f t="shared" si="5"/>
        <v>40013492</v>
      </c>
    </row>
    <row r="84" spans="1:8" ht="15" customHeight="1">
      <c r="A84" s="1505" t="s">
        <v>225</v>
      </c>
      <c r="B84" s="1506"/>
      <c r="C84" s="1506"/>
      <c r="D84" s="1506"/>
      <c r="E84" s="1507"/>
      <c r="F84" s="107"/>
      <c r="G84" s="545"/>
      <c r="H84" s="119"/>
    </row>
    <row r="85" spans="1:8" ht="15" customHeight="1">
      <c r="A85" s="1505" t="s">
        <v>226</v>
      </c>
      <c r="B85" s="1506"/>
      <c r="C85" s="1506"/>
      <c r="D85" s="1506"/>
      <c r="E85" s="1507"/>
      <c r="F85" s="107"/>
      <c r="G85" s="545"/>
      <c r="H85" s="119"/>
    </row>
    <row r="86" spans="1:8" ht="15" customHeight="1">
      <c r="A86" s="576"/>
      <c r="B86" s="1135">
        <v>1</v>
      </c>
      <c r="C86" s="1135"/>
      <c r="D86" s="640" t="s">
        <v>106</v>
      </c>
      <c r="E86" s="801"/>
      <c r="F86" s="107"/>
      <c r="G86" s="545"/>
      <c r="H86" s="119"/>
    </row>
    <row r="87" spans="1:8" ht="15" customHeight="1">
      <c r="A87" s="576"/>
      <c r="B87" s="424"/>
      <c r="C87" s="424"/>
      <c r="D87" s="547"/>
      <c r="E87" s="53" t="s">
        <v>144</v>
      </c>
      <c r="F87" s="107">
        <v>0</v>
      </c>
      <c r="G87" s="545"/>
      <c r="H87" s="119">
        <f>F87</f>
        <v>0</v>
      </c>
    </row>
    <row r="88" spans="1:8" ht="15" customHeight="1">
      <c r="A88" s="576"/>
      <c r="B88" s="424"/>
      <c r="C88" s="424"/>
      <c r="D88" s="740"/>
      <c r="E88" s="53" t="s">
        <v>145</v>
      </c>
      <c r="F88" s="107">
        <v>0</v>
      </c>
      <c r="G88" s="545"/>
      <c r="H88" s="119">
        <f>F88</f>
        <v>0</v>
      </c>
    </row>
    <row r="89" spans="1:8" ht="15" customHeight="1">
      <c r="A89" s="794"/>
      <c r="B89" s="795"/>
      <c r="C89" s="795"/>
      <c r="D89" s="795"/>
      <c r="E89" s="210" t="s">
        <v>146</v>
      </c>
      <c r="F89" s="107">
        <v>0</v>
      </c>
      <c r="G89" s="545"/>
      <c r="H89" s="119">
        <f>F89</f>
        <v>0</v>
      </c>
    </row>
    <row r="90" spans="1:8" ht="15" customHeight="1">
      <c r="A90" s="1505" t="s">
        <v>227</v>
      </c>
      <c r="B90" s="1506"/>
      <c r="C90" s="1506"/>
      <c r="D90" s="1506"/>
      <c r="E90" s="1507"/>
      <c r="F90" s="107"/>
      <c r="G90" s="545"/>
      <c r="H90" s="119">
        <v>0</v>
      </c>
    </row>
    <row r="91" spans="1:8" ht="15" customHeight="1">
      <c r="A91" s="1508" t="s">
        <v>228</v>
      </c>
      <c r="B91" s="1509"/>
      <c r="C91" s="1509"/>
      <c r="D91" s="1509"/>
      <c r="E91" s="1510"/>
      <c r="F91" s="107"/>
      <c r="G91" s="545"/>
      <c r="H91" s="119"/>
    </row>
    <row r="92" spans="1:8" ht="13.5" customHeight="1">
      <c r="A92" s="576"/>
      <c r="B92" s="424"/>
      <c r="C92" s="424"/>
      <c r="D92" s="424"/>
      <c r="E92" s="53" t="s">
        <v>144</v>
      </c>
      <c r="F92" s="107">
        <f>F96+F104</f>
        <v>145333000</v>
      </c>
      <c r="G92" s="545"/>
      <c r="H92" s="119">
        <f>F92</f>
        <v>145333000</v>
      </c>
    </row>
    <row r="93" spans="1:8" ht="13.5" customHeight="1">
      <c r="A93" s="576"/>
      <c r="B93" s="424"/>
      <c r="C93" s="424"/>
      <c r="D93" s="424"/>
      <c r="E93" s="53" t="s">
        <v>145</v>
      </c>
      <c r="F93" s="107">
        <f>F97+F105</f>
        <v>126523900</v>
      </c>
      <c r="G93" s="545"/>
      <c r="H93" s="119">
        <f aca="true" t="shared" si="6" ref="H93:H128">F93</f>
        <v>126523900</v>
      </c>
    </row>
    <row r="94" spans="1:8" ht="13.5" customHeight="1">
      <c r="A94" s="576"/>
      <c r="B94" s="424"/>
      <c r="C94" s="424"/>
      <c r="D94" s="424"/>
      <c r="E94" s="655" t="s">
        <v>146</v>
      </c>
      <c r="F94" s="107">
        <f>F98+F106</f>
        <v>134099816</v>
      </c>
      <c r="G94" s="545"/>
      <c r="H94" s="119">
        <f t="shared" si="6"/>
        <v>134099816</v>
      </c>
    </row>
    <row r="95" spans="1:8" ht="13.5" customHeight="1">
      <c r="A95" s="552"/>
      <c r="B95" s="529"/>
      <c r="C95" s="1513" t="s">
        <v>229</v>
      </c>
      <c r="D95" s="1514"/>
      <c r="E95" s="1515"/>
      <c r="F95" s="131"/>
      <c r="G95" s="555"/>
      <c r="H95" s="119"/>
    </row>
    <row r="96" spans="1:8" ht="13.5" customHeight="1">
      <c r="A96" s="552"/>
      <c r="B96" s="529"/>
      <c r="C96" s="643"/>
      <c r="D96" s="645"/>
      <c r="E96" s="53" t="s">
        <v>144</v>
      </c>
      <c r="F96" s="117">
        <f>F100</f>
        <v>5116000</v>
      </c>
      <c r="G96" s="551"/>
      <c r="H96" s="119">
        <f t="shared" si="6"/>
        <v>5116000</v>
      </c>
    </row>
    <row r="97" spans="1:8" ht="13.5" customHeight="1">
      <c r="A97" s="552"/>
      <c r="B97" s="529"/>
      <c r="C97" s="643"/>
      <c r="D97" s="645"/>
      <c r="E97" s="53" t="s">
        <v>145</v>
      </c>
      <c r="F97" s="117">
        <f>F101</f>
        <v>5116000</v>
      </c>
      <c r="G97" s="551"/>
      <c r="H97" s="119">
        <f t="shared" si="6"/>
        <v>5116000</v>
      </c>
    </row>
    <row r="98" spans="1:8" ht="13.5" customHeight="1">
      <c r="A98" s="552"/>
      <c r="B98" s="529"/>
      <c r="C98" s="643"/>
      <c r="D98" s="645"/>
      <c r="E98" s="53" t="s">
        <v>146</v>
      </c>
      <c r="F98" s="117">
        <f>F102</f>
        <v>5067802</v>
      </c>
      <c r="G98" s="551"/>
      <c r="H98" s="119">
        <f>F98</f>
        <v>5067802</v>
      </c>
    </row>
    <row r="99" spans="1:8" ht="14.25" customHeight="1">
      <c r="A99" s="552"/>
      <c r="B99" s="529">
        <v>1</v>
      </c>
      <c r="C99" s="556" t="s">
        <v>211</v>
      </c>
      <c r="D99" s="556" t="s">
        <v>106</v>
      </c>
      <c r="E99" s="560" t="s">
        <v>230</v>
      </c>
      <c r="F99" s="100"/>
      <c r="G99" s="557"/>
      <c r="H99" s="119"/>
    </row>
    <row r="100" spans="1:8" ht="14.25" customHeight="1">
      <c r="A100" s="552"/>
      <c r="B100" s="529"/>
      <c r="C100" s="556"/>
      <c r="D100" s="556"/>
      <c r="E100" s="53" t="s">
        <v>144</v>
      </c>
      <c r="F100" s="100">
        <v>5116000</v>
      </c>
      <c r="G100" s="557"/>
      <c r="H100" s="119">
        <f t="shared" si="6"/>
        <v>5116000</v>
      </c>
    </row>
    <row r="101" spans="1:8" ht="14.25" customHeight="1">
      <c r="A101" s="552"/>
      <c r="B101" s="529"/>
      <c r="C101" s="556"/>
      <c r="D101" s="556"/>
      <c r="E101" s="53" t="s">
        <v>145</v>
      </c>
      <c r="F101" s="100">
        <v>5116000</v>
      </c>
      <c r="G101" s="557"/>
      <c r="H101" s="119">
        <f t="shared" si="6"/>
        <v>5116000</v>
      </c>
    </row>
    <row r="102" spans="1:8" ht="14.25" customHeight="1">
      <c r="A102" s="552"/>
      <c r="B102" s="529"/>
      <c r="C102" s="556"/>
      <c r="D102" s="556"/>
      <c r="E102" s="210" t="s">
        <v>146</v>
      </c>
      <c r="F102" s="100">
        <v>5067802</v>
      </c>
      <c r="G102" s="557"/>
      <c r="H102" s="119">
        <f t="shared" si="6"/>
        <v>5067802</v>
      </c>
    </row>
    <row r="103" spans="1:8" ht="14.25" customHeight="1">
      <c r="A103" s="552"/>
      <c r="B103" s="529"/>
      <c r="C103" s="1529" t="s">
        <v>231</v>
      </c>
      <c r="D103" s="1529"/>
      <c r="E103" s="1529"/>
      <c r="F103" s="439"/>
      <c r="G103" s="549"/>
      <c r="H103" s="119"/>
    </row>
    <row r="104" spans="1:8" ht="14.25" customHeight="1">
      <c r="A104" s="552"/>
      <c r="B104" s="529"/>
      <c r="C104" s="645"/>
      <c r="D104" s="645"/>
      <c r="E104" s="53" t="s">
        <v>144</v>
      </c>
      <c r="F104" s="439">
        <f>F108+F112+F116+F120+F124+F128+F132+F136+F140+F144+F148+F152</f>
        <v>140217000</v>
      </c>
      <c r="G104" s="549"/>
      <c r="H104" s="119">
        <f t="shared" si="6"/>
        <v>140217000</v>
      </c>
    </row>
    <row r="105" spans="1:8" ht="14.25" customHeight="1">
      <c r="A105" s="552"/>
      <c r="B105" s="529"/>
      <c r="C105" s="645"/>
      <c r="D105" s="645"/>
      <c r="E105" s="53" t="s">
        <v>145</v>
      </c>
      <c r="F105" s="439">
        <f>F109+F113+F117+F121+F125+F129+F133+F137+F141+F145+F149+F153</f>
        <v>121407900</v>
      </c>
      <c r="G105" s="549"/>
      <c r="H105" s="119">
        <f t="shared" si="6"/>
        <v>121407900</v>
      </c>
    </row>
    <row r="106" spans="1:8" ht="14.25" customHeight="1">
      <c r="A106" s="552"/>
      <c r="B106" s="529"/>
      <c r="C106" s="645"/>
      <c r="D106" s="645"/>
      <c r="E106" s="210" t="s">
        <v>146</v>
      </c>
      <c r="F106" s="439">
        <f>F110+F114+F118+F122+F126+F130+F134+F138+F142+F146+F150+F154</f>
        <v>129032014</v>
      </c>
      <c r="G106" s="549"/>
      <c r="H106" s="119">
        <f>F106</f>
        <v>129032014</v>
      </c>
    </row>
    <row r="107" spans="1:8" ht="14.25" customHeight="1">
      <c r="A107" s="552"/>
      <c r="B107" s="529">
        <v>1</v>
      </c>
      <c r="C107" s="556" t="s">
        <v>211</v>
      </c>
      <c r="D107" s="556" t="s">
        <v>106</v>
      </c>
      <c r="E107" s="102" t="s">
        <v>687</v>
      </c>
      <c r="F107" s="120"/>
      <c r="G107" s="559"/>
      <c r="H107" s="119"/>
    </row>
    <row r="108" spans="1:8" ht="14.25" customHeight="1">
      <c r="A108" s="552"/>
      <c r="B108" s="529"/>
      <c r="C108" s="556"/>
      <c r="D108" s="556"/>
      <c r="E108" s="53" t="s">
        <v>144</v>
      </c>
      <c r="F108" s="120">
        <v>600000</v>
      </c>
      <c r="G108" s="559"/>
      <c r="H108" s="119">
        <f t="shared" si="6"/>
        <v>600000</v>
      </c>
    </row>
    <row r="109" spans="1:8" ht="14.25" customHeight="1">
      <c r="A109" s="552"/>
      <c r="B109" s="529"/>
      <c r="C109" s="556"/>
      <c r="D109" s="556"/>
      <c r="E109" s="53" t="s">
        <v>145</v>
      </c>
      <c r="F109" s="120">
        <v>600000</v>
      </c>
      <c r="G109" s="559"/>
      <c r="H109" s="119">
        <f t="shared" si="6"/>
        <v>600000</v>
      </c>
    </row>
    <row r="110" spans="1:8" ht="14.25" customHeight="1">
      <c r="A110" s="552"/>
      <c r="B110" s="529"/>
      <c r="C110" s="556"/>
      <c r="D110" s="556"/>
      <c r="E110" s="210" t="s">
        <v>146</v>
      </c>
      <c r="F110" s="120">
        <v>0</v>
      </c>
      <c r="G110" s="559"/>
      <c r="H110" s="119">
        <f t="shared" si="6"/>
        <v>0</v>
      </c>
    </row>
    <row r="111" spans="1:8" ht="14.25" customHeight="1">
      <c r="A111" s="552"/>
      <c r="B111" s="529">
        <v>2</v>
      </c>
      <c r="C111" s="556" t="s">
        <v>211</v>
      </c>
      <c r="D111" s="556" t="s">
        <v>106</v>
      </c>
      <c r="E111" s="102" t="s">
        <v>85</v>
      </c>
      <c r="F111" s="100"/>
      <c r="G111" s="557"/>
      <c r="H111" s="119"/>
    </row>
    <row r="112" spans="1:8" ht="14.25" customHeight="1">
      <c r="A112" s="552"/>
      <c r="B112" s="529"/>
      <c r="C112" s="556"/>
      <c r="D112" s="556"/>
      <c r="E112" s="53" t="s">
        <v>144</v>
      </c>
      <c r="F112" s="100">
        <v>81400000</v>
      </c>
      <c r="G112" s="557"/>
      <c r="H112" s="119">
        <f t="shared" si="6"/>
        <v>81400000</v>
      </c>
    </row>
    <row r="113" spans="1:8" ht="14.25" customHeight="1">
      <c r="A113" s="552"/>
      <c r="B113" s="529"/>
      <c r="C113" s="556"/>
      <c r="D113" s="556"/>
      <c r="E113" s="53" t="s">
        <v>145</v>
      </c>
      <c r="F113" s="100">
        <v>81400000</v>
      </c>
      <c r="G113" s="557"/>
      <c r="H113" s="119">
        <f t="shared" si="6"/>
        <v>81400000</v>
      </c>
    </row>
    <row r="114" spans="1:8" ht="14.25" customHeight="1">
      <c r="A114" s="552"/>
      <c r="B114" s="529"/>
      <c r="C114" s="556"/>
      <c r="D114" s="556"/>
      <c r="E114" s="210" t="s">
        <v>146</v>
      </c>
      <c r="F114" s="100">
        <f>46336741+1559717+39248538</f>
        <v>87144996</v>
      </c>
      <c r="G114" s="557"/>
      <c r="H114" s="119">
        <f t="shared" si="6"/>
        <v>87144996</v>
      </c>
    </row>
    <row r="115" spans="1:8" ht="14.25" customHeight="1">
      <c r="A115" s="552"/>
      <c r="B115" s="529">
        <v>3</v>
      </c>
      <c r="C115" s="556" t="s">
        <v>211</v>
      </c>
      <c r="D115" s="556" t="s">
        <v>107</v>
      </c>
      <c r="E115" s="102" t="s">
        <v>29</v>
      </c>
      <c r="F115" s="100"/>
      <c r="G115" s="557"/>
      <c r="H115" s="119"/>
    </row>
    <row r="116" spans="1:8" ht="14.25" customHeight="1">
      <c r="A116" s="552"/>
      <c r="B116" s="529"/>
      <c r="C116" s="556"/>
      <c r="D116" s="556"/>
      <c r="E116" s="53" t="s">
        <v>144</v>
      </c>
      <c r="F116" s="122">
        <v>1080000</v>
      </c>
      <c r="G116" s="553"/>
      <c r="H116" s="119">
        <f t="shared" si="6"/>
        <v>1080000</v>
      </c>
    </row>
    <row r="117" spans="1:8" ht="14.25" customHeight="1">
      <c r="A117" s="552"/>
      <c r="B117" s="529"/>
      <c r="C117" s="556"/>
      <c r="D117" s="556"/>
      <c r="E117" s="53" t="s">
        <v>145</v>
      </c>
      <c r="F117" s="122">
        <v>1080000</v>
      </c>
      <c r="G117" s="553"/>
      <c r="H117" s="119">
        <f t="shared" si="6"/>
        <v>1080000</v>
      </c>
    </row>
    <row r="118" spans="1:8" ht="14.25" customHeight="1">
      <c r="A118" s="552"/>
      <c r="B118" s="529"/>
      <c r="C118" s="556"/>
      <c r="D118" s="556"/>
      <c r="E118" s="210" t="s">
        <v>146</v>
      </c>
      <c r="F118" s="122">
        <v>1508117</v>
      </c>
      <c r="G118" s="553"/>
      <c r="H118" s="119">
        <f t="shared" si="6"/>
        <v>1508117</v>
      </c>
    </row>
    <row r="119" spans="1:8" ht="14.25" customHeight="1">
      <c r="A119" s="552"/>
      <c r="B119" s="529">
        <v>4</v>
      </c>
      <c r="C119" s="556" t="s">
        <v>211</v>
      </c>
      <c r="D119" s="556" t="s">
        <v>106</v>
      </c>
      <c r="E119" s="123" t="s">
        <v>55</v>
      </c>
      <c r="F119" s="122"/>
      <c r="G119" s="553"/>
      <c r="H119" s="119"/>
    </row>
    <row r="120" spans="1:8" ht="14.25" customHeight="1">
      <c r="A120" s="552"/>
      <c r="B120" s="529"/>
      <c r="C120" s="556"/>
      <c r="D120" s="556"/>
      <c r="E120" s="53" t="s">
        <v>144</v>
      </c>
      <c r="F120" s="122">
        <v>500000</v>
      </c>
      <c r="G120" s="553"/>
      <c r="H120" s="119">
        <f t="shared" si="6"/>
        <v>500000</v>
      </c>
    </row>
    <row r="121" spans="1:8" ht="14.25" customHeight="1">
      <c r="A121" s="552"/>
      <c r="B121" s="529"/>
      <c r="C121" s="556"/>
      <c r="D121" s="556"/>
      <c r="E121" s="53" t="s">
        <v>145</v>
      </c>
      <c r="F121" s="122">
        <v>500000</v>
      </c>
      <c r="G121" s="553"/>
      <c r="H121" s="119">
        <f t="shared" si="6"/>
        <v>500000</v>
      </c>
    </row>
    <row r="122" spans="1:8" ht="14.25" customHeight="1">
      <c r="A122" s="552"/>
      <c r="B122" s="529"/>
      <c r="C122" s="556"/>
      <c r="D122" s="556"/>
      <c r="E122" s="210" t="s">
        <v>146</v>
      </c>
      <c r="F122" s="122">
        <v>0</v>
      </c>
      <c r="G122" s="553"/>
      <c r="H122" s="119">
        <f t="shared" si="6"/>
        <v>0</v>
      </c>
    </row>
    <row r="123" spans="1:8" ht="14.25" customHeight="1">
      <c r="A123" s="552"/>
      <c r="B123" s="529">
        <v>5</v>
      </c>
      <c r="C123" s="556" t="s">
        <v>211</v>
      </c>
      <c r="D123" s="556" t="s">
        <v>106</v>
      </c>
      <c r="E123" s="102" t="s">
        <v>879</v>
      </c>
      <c r="F123" s="100"/>
      <c r="G123" s="557"/>
      <c r="H123" s="119"/>
    </row>
    <row r="124" spans="1:8" ht="14.25" customHeight="1">
      <c r="A124" s="552"/>
      <c r="B124" s="529"/>
      <c r="C124" s="556"/>
      <c r="D124" s="556"/>
      <c r="E124" s="53" t="s">
        <v>144</v>
      </c>
      <c r="F124" s="122">
        <v>31437000</v>
      </c>
      <c r="G124" s="553"/>
      <c r="H124" s="119">
        <f t="shared" si="6"/>
        <v>31437000</v>
      </c>
    </row>
    <row r="125" spans="1:8" ht="14.25" customHeight="1">
      <c r="A125" s="552"/>
      <c r="B125" s="529"/>
      <c r="C125" s="556"/>
      <c r="D125" s="556"/>
      <c r="E125" s="53" t="s">
        <v>145</v>
      </c>
      <c r="F125" s="122">
        <v>0</v>
      </c>
      <c r="G125" s="553"/>
      <c r="H125" s="119">
        <f t="shared" si="6"/>
        <v>0</v>
      </c>
    </row>
    <row r="126" spans="1:8" ht="14.25" customHeight="1">
      <c r="A126" s="552"/>
      <c r="B126" s="529"/>
      <c r="C126" s="556"/>
      <c r="D126" s="556"/>
      <c r="E126" s="210" t="s">
        <v>146</v>
      </c>
      <c r="F126" s="122">
        <v>0</v>
      </c>
      <c r="G126" s="553"/>
      <c r="H126" s="119">
        <f t="shared" si="6"/>
        <v>0</v>
      </c>
    </row>
    <row r="127" spans="1:8" ht="14.25" customHeight="1">
      <c r="A127" s="552"/>
      <c r="B127" s="529">
        <v>6</v>
      </c>
      <c r="C127" s="556" t="s">
        <v>211</v>
      </c>
      <c r="D127" s="556" t="s">
        <v>107</v>
      </c>
      <c r="E127" s="102" t="s">
        <v>697</v>
      </c>
      <c r="F127" s="122"/>
      <c r="G127" s="553"/>
      <c r="H127" s="119"/>
    </row>
    <row r="128" spans="1:8" ht="14.25" customHeight="1">
      <c r="A128" s="552"/>
      <c r="B128" s="529"/>
      <c r="C128" s="556"/>
      <c r="D128" s="556"/>
      <c r="E128" s="53" t="s">
        <v>144</v>
      </c>
      <c r="F128" s="122">
        <v>25200000</v>
      </c>
      <c r="G128" s="553"/>
      <c r="H128" s="119">
        <f t="shared" si="6"/>
        <v>25200000</v>
      </c>
    </row>
    <row r="129" spans="1:8" ht="14.25" customHeight="1">
      <c r="A129" s="552"/>
      <c r="B129" s="529"/>
      <c r="C129" s="556"/>
      <c r="D129" s="556"/>
      <c r="E129" s="53" t="s">
        <v>145</v>
      </c>
      <c r="F129" s="122">
        <v>24700000</v>
      </c>
      <c r="G129" s="553"/>
      <c r="H129" s="119">
        <f aca="true" t="shared" si="7" ref="H129:H146">F129</f>
        <v>24700000</v>
      </c>
    </row>
    <row r="130" spans="1:8" ht="14.25" customHeight="1">
      <c r="A130" s="552"/>
      <c r="B130" s="529"/>
      <c r="C130" s="556"/>
      <c r="D130" s="556"/>
      <c r="E130" s="210" t="s">
        <v>146</v>
      </c>
      <c r="F130" s="122">
        <v>25046940</v>
      </c>
      <c r="G130" s="553"/>
      <c r="H130" s="119">
        <f t="shared" si="7"/>
        <v>25046940</v>
      </c>
    </row>
    <row r="131" spans="1:8" ht="15.75" customHeight="1">
      <c r="A131" s="552"/>
      <c r="B131" s="529">
        <v>7</v>
      </c>
      <c r="C131" s="556" t="s">
        <v>211</v>
      </c>
      <c r="D131" s="556" t="s">
        <v>106</v>
      </c>
      <c r="E131" s="1533" t="s">
        <v>880</v>
      </c>
      <c r="F131" s="1534"/>
      <c r="G131" s="553"/>
      <c r="H131" s="119"/>
    </row>
    <row r="132" spans="1:8" ht="14.25" customHeight="1">
      <c r="A132" s="552"/>
      <c r="B132" s="529"/>
      <c r="C132" s="556"/>
      <c r="D132" s="556"/>
      <c r="E132" s="53" t="s">
        <v>144</v>
      </c>
      <c r="F132" s="100">
        <v>0</v>
      </c>
      <c r="G132" s="553"/>
      <c r="H132" s="119">
        <f t="shared" si="7"/>
        <v>0</v>
      </c>
    </row>
    <row r="133" spans="1:8" ht="14.25" customHeight="1">
      <c r="A133" s="552"/>
      <c r="B133" s="529"/>
      <c r="C133" s="556"/>
      <c r="D133" s="556"/>
      <c r="E133" s="53" t="s">
        <v>145</v>
      </c>
      <c r="F133" s="100">
        <v>6840000</v>
      </c>
      <c r="G133" s="553"/>
      <c r="H133" s="119">
        <f t="shared" si="7"/>
        <v>6840000</v>
      </c>
    </row>
    <row r="134" spans="1:8" ht="14.25" customHeight="1">
      <c r="A134" s="552"/>
      <c r="B134" s="529"/>
      <c r="C134" s="556"/>
      <c r="D134" s="556"/>
      <c r="E134" s="210" t="s">
        <v>146</v>
      </c>
      <c r="F134" s="100">
        <v>6840000</v>
      </c>
      <c r="G134" s="553"/>
      <c r="H134" s="119">
        <f t="shared" si="7"/>
        <v>6840000</v>
      </c>
    </row>
    <row r="135" spans="1:8" ht="14.25" customHeight="1">
      <c r="A135" s="552"/>
      <c r="B135" s="529">
        <v>8</v>
      </c>
      <c r="C135" s="556" t="s">
        <v>211</v>
      </c>
      <c r="D135" s="556" t="s">
        <v>107</v>
      </c>
      <c r="E135" s="1017" t="s">
        <v>881</v>
      </c>
      <c r="F135" s="29"/>
      <c r="G135" s="1037"/>
      <c r="H135" s="119"/>
    </row>
    <row r="136" spans="1:8" ht="14.25" customHeight="1">
      <c r="A136" s="552"/>
      <c r="B136" s="529"/>
      <c r="C136" s="556"/>
      <c r="D136" s="556"/>
      <c r="E136" s="53" t="s">
        <v>144</v>
      </c>
      <c r="F136" s="100">
        <v>0</v>
      </c>
      <c r="G136" s="553"/>
      <c r="H136" s="119">
        <f t="shared" si="7"/>
        <v>0</v>
      </c>
    </row>
    <row r="137" spans="1:8" ht="14.25" customHeight="1">
      <c r="A137" s="552"/>
      <c r="B137" s="529"/>
      <c r="C137" s="556"/>
      <c r="D137" s="556"/>
      <c r="E137" s="53" t="s">
        <v>145</v>
      </c>
      <c r="F137" s="100">
        <v>1244400</v>
      </c>
      <c r="G137" s="553"/>
      <c r="H137" s="119">
        <f t="shared" si="7"/>
        <v>1244400</v>
      </c>
    </row>
    <row r="138" spans="1:8" ht="14.25" customHeight="1">
      <c r="A138" s="552"/>
      <c r="B138" s="529"/>
      <c r="C138" s="556"/>
      <c r="D138" s="556"/>
      <c r="E138" s="210" t="s">
        <v>146</v>
      </c>
      <c r="F138" s="100">
        <v>1244397</v>
      </c>
      <c r="G138" s="553"/>
      <c r="H138" s="119">
        <f t="shared" si="7"/>
        <v>1244397</v>
      </c>
    </row>
    <row r="139" spans="1:8" ht="12.75" customHeight="1">
      <c r="A139" s="552"/>
      <c r="B139" s="529">
        <v>9</v>
      </c>
      <c r="C139" s="556" t="s">
        <v>211</v>
      </c>
      <c r="D139" s="556" t="s">
        <v>107</v>
      </c>
      <c r="E139" s="29" t="s">
        <v>882</v>
      </c>
      <c r="F139" s="100"/>
      <c r="G139" s="553"/>
      <c r="H139" s="119"/>
    </row>
    <row r="140" spans="1:8" ht="15" customHeight="1">
      <c r="A140" s="552"/>
      <c r="B140" s="529"/>
      <c r="C140" s="556"/>
      <c r="D140" s="556"/>
      <c r="E140" s="53" t="s">
        <v>144</v>
      </c>
      <c r="F140" s="122">
        <v>0</v>
      </c>
      <c r="G140" s="553"/>
      <c r="H140" s="119">
        <f t="shared" si="7"/>
        <v>0</v>
      </c>
    </row>
    <row r="141" spans="1:8" ht="15" customHeight="1">
      <c r="A141" s="552"/>
      <c r="B141" s="529"/>
      <c r="C141" s="556"/>
      <c r="D141" s="556"/>
      <c r="E141" s="53" t="s">
        <v>145</v>
      </c>
      <c r="F141" s="122">
        <v>1100000</v>
      </c>
      <c r="G141" s="553"/>
      <c r="H141" s="119">
        <f t="shared" si="7"/>
        <v>1100000</v>
      </c>
    </row>
    <row r="142" spans="1:8" ht="15" customHeight="1">
      <c r="A142" s="552"/>
      <c r="B142" s="529"/>
      <c r="C142" s="556"/>
      <c r="D142" s="556"/>
      <c r="E142" s="53" t="s">
        <v>146</v>
      </c>
      <c r="F142" s="100">
        <v>1100000</v>
      </c>
      <c r="G142" s="557"/>
      <c r="H142" s="119">
        <f t="shared" si="7"/>
        <v>1100000</v>
      </c>
    </row>
    <row r="143" spans="1:8" ht="16.5" customHeight="1">
      <c r="A143" s="552"/>
      <c r="B143" s="529">
        <v>10</v>
      </c>
      <c r="C143" s="556" t="s">
        <v>211</v>
      </c>
      <c r="D143" s="561" t="s">
        <v>106</v>
      </c>
      <c r="E143" s="1511" t="s">
        <v>883</v>
      </c>
      <c r="F143" s="1512"/>
      <c r="G143" s="557"/>
      <c r="H143" s="119"/>
    </row>
    <row r="144" spans="1:8" ht="14.25" customHeight="1">
      <c r="A144" s="552"/>
      <c r="B144" s="511"/>
      <c r="C144" s="561"/>
      <c r="D144" s="561"/>
      <c r="E144" s="53" t="s">
        <v>144</v>
      </c>
      <c r="F144" s="100">
        <v>0</v>
      </c>
      <c r="G144" s="557"/>
      <c r="H144" s="119">
        <f t="shared" si="7"/>
        <v>0</v>
      </c>
    </row>
    <row r="145" spans="1:8" ht="14.25" customHeight="1">
      <c r="A145" s="552"/>
      <c r="B145" s="511"/>
      <c r="C145" s="561"/>
      <c r="D145" s="561"/>
      <c r="E145" s="53" t="s">
        <v>145</v>
      </c>
      <c r="F145" s="100">
        <v>3943500</v>
      </c>
      <c r="G145" s="557"/>
      <c r="H145" s="119">
        <f t="shared" si="7"/>
        <v>3943500</v>
      </c>
    </row>
    <row r="146" spans="1:8" ht="14.25" customHeight="1">
      <c r="A146" s="552"/>
      <c r="B146" s="511"/>
      <c r="C146" s="561"/>
      <c r="D146" s="561"/>
      <c r="E146" s="210" t="s">
        <v>146</v>
      </c>
      <c r="F146" s="103">
        <v>3943500</v>
      </c>
      <c r="G146" s="588"/>
      <c r="H146" s="119">
        <f t="shared" si="7"/>
        <v>3943500</v>
      </c>
    </row>
    <row r="147" spans="1:8" ht="14.25" customHeight="1">
      <c r="A147" s="552"/>
      <c r="B147" s="511">
        <v>11</v>
      </c>
      <c r="C147" s="561" t="s">
        <v>297</v>
      </c>
      <c r="D147" s="556" t="s">
        <v>107</v>
      </c>
      <c r="E147" s="715" t="s">
        <v>1031</v>
      </c>
      <c r="F147" s="100"/>
      <c r="G147" s="589"/>
      <c r="H147" s="125"/>
    </row>
    <row r="148" spans="1:8" ht="14.25" customHeight="1">
      <c r="A148" s="552"/>
      <c r="B148" s="511"/>
      <c r="C148" s="561"/>
      <c r="D148" s="714"/>
      <c r="E148" s="53" t="s">
        <v>144</v>
      </c>
      <c r="F148" s="100">
        <v>0</v>
      </c>
      <c r="G148" s="557"/>
      <c r="H148" s="119">
        <f>F148</f>
        <v>0</v>
      </c>
    </row>
    <row r="149" spans="1:8" ht="14.25" customHeight="1">
      <c r="A149" s="552"/>
      <c r="B149" s="511"/>
      <c r="C149" s="561"/>
      <c r="D149" s="714"/>
      <c r="E149" s="53" t="s">
        <v>145</v>
      </c>
      <c r="F149" s="100">
        <v>0</v>
      </c>
      <c r="G149" s="557"/>
      <c r="H149" s="119">
        <f aca="true" t="shared" si="8" ref="H149:H154">F149</f>
        <v>0</v>
      </c>
    </row>
    <row r="150" spans="1:8" ht="14.25" customHeight="1">
      <c r="A150" s="552"/>
      <c r="B150" s="511"/>
      <c r="C150" s="561"/>
      <c r="D150" s="714"/>
      <c r="E150" s="53" t="s">
        <v>146</v>
      </c>
      <c r="F150" s="100">
        <v>77500</v>
      </c>
      <c r="G150" s="557"/>
      <c r="H150" s="119">
        <f t="shared" si="8"/>
        <v>77500</v>
      </c>
    </row>
    <row r="151" spans="1:8" ht="12.75" customHeight="1">
      <c r="A151" s="552"/>
      <c r="B151" s="511">
        <v>12</v>
      </c>
      <c r="C151" s="561" t="s">
        <v>297</v>
      </c>
      <c r="D151" s="714" t="s">
        <v>106</v>
      </c>
      <c r="E151" s="1012" t="s">
        <v>1032</v>
      </c>
      <c r="F151" s="1013"/>
      <c r="G151" s="1014"/>
      <c r="H151" s="119"/>
    </row>
    <row r="152" spans="1:8" ht="14.25" customHeight="1">
      <c r="A152" s="552"/>
      <c r="B152" s="511"/>
      <c r="C152" s="561"/>
      <c r="D152" s="714"/>
      <c r="E152" s="53" t="s">
        <v>144</v>
      </c>
      <c r="F152" s="100">
        <v>0</v>
      </c>
      <c r="G152" s="557"/>
      <c r="H152" s="119">
        <f t="shared" si="8"/>
        <v>0</v>
      </c>
    </row>
    <row r="153" spans="1:8" ht="14.25" customHeight="1">
      <c r="A153" s="552"/>
      <c r="B153" s="511"/>
      <c r="C153" s="561"/>
      <c r="D153" s="714"/>
      <c r="E153" s="53" t="s">
        <v>145</v>
      </c>
      <c r="F153" s="100">
        <v>0</v>
      </c>
      <c r="G153" s="589"/>
      <c r="H153" s="119">
        <f t="shared" si="8"/>
        <v>0</v>
      </c>
    </row>
    <row r="154" spans="1:8" ht="14.25" customHeight="1">
      <c r="A154" s="573"/>
      <c r="B154" s="659"/>
      <c r="C154" s="1359"/>
      <c r="D154" s="1360"/>
      <c r="E154" s="724" t="s">
        <v>146</v>
      </c>
      <c r="F154" s="120">
        <v>2126564</v>
      </c>
      <c r="G154" s="559"/>
      <c r="H154" s="119">
        <f t="shared" si="8"/>
        <v>2126564</v>
      </c>
    </row>
    <row r="155" spans="1:8" ht="16.5" customHeight="1">
      <c r="A155" s="1516" t="s">
        <v>232</v>
      </c>
      <c r="B155" s="1517"/>
      <c r="C155" s="1517"/>
      <c r="D155" s="1517"/>
      <c r="E155" s="1518"/>
      <c r="F155" s="568"/>
      <c r="G155" s="128"/>
      <c r="H155" s="119"/>
    </row>
    <row r="156" spans="1:8" ht="13.5" customHeight="1">
      <c r="A156" s="104"/>
      <c r="B156" s="105"/>
      <c r="C156" s="105"/>
      <c r="D156" s="105"/>
      <c r="E156" s="53" t="s">
        <v>144</v>
      </c>
      <c r="F156" s="650"/>
      <c r="G156" s="651">
        <f>G160+G164+G168+G172+G176+G180+G184+G188+G192+G196+G200+G204+G208+G216+G212</f>
        <v>0</v>
      </c>
      <c r="H156" s="125">
        <f>G156</f>
        <v>0</v>
      </c>
    </row>
    <row r="157" spans="1:8" ht="13.5" customHeight="1">
      <c r="A157" s="104"/>
      <c r="B157" s="105"/>
      <c r="C157" s="105"/>
      <c r="D157" s="105"/>
      <c r="E157" s="53" t="s">
        <v>145</v>
      </c>
      <c r="F157" s="650"/>
      <c r="G157" s="651">
        <f>G161+G165+G169+G173+G177+G181+G185+G189+G193+G197+G201+G205+G209+G217+G213</f>
        <v>1737235208</v>
      </c>
      <c r="H157" s="125">
        <f>G157</f>
        <v>1737235208</v>
      </c>
    </row>
    <row r="158" spans="1:8" ht="13.5" customHeight="1">
      <c r="A158" s="104"/>
      <c r="B158" s="105"/>
      <c r="C158" s="105"/>
      <c r="D158" s="105"/>
      <c r="E158" s="210" t="s">
        <v>146</v>
      </c>
      <c r="F158" s="650"/>
      <c r="G158" s="651">
        <f>G162+G166+G170+G174+G178+G182+G186+G190+G194+G198+G202+G206+G210+G218+G214+G222</f>
        <v>790914999</v>
      </c>
      <c r="H158" s="125">
        <f>G158</f>
        <v>790914999</v>
      </c>
    </row>
    <row r="159" spans="1:8" ht="15" customHeight="1">
      <c r="A159" s="565"/>
      <c r="B159" s="566">
        <v>1</v>
      </c>
      <c r="C159" s="567" t="s">
        <v>233</v>
      </c>
      <c r="D159" s="567" t="s">
        <v>107</v>
      </c>
      <c r="E159" s="1136" t="s">
        <v>884</v>
      </c>
      <c r="F159" s="1137"/>
      <c r="G159" s="569"/>
      <c r="H159" s="119"/>
    </row>
    <row r="160" spans="1:8" ht="13.5" customHeight="1">
      <c r="A160" s="104"/>
      <c r="B160" s="94"/>
      <c r="C160" s="419"/>
      <c r="D160" s="419"/>
      <c r="E160" s="53" t="s">
        <v>144</v>
      </c>
      <c r="F160" s="568"/>
      <c r="G160" s="569">
        <v>0</v>
      </c>
      <c r="H160" s="119">
        <f>G160</f>
        <v>0</v>
      </c>
    </row>
    <row r="161" spans="1:8" ht="13.5" customHeight="1">
      <c r="A161" s="104"/>
      <c r="B161" s="94"/>
      <c r="C161" s="419"/>
      <c r="D161" s="419"/>
      <c r="E161" s="53" t="s">
        <v>145</v>
      </c>
      <c r="F161" s="568"/>
      <c r="G161" s="569">
        <v>500000</v>
      </c>
      <c r="H161" s="119">
        <f aca="true" t="shared" si="9" ref="H161:H218">G161</f>
        <v>500000</v>
      </c>
    </row>
    <row r="162" spans="1:8" ht="13.5" customHeight="1">
      <c r="A162" s="104"/>
      <c r="B162" s="94"/>
      <c r="C162" s="419"/>
      <c r="D162" s="419"/>
      <c r="E162" s="210" t="s">
        <v>146</v>
      </c>
      <c r="F162" s="568"/>
      <c r="G162" s="569">
        <v>153060</v>
      </c>
      <c r="H162" s="119">
        <f t="shared" si="9"/>
        <v>153060</v>
      </c>
    </row>
    <row r="163" spans="1:8" ht="18" customHeight="1">
      <c r="A163" s="104"/>
      <c r="B163" s="94">
        <v>2</v>
      </c>
      <c r="C163" s="419" t="s">
        <v>233</v>
      </c>
      <c r="D163" s="419" t="s">
        <v>107</v>
      </c>
      <c r="E163" s="425" t="s">
        <v>885</v>
      </c>
      <c r="F163" s="568"/>
      <c r="G163" s="569"/>
      <c r="H163" s="119"/>
    </row>
    <row r="164" spans="1:8" ht="13.5" customHeight="1">
      <c r="A164" s="104"/>
      <c r="B164" s="94"/>
      <c r="C164" s="419"/>
      <c r="D164" s="419"/>
      <c r="E164" s="53" t="s">
        <v>144</v>
      </c>
      <c r="F164" s="568"/>
      <c r="G164" s="569">
        <v>0</v>
      </c>
      <c r="H164" s="119">
        <f t="shared" si="9"/>
        <v>0</v>
      </c>
    </row>
    <row r="165" spans="1:8" ht="13.5" customHeight="1">
      <c r="A165" s="104"/>
      <c r="B165" s="94"/>
      <c r="C165" s="419"/>
      <c r="D165" s="419"/>
      <c r="E165" s="53" t="s">
        <v>145</v>
      </c>
      <c r="F165" s="568"/>
      <c r="G165" s="569">
        <v>6975500</v>
      </c>
      <c r="H165" s="119">
        <f t="shared" si="9"/>
        <v>6975500</v>
      </c>
    </row>
    <row r="166" spans="1:8" ht="13.5" customHeight="1">
      <c r="A166" s="104"/>
      <c r="B166" s="94"/>
      <c r="C166" s="419"/>
      <c r="D166" s="419"/>
      <c r="E166" s="210" t="s">
        <v>146</v>
      </c>
      <c r="F166" s="568"/>
      <c r="G166" s="569">
        <v>0</v>
      </c>
      <c r="H166" s="119">
        <f t="shared" si="9"/>
        <v>0</v>
      </c>
    </row>
    <row r="167" spans="1:8" ht="25.5">
      <c r="A167" s="104"/>
      <c r="B167" s="94">
        <v>3</v>
      </c>
      <c r="C167" s="419" t="s">
        <v>233</v>
      </c>
      <c r="D167" s="419" t="s">
        <v>106</v>
      </c>
      <c r="E167" s="1017" t="s">
        <v>880</v>
      </c>
      <c r="F167" s="1037"/>
      <c r="G167" s="425"/>
      <c r="H167" s="119"/>
    </row>
    <row r="168" spans="1:8" ht="13.5" customHeight="1">
      <c r="A168" s="104"/>
      <c r="B168" s="94"/>
      <c r="C168" s="419"/>
      <c r="D168" s="419"/>
      <c r="E168" s="53" t="s">
        <v>144</v>
      </c>
      <c r="F168" s="568"/>
      <c r="G168" s="569">
        <v>0</v>
      </c>
      <c r="H168" s="119">
        <f t="shared" si="9"/>
        <v>0</v>
      </c>
    </row>
    <row r="169" spans="1:8" ht="13.5" customHeight="1">
      <c r="A169" s="104"/>
      <c r="B169" s="94"/>
      <c r="C169" s="419"/>
      <c r="D169" s="419"/>
      <c r="E169" s="53" t="s">
        <v>145</v>
      </c>
      <c r="F169" s="568"/>
      <c r="G169" s="569">
        <v>2160000</v>
      </c>
      <c r="H169" s="119">
        <f t="shared" si="9"/>
        <v>2160000</v>
      </c>
    </row>
    <row r="170" spans="1:8" ht="13.5" customHeight="1">
      <c r="A170" s="104"/>
      <c r="B170" s="94"/>
      <c r="C170" s="419"/>
      <c r="D170" s="419"/>
      <c r="E170" s="210" t="s">
        <v>146</v>
      </c>
      <c r="F170" s="568"/>
      <c r="G170" s="569">
        <v>2160000</v>
      </c>
      <c r="H170" s="119">
        <f t="shared" si="9"/>
        <v>2160000</v>
      </c>
    </row>
    <row r="171" spans="1:8" ht="13.5" customHeight="1">
      <c r="A171" s="104"/>
      <c r="B171" s="99">
        <v>4</v>
      </c>
      <c r="C171" s="419" t="s">
        <v>233</v>
      </c>
      <c r="D171" s="419" t="s">
        <v>106</v>
      </c>
      <c r="E171" s="1017" t="s">
        <v>886</v>
      </c>
      <c r="F171" s="1037"/>
      <c r="G171" s="425"/>
      <c r="H171" s="119"/>
    </row>
    <row r="172" spans="1:8" ht="13.5" customHeight="1">
      <c r="A172" s="104"/>
      <c r="B172" s="1015"/>
      <c r="C172" s="419"/>
      <c r="D172" s="560"/>
      <c r="E172" s="53" t="s">
        <v>144</v>
      </c>
      <c r="F172" s="568"/>
      <c r="G172" s="569">
        <v>0</v>
      </c>
      <c r="H172" s="119">
        <f t="shared" si="9"/>
        <v>0</v>
      </c>
    </row>
    <row r="173" spans="1:8" ht="13.5" customHeight="1">
      <c r="A173" s="104"/>
      <c r="B173" s="1015"/>
      <c r="C173" s="419"/>
      <c r="D173" s="560"/>
      <c r="E173" s="53" t="s">
        <v>145</v>
      </c>
      <c r="F173" s="568"/>
      <c r="G173" s="569">
        <v>384412328</v>
      </c>
      <c r="H173" s="119">
        <f t="shared" si="9"/>
        <v>384412328</v>
      </c>
    </row>
    <row r="174" spans="1:8" ht="13.5" customHeight="1">
      <c r="A174" s="104"/>
      <c r="B174" s="1015"/>
      <c r="C174" s="419"/>
      <c r="D174" s="560"/>
      <c r="E174" s="210" t="s">
        <v>146</v>
      </c>
      <c r="F174" s="568"/>
      <c r="G174" s="569">
        <v>377442328</v>
      </c>
      <c r="H174" s="119">
        <f t="shared" si="9"/>
        <v>377442328</v>
      </c>
    </row>
    <row r="175" spans="1:8" ht="17.25" customHeight="1">
      <c r="A175" s="104"/>
      <c r="B175" s="94">
        <v>5</v>
      </c>
      <c r="C175" s="419" t="s">
        <v>233</v>
      </c>
      <c r="D175" s="419" t="s">
        <v>106</v>
      </c>
      <c r="E175" s="1017" t="s">
        <v>887</v>
      </c>
      <c r="F175" s="1037"/>
      <c r="G175" s="425"/>
      <c r="H175" s="119"/>
    </row>
    <row r="176" spans="1:8" ht="12.75" customHeight="1">
      <c r="A176" s="104"/>
      <c r="B176" s="94"/>
      <c r="C176" s="419"/>
      <c r="D176" s="419"/>
      <c r="E176" s="53" t="s">
        <v>144</v>
      </c>
      <c r="F176" s="568"/>
      <c r="G176" s="569">
        <v>0</v>
      </c>
      <c r="H176" s="119">
        <f t="shared" si="9"/>
        <v>0</v>
      </c>
    </row>
    <row r="177" spans="1:8" ht="12.75" customHeight="1">
      <c r="A177" s="104"/>
      <c r="B177" s="94"/>
      <c r="C177" s="419"/>
      <c r="D177" s="419"/>
      <c r="E177" s="53" t="s">
        <v>145</v>
      </c>
      <c r="F177" s="568"/>
      <c r="G177" s="569">
        <v>5877672</v>
      </c>
      <c r="H177" s="119">
        <f t="shared" si="9"/>
        <v>5877672</v>
      </c>
    </row>
    <row r="178" spans="1:8" ht="12.75" customHeight="1">
      <c r="A178" s="104"/>
      <c r="B178" s="94"/>
      <c r="C178" s="419"/>
      <c r="D178" s="419"/>
      <c r="E178" s="210" t="s">
        <v>146</v>
      </c>
      <c r="F178" s="568"/>
      <c r="G178" s="569">
        <v>5877672</v>
      </c>
      <c r="H178" s="119">
        <f t="shared" si="9"/>
        <v>5877672</v>
      </c>
    </row>
    <row r="179" spans="1:8" ht="17.25" customHeight="1">
      <c r="A179" s="104"/>
      <c r="B179" s="94">
        <v>6</v>
      </c>
      <c r="C179" s="419" t="s">
        <v>233</v>
      </c>
      <c r="D179" s="419" t="s">
        <v>106</v>
      </c>
      <c r="E179" s="425" t="s">
        <v>888</v>
      </c>
      <c r="F179" s="568"/>
      <c r="G179" s="569"/>
      <c r="H179" s="119"/>
    </row>
    <row r="180" spans="1:8" ht="12.75" customHeight="1">
      <c r="A180" s="104"/>
      <c r="B180" s="94"/>
      <c r="C180" s="419"/>
      <c r="D180" s="419"/>
      <c r="E180" s="53" t="s">
        <v>144</v>
      </c>
      <c r="F180" s="568"/>
      <c r="G180" s="569">
        <v>0</v>
      </c>
      <c r="H180" s="119">
        <f t="shared" si="9"/>
        <v>0</v>
      </c>
    </row>
    <row r="181" spans="1:8" ht="12.75" customHeight="1">
      <c r="A181" s="104"/>
      <c r="B181" s="94"/>
      <c r="C181" s="419"/>
      <c r="D181" s="419"/>
      <c r="E181" s="53" t="s">
        <v>145</v>
      </c>
      <c r="F181" s="568"/>
      <c r="G181" s="569">
        <v>249860529</v>
      </c>
      <c r="H181" s="119">
        <f t="shared" si="9"/>
        <v>249860529</v>
      </c>
    </row>
    <row r="182" spans="1:8" ht="12.75" customHeight="1">
      <c r="A182" s="104"/>
      <c r="B182" s="94"/>
      <c r="C182" s="419"/>
      <c r="D182" s="419"/>
      <c r="E182" s="210" t="s">
        <v>146</v>
      </c>
      <c r="F182" s="568"/>
      <c r="G182" s="569">
        <v>244622074</v>
      </c>
      <c r="H182" s="119">
        <f t="shared" si="9"/>
        <v>244622074</v>
      </c>
    </row>
    <row r="183" spans="1:8" ht="26.25" customHeight="1">
      <c r="A183" s="104"/>
      <c r="B183" s="94">
        <v>7</v>
      </c>
      <c r="C183" s="419" t="s">
        <v>897</v>
      </c>
      <c r="D183" s="419" t="s">
        <v>106</v>
      </c>
      <c r="E183" s="425" t="s">
        <v>889</v>
      </c>
      <c r="F183" s="568"/>
      <c r="G183" s="569"/>
      <c r="H183" s="119"/>
    </row>
    <row r="184" spans="1:8" ht="12.75" customHeight="1">
      <c r="A184" s="104"/>
      <c r="B184" s="94"/>
      <c r="C184" s="419"/>
      <c r="D184" s="419"/>
      <c r="E184" s="53" t="s">
        <v>144</v>
      </c>
      <c r="F184" s="568"/>
      <c r="G184" s="569">
        <v>0</v>
      </c>
      <c r="H184" s="119">
        <f t="shared" si="9"/>
        <v>0</v>
      </c>
    </row>
    <row r="185" spans="1:8" ht="12.75" customHeight="1">
      <c r="A185" s="104"/>
      <c r="B185" s="94"/>
      <c r="C185" s="419"/>
      <c r="D185" s="419"/>
      <c r="E185" s="53" t="s">
        <v>145</v>
      </c>
      <c r="F185" s="568"/>
      <c r="G185" s="569">
        <v>139965836</v>
      </c>
      <c r="H185" s="119">
        <f t="shared" si="9"/>
        <v>139965836</v>
      </c>
    </row>
    <row r="186" spans="1:8" ht="12.75" customHeight="1">
      <c r="A186" s="104"/>
      <c r="B186" s="94"/>
      <c r="C186" s="419"/>
      <c r="D186" s="419"/>
      <c r="E186" s="210" t="s">
        <v>146</v>
      </c>
      <c r="F186" s="568"/>
      <c r="G186" s="569">
        <v>137019157</v>
      </c>
      <c r="H186" s="119">
        <f t="shared" si="9"/>
        <v>137019157</v>
      </c>
    </row>
    <row r="187" spans="1:8" ht="25.5" customHeight="1">
      <c r="A187" s="104"/>
      <c r="B187" s="94">
        <v>8</v>
      </c>
      <c r="C187" s="419" t="s">
        <v>897</v>
      </c>
      <c r="D187" s="419" t="s">
        <v>107</v>
      </c>
      <c r="E187" s="1136" t="s">
        <v>890</v>
      </c>
      <c r="F187" s="1137"/>
      <c r="G187" s="569"/>
      <c r="H187" s="119"/>
    </row>
    <row r="188" spans="1:8" ht="14.25" customHeight="1">
      <c r="A188" s="104"/>
      <c r="B188" s="94"/>
      <c r="C188" s="419"/>
      <c r="D188" s="419"/>
      <c r="E188" s="53" t="s">
        <v>144</v>
      </c>
      <c r="F188" s="568"/>
      <c r="G188" s="569">
        <v>0</v>
      </c>
      <c r="H188" s="119">
        <f t="shared" si="9"/>
        <v>0</v>
      </c>
    </row>
    <row r="189" spans="1:8" ht="14.25" customHeight="1">
      <c r="A189" s="104"/>
      <c r="B189" s="94"/>
      <c r="C189" s="419"/>
      <c r="D189" s="419"/>
      <c r="E189" s="53" t="s">
        <v>145</v>
      </c>
      <c r="F189" s="568"/>
      <c r="G189" s="569">
        <v>10414811</v>
      </c>
      <c r="H189" s="119">
        <f t="shared" si="9"/>
        <v>10414811</v>
      </c>
    </row>
    <row r="190" spans="1:8" ht="14.25" customHeight="1">
      <c r="A190" s="104"/>
      <c r="B190" s="94"/>
      <c r="C190" s="419"/>
      <c r="D190" s="419"/>
      <c r="E190" s="210" t="s">
        <v>146</v>
      </c>
      <c r="F190" s="568"/>
      <c r="G190" s="569">
        <v>10414811</v>
      </c>
      <c r="H190" s="119">
        <f t="shared" si="9"/>
        <v>10414811</v>
      </c>
    </row>
    <row r="191" spans="1:8" ht="13.5" customHeight="1">
      <c r="A191" s="104"/>
      <c r="B191" s="94">
        <v>9</v>
      </c>
      <c r="C191" s="419" t="s">
        <v>298</v>
      </c>
      <c r="D191" s="419" t="s">
        <v>107</v>
      </c>
      <c r="E191" s="1017" t="s">
        <v>891</v>
      </c>
      <c r="F191" s="1037"/>
      <c r="G191" s="569"/>
      <c r="H191" s="119"/>
    </row>
    <row r="192" spans="1:8" ht="12" customHeight="1">
      <c r="A192" s="104"/>
      <c r="B192" s="94"/>
      <c r="C192" s="419"/>
      <c r="D192" s="419"/>
      <c r="E192" s="53" t="s">
        <v>144</v>
      </c>
      <c r="F192" s="568"/>
      <c r="G192" s="569">
        <v>0</v>
      </c>
      <c r="H192" s="119">
        <f t="shared" si="9"/>
        <v>0</v>
      </c>
    </row>
    <row r="193" spans="1:8" ht="12" customHeight="1">
      <c r="A193" s="104"/>
      <c r="B193" s="94"/>
      <c r="C193" s="419"/>
      <c r="D193" s="419"/>
      <c r="E193" s="53" t="s">
        <v>145</v>
      </c>
      <c r="F193" s="568"/>
      <c r="G193" s="569">
        <v>9000000</v>
      </c>
      <c r="H193" s="119">
        <f t="shared" si="9"/>
        <v>9000000</v>
      </c>
    </row>
    <row r="194" spans="1:8" ht="12" customHeight="1">
      <c r="A194" s="104"/>
      <c r="B194" s="94"/>
      <c r="C194" s="419"/>
      <c r="D194" s="419"/>
      <c r="E194" s="210" t="s">
        <v>146</v>
      </c>
      <c r="F194" s="568"/>
      <c r="G194" s="569">
        <v>9000000</v>
      </c>
      <c r="H194" s="119">
        <f t="shared" si="9"/>
        <v>9000000</v>
      </c>
    </row>
    <row r="195" spans="1:8" ht="16.5" customHeight="1">
      <c r="A195" s="104"/>
      <c r="B195" s="94">
        <v>10</v>
      </c>
      <c r="C195" s="419" t="s">
        <v>298</v>
      </c>
      <c r="D195" s="419" t="s">
        <v>106</v>
      </c>
      <c r="E195" s="1251" t="s">
        <v>892</v>
      </c>
      <c r="F195" s="568"/>
      <c r="G195" s="569"/>
      <c r="H195" s="119"/>
    </row>
    <row r="196" spans="1:8" ht="14.25" customHeight="1">
      <c r="A196" s="104"/>
      <c r="B196" s="94"/>
      <c r="C196" s="419"/>
      <c r="D196" s="419"/>
      <c r="E196" s="53" t="s">
        <v>144</v>
      </c>
      <c r="F196" s="568"/>
      <c r="G196" s="569">
        <v>0</v>
      </c>
      <c r="H196" s="119">
        <f t="shared" si="9"/>
        <v>0</v>
      </c>
    </row>
    <row r="197" spans="1:8" ht="14.25" customHeight="1">
      <c r="A197" s="104"/>
      <c r="B197" s="94"/>
      <c r="C197" s="419"/>
      <c r="D197" s="419"/>
      <c r="E197" s="53" t="s">
        <v>145</v>
      </c>
      <c r="F197" s="568"/>
      <c r="G197" s="569">
        <v>3189000</v>
      </c>
      <c r="H197" s="119">
        <f t="shared" si="9"/>
        <v>3189000</v>
      </c>
    </row>
    <row r="198" spans="1:8" ht="14.25" customHeight="1">
      <c r="A198" s="104"/>
      <c r="B198" s="94"/>
      <c r="C198" s="419"/>
      <c r="D198" s="419"/>
      <c r="E198" s="210" t="s">
        <v>146</v>
      </c>
      <c r="F198" s="568"/>
      <c r="G198" s="569">
        <v>3189000</v>
      </c>
      <c r="H198" s="119">
        <f t="shared" si="9"/>
        <v>3189000</v>
      </c>
    </row>
    <row r="199" spans="1:8" ht="16.5" customHeight="1">
      <c r="A199" s="104"/>
      <c r="B199" s="94">
        <v>11</v>
      </c>
      <c r="C199" s="419" t="s">
        <v>298</v>
      </c>
      <c r="D199" s="419" t="s">
        <v>106</v>
      </c>
      <c r="E199" s="1016" t="s">
        <v>893</v>
      </c>
      <c r="F199" s="568"/>
      <c r="G199" s="569"/>
      <c r="H199" s="119"/>
    </row>
    <row r="200" spans="1:8" ht="15" customHeight="1">
      <c r="A200" s="104"/>
      <c r="B200" s="94"/>
      <c r="C200" s="419"/>
      <c r="D200" s="419"/>
      <c r="E200" s="53" t="s">
        <v>144</v>
      </c>
      <c r="F200" s="568"/>
      <c r="G200" s="569">
        <v>0</v>
      </c>
      <c r="H200" s="119">
        <f t="shared" si="9"/>
        <v>0</v>
      </c>
    </row>
    <row r="201" spans="1:8" ht="15" customHeight="1">
      <c r="A201" s="104"/>
      <c r="B201" s="94"/>
      <c r="C201" s="419"/>
      <c r="D201" s="419"/>
      <c r="E201" s="53" t="s">
        <v>145</v>
      </c>
      <c r="F201" s="568"/>
      <c r="G201" s="569">
        <v>91197</v>
      </c>
      <c r="H201" s="119">
        <f t="shared" si="9"/>
        <v>91197</v>
      </c>
    </row>
    <row r="202" spans="1:8" ht="15" customHeight="1">
      <c r="A202" s="104"/>
      <c r="B202" s="94"/>
      <c r="C202" s="419"/>
      <c r="D202" s="419"/>
      <c r="E202" s="53" t="s">
        <v>146</v>
      </c>
      <c r="F202" s="568"/>
      <c r="G202" s="569">
        <v>91197</v>
      </c>
      <c r="H202" s="119">
        <f t="shared" si="9"/>
        <v>91197</v>
      </c>
    </row>
    <row r="203" spans="1:8" ht="24" customHeight="1">
      <c r="A203" s="104"/>
      <c r="B203" s="94">
        <v>12</v>
      </c>
      <c r="C203" s="419" t="s">
        <v>897</v>
      </c>
      <c r="D203" s="419" t="s">
        <v>106</v>
      </c>
      <c r="E203" s="1252" t="s">
        <v>894</v>
      </c>
      <c r="F203" s="1037"/>
      <c r="G203" s="569"/>
      <c r="H203" s="119"/>
    </row>
    <row r="204" spans="1:8" ht="13.5" customHeight="1">
      <c r="A204" s="104"/>
      <c r="B204" s="94"/>
      <c r="C204" s="419"/>
      <c r="D204" s="419"/>
      <c r="E204" s="53" t="s">
        <v>144</v>
      </c>
      <c r="F204" s="568"/>
      <c r="G204" s="569">
        <v>0</v>
      </c>
      <c r="H204" s="119">
        <f t="shared" si="9"/>
        <v>0</v>
      </c>
    </row>
    <row r="205" spans="1:8" ht="13.5" customHeight="1">
      <c r="A205" s="104"/>
      <c r="B205" s="94"/>
      <c r="C205" s="419"/>
      <c r="D205" s="419"/>
      <c r="E205" s="53" t="s">
        <v>145</v>
      </c>
      <c r="F205" s="568"/>
      <c r="G205" s="569">
        <v>420000000</v>
      </c>
      <c r="H205" s="119">
        <f t="shared" si="9"/>
        <v>420000000</v>
      </c>
    </row>
    <row r="206" spans="1:8" ht="13.5" customHeight="1">
      <c r="A206" s="104"/>
      <c r="B206" s="94"/>
      <c r="C206" s="419"/>
      <c r="D206" s="419"/>
      <c r="E206" s="210" t="s">
        <v>146</v>
      </c>
      <c r="F206" s="568"/>
      <c r="G206" s="569">
        <v>0</v>
      </c>
      <c r="H206" s="119">
        <f t="shared" si="9"/>
        <v>0</v>
      </c>
    </row>
    <row r="207" spans="1:8" ht="13.5" customHeight="1">
      <c r="A207" s="104"/>
      <c r="B207" s="94">
        <v>13</v>
      </c>
      <c r="C207" s="419" t="s">
        <v>897</v>
      </c>
      <c r="D207" s="419" t="s">
        <v>106</v>
      </c>
      <c r="E207" s="1251" t="s">
        <v>895</v>
      </c>
      <c r="F207" s="568"/>
      <c r="G207" s="569"/>
      <c r="H207" s="119"/>
    </row>
    <row r="208" spans="1:8" ht="13.5" customHeight="1">
      <c r="A208" s="104"/>
      <c r="B208" s="94"/>
      <c r="C208" s="419"/>
      <c r="D208" s="419"/>
      <c r="E208" s="53" t="s">
        <v>144</v>
      </c>
      <c r="F208" s="568"/>
      <c r="G208" s="569">
        <v>0</v>
      </c>
      <c r="H208" s="119">
        <f t="shared" si="9"/>
        <v>0</v>
      </c>
    </row>
    <row r="209" spans="1:8" ht="13.5" customHeight="1">
      <c r="A209" s="104"/>
      <c r="B209" s="94"/>
      <c r="C209" s="419"/>
      <c r="D209" s="419"/>
      <c r="E209" s="53" t="s">
        <v>145</v>
      </c>
      <c r="F209" s="568"/>
      <c r="G209" s="569">
        <v>280000000</v>
      </c>
      <c r="H209" s="119">
        <f t="shared" si="9"/>
        <v>280000000</v>
      </c>
    </row>
    <row r="210" spans="1:8" ht="13.5" customHeight="1">
      <c r="A210" s="104"/>
      <c r="B210" s="94"/>
      <c r="C210" s="419"/>
      <c r="D210" s="419"/>
      <c r="E210" s="53" t="s">
        <v>146</v>
      </c>
      <c r="F210" s="568"/>
      <c r="G210" s="569">
        <v>0</v>
      </c>
      <c r="H210" s="119">
        <f t="shared" si="9"/>
        <v>0</v>
      </c>
    </row>
    <row r="211" spans="1:8" ht="13.5" customHeight="1">
      <c r="A211" s="104"/>
      <c r="B211" s="94">
        <v>14</v>
      </c>
      <c r="C211" s="419" t="s">
        <v>897</v>
      </c>
      <c r="D211" s="419" t="s">
        <v>106</v>
      </c>
      <c r="E211" s="1253" t="s">
        <v>896</v>
      </c>
      <c r="F211" s="568"/>
      <c r="G211" s="693"/>
      <c r="H211" s="119"/>
    </row>
    <row r="212" spans="1:8" ht="13.5" customHeight="1">
      <c r="A212" s="104"/>
      <c r="B212" s="94"/>
      <c r="C212" s="419"/>
      <c r="D212" s="419"/>
      <c r="E212" s="53" t="s">
        <v>144</v>
      </c>
      <c r="F212" s="568"/>
      <c r="G212" s="693">
        <v>0</v>
      </c>
      <c r="H212" s="119">
        <f>G212</f>
        <v>0</v>
      </c>
    </row>
    <row r="213" spans="1:8" ht="13.5" customHeight="1">
      <c r="A213" s="104"/>
      <c r="B213" s="94"/>
      <c r="C213" s="419"/>
      <c r="D213" s="419"/>
      <c r="E213" s="53" t="s">
        <v>145</v>
      </c>
      <c r="F213" s="568"/>
      <c r="G213" s="693">
        <v>30000000</v>
      </c>
      <c r="H213" s="119">
        <f>G213</f>
        <v>30000000</v>
      </c>
    </row>
    <row r="214" spans="1:8" ht="13.5" customHeight="1">
      <c r="A214" s="104"/>
      <c r="B214" s="94"/>
      <c r="C214" s="419"/>
      <c r="D214" s="419"/>
      <c r="E214" s="53" t="s">
        <v>146</v>
      </c>
      <c r="F214" s="568"/>
      <c r="G214" s="693">
        <v>0</v>
      </c>
      <c r="H214" s="119">
        <f>G214</f>
        <v>0</v>
      </c>
    </row>
    <row r="215" spans="1:8" ht="13.5" customHeight="1">
      <c r="A215" s="104"/>
      <c r="B215" s="94">
        <v>15</v>
      </c>
      <c r="C215" s="419" t="s">
        <v>233</v>
      </c>
      <c r="D215" s="419" t="s">
        <v>106</v>
      </c>
      <c r="E215" s="1252" t="s">
        <v>898</v>
      </c>
      <c r="F215" s="1037"/>
      <c r="G215" s="425"/>
      <c r="H215" s="119"/>
    </row>
    <row r="216" spans="1:8" ht="13.5" customHeight="1">
      <c r="A216" s="104"/>
      <c r="B216" s="94"/>
      <c r="C216" s="419"/>
      <c r="D216" s="419"/>
      <c r="E216" s="53" t="s">
        <v>144</v>
      </c>
      <c r="F216" s="570"/>
      <c r="G216" s="571">
        <v>0</v>
      </c>
      <c r="H216" s="119">
        <f t="shared" si="9"/>
        <v>0</v>
      </c>
    </row>
    <row r="217" spans="1:8" ht="13.5" customHeight="1">
      <c r="A217" s="104"/>
      <c r="B217" s="94"/>
      <c r="C217" s="419"/>
      <c r="D217" s="419"/>
      <c r="E217" s="53" t="s">
        <v>145</v>
      </c>
      <c r="F217" s="570"/>
      <c r="G217" s="571">
        <v>194788335</v>
      </c>
      <c r="H217" s="119">
        <f t="shared" si="9"/>
        <v>194788335</v>
      </c>
    </row>
    <row r="218" spans="1:8" ht="13.5" customHeight="1">
      <c r="A218" s="104"/>
      <c r="B218" s="94"/>
      <c r="C218" s="419"/>
      <c r="D218" s="419"/>
      <c r="E218" s="210" t="s">
        <v>146</v>
      </c>
      <c r="F218" s="570"/>
      <c r="G218" s="571">
        <v>0</v>
      </c>
      <c r="H218" s="119">
        <f t="shared" si="9"/>
        <v>0</v>
      </c>
    </row>
    <row r="219" spans="1:8" ht="13.5" customHeight="1">
      <c r="A219" s="104"/>
      <c r="B219" s="94">
        <v>16</v>
      </c>
      <c r="C219" s="419" t="s">
        <v>897</v>
      </c>
      <c r="D219" s="419" t="s">
        <v>106</v>
      </c>
      <c r="E219" s="715" t="s">
        <v>85</v>
      </c>
      <c r="F219" s="568"/>
      <c r="G219" s="100"/>
      <c r="H219" s="125"/>
    </row>
    <row r="220" spans="1:8" ht="13.5" customHeight="1">
      <c r="A220" s="104"/>
      <c r="B220" s="94"/>
      <c r="C220" s="419"/>
      <c r="D220" s="419"/>
      <c r="E220" s="53" t="s">
        <v>144</v>
      </c>
      <c r="F220" s="568"/>
      <c r="G220" s="100">
        <v>0</v>
      </c>
      <c r="H220" s="125">
        <v>0</v>
      </c>
    </row>
    <row r="221" spans="1:8" ht="13.5" customHeight="1">
      <c r="A221" s="104"/>
      <c r="B221" s="94"/>
      <c r="C221" s="419"/>
      <c r="D221" s="419"/>
      <c r="E221" s="53" t="s">
        <v>145</v>
      </c>
      <c r="F221" s="568"/>
      <c r="G221" s="100">
        <v>0</v>
      </c>
      <c r="H221" s="125">
        <v>0</v>
      </c>
    </row>
    <row r="222" spans="1:8" ht="13.5" customHeight="1">
      <c r="A222" s="104"/>
      <c r="B222" s="94"/>
      <c r="C222" s="1323"/>
      <c r="D222" s="1323"/>
      <c r="E222" s="210" t="s">
        <v>146</v>
      </c>
      <c r="F222" s="1322"/>
      <c r="G222" s="615">
        <f>557930+387770</f>
        <v>945700</v>
      </c>
      <c r="H222" s="125">
        <f>G222</f>
        <v>945700</v>
      </c>
    </row>
    <row r="223" spans="1:8" ht="13.5" customHeight="1">
      <c r="A223" s="1550" t="s">
        <v>234</v>
      </c>
      <c r="B223" s="1551"/>
      <c r="C223" s="1551"/>
      <c r="D223" s="1551"/>
      <c r="E223" s="1552"/>
      <c r="F223" s="430"/>
      <c r="G223" s="493"/>
      <c r="H223" s="564"/>
    </row>
    <row r="224" spans="1:8" ht="13.5" customHeight="1">
      <c r="A224" s="104"/>
      <c r="B224" s="105"/>
      <c r="C224" s="105"/>
      <c r="D224" s="105"/>
      <c r="E224" s="53" t="s">
        <v>144</v>
      </c>
      <c r="F224" s="124">
        <f>F232+F236+F258+F265+F261</f>
        <v>636600000</v>
      </c>
      <c r="G224" s="651"/>
      <c r="H224" s="125">
        <f>F224</f>
        <v>636600000</v>
      </c>
    </row>
    <row r="225" spans="1:8" ht="13.5" customHeight="1">
      <c r="A225" s="104"/>
      <c r="B225" s="105"/>
      <c r="C225" s="105"/>
      <c r="D225" s="105"/>
      <c r="E225" s="53" t="s">
        <v>145</v>
      </c>
      <c r="F225" s="124">
        <f>F233+F237+F259+F266+F262</f>
        <v>636600000</v>
      </c>
      <c r="G225" s="651"/>
      <c r="H225" s="125">
        <f>F225</f>
        <v>636600000</v>
      </c>
    </row>
    <row r="226" spans="1:8" ht="13.5" customHeight="1">
      <c r="A226" s="653"/>
      <c r="B226" s="654"/>
      <c r="C226" s="654"/>
      <c r="D226" s="654"/>
      <c r="E226" s="210" t="s">
        <v>146</v>
      </c>
      <c r="F226" s="124">
        <f>F234+F238+F260+F263+F267</f>
        <v>926338186</v>
      </c>
      <c r="G226" s="651"/>
      <c r="H226" s="125">
        <f>F226</f>
        <v>926338186</v>
      </c>
    </row>
    <row r="227" spans="1:8" ht="14.25" customHeight="1">
      <c r="A227" s="1505" t="s">
        <v>235</v>
      </c>
      <c r="B227" s="1506"/>
      <c r="C227" s="1506"/>
      <c r="D227" s="1506"/>
      <c r="E227" s="1507"/>
      <c r="F227" s="100">
        <v>0</v>
      </c>
      <c r="G227" s="569"/>
      <c r="H227" s="558">
        <v>0</v>
      </c>
    </row>
    <row r="228" spans="1:8" ht="14.25" customHeight="1">
      <c r="A228" s="1505" t="s">
        <v>236</v>
      </c>
      <c r="B228" s="1506"/>
      <c r="C228" s="1506"/>
      <c r="D228" s="1506"/>
      <c r="E228" s="1507"/>
      <c r="F228" s="100">
        <v>0</v>
      </c>
      <c r="G228" s="569"/>
      <c r="H228" s="558">
        <v>0</v>
      </c>
    </row>
    <row r="229" spans="1:8" ht="14.25" customHeight="1">
      <c r="A229" s="1505" t="s">
        <v>237</v>
      </c>
      <c r="B229" s="1506"/>
      <c r="C229" s="1506"/>
      <c r="D229" s="1506"/>
      <c r="E229" s="1507"/>
      <c r="F229" s="100">
        <v>0</v>
      </c>
      <c r="G229" s="569"/>
      <c r="H229" s="558">
        <v>0</v>
      </c>
    </row>
    <row r="230" spans="1:8" ht="14.25" customHeight="1">
      <c r="A230" s="1508" t="s">
        <v>238</v>
      </c>
      <c r="B230" s="1509"/>
      <c r="C230" s="1509"/>
      <c r="D230" s="1509"/>
      <c r="E230" s="1507"/>
      <c r="F230" s="107"/>
      <c r="G230" s="128"/>
      <c r="H230" s="119"/>
    </row>
    <row r="231" spans="1:8" ht="13.5" customHeight="1">
      <c r="A231" s="552"/>
      <c r="B231" s="529">
        <v>1</v>
      </c>
      <c r="C231" s="587" t="s">
        <v>239</v>
      </c>
      <c r="D231" s="529" t="s">
        <v>107</v>
      </c>
      <c r="E231" s="575" t="s">
        <v>240</v>
      </c>
      <c r="F231" s="100"/>
      <c r="G231" s="569"/>
      <c r="H231" s="558"/>
    </row>
    <row r="232" spans="1:8" ht="13.5" customHeight="1">
      <c r="A232" s="552"/>
      <c r="B232" s="511"/>
      <c r="C232" s="587"/>
      <c r="D232" s="529"/>
      <c r="E232" s="655" t="s">
        <v>144</v>
      </c>
      <c r="F232" s="103">
        <v>60000000</v>
      </c>
      <c r="G232" s="615"/>
      <c r="H232" s="563">
        <f>F232</f>
        <v>60000000</v>
      </c>
    </row>
    <row r="233" spans="1:15" ht="13.5" customHeight="1">
      <c r="A233" s="552"/>
      <c r="B233" s="511"/>
      <c r="C233" s="587"/>
      <c r="D233" s="529"/>
      <c r="E233" s="53" t="s">
        <v>145</v>
      </c>
      <c r="F233" s="100">
        <v>60000000</v>
      </c>
      <c r="G233" s="569"/>
      <c r="H233" s="558">
        <f>F233</f>
        <v>60000000</v>
      </c>
      <c r="O233" s="1354"/>
    </row>
    <row r="234" spans="1:8" ht="13.5" customHeight="1">
      <c r="A234" s="573"/>
      <c r="B234" s="659"/>
      <c r="C234" s="574"/>
      <c r="D234" s="533"/>
      <c r="E234" s="53" t="s">
        <v>146</v>
      </c>
      <c r="F234" s="100">
        <v>64554978</v>
      </c>
      <c r="G234" s="569"/>
      <c r="H234" s="558">
        <f>F234</f>
        <v>64554978</v>
      </c>
    </row>
    <row r="235" spans="1:8" ht="13.5" customHeight="1">
      <c r="A235" s="1553" t="s">
        <v>241</v>
      </c>
      <c r="B235" s="1554"/>
      <c r="C235" s="1554"/>
      <c r="D235" s="1554"/>
      <c r="E235" s="1555"/>
      <c r="F235" s="106"/>
      <c r="G235" s="577"/>
      <c r="H235" s="126"/>
    </row>
    <row r="236" spans="1:8" ht="13.5" customHeight="1">
      <c r="A236" s="576"/>
      <c r="B236" s="424"/>
      <c r="C236" s="660"/>
      <c r="D236" s="424"/>
      <c r="E236" s="53" t="s">
        <v>144</v>
      </c>
      <c r="F236" s="107">
        <f>F240+F244+F248+F252</f>
        <v>572300000</v>
      </c>
      <c r="G236" s="128"/>
      <c r="H236" s="119">
        <f>F236</f>
        <v>572300000</v>
      </c>
    </row>
    <row r="237" spans="1:8" ht="13.5" customHeight="1">
      <c r="A237" s="576"/>
      <c r="B237" s="424"/>
      <c r="C237" s="660"/>
      <c r="D237" s="424"/>
      <c r="E237" s="53" t="s">
        <v>145</v>
      </c>
      <c r="F237" s="107">
        <f>F241+F245+F249+F253</f>
        <v>572300000</v>
      </c>
      <c r="G237" s="128"/>
      <c r="H237" s="119">
        <f aca="true" t="shared" si="10" ref="H237:H260">F237</f>
        <v>572300000</v>
      </c>
    </row>
    <row r="238" spans="1:8" ht="13.5" customHeight="1">
      <c r="A238" s="576"/>
      <c r="B238" s="424"/>
      <c r="C238" s="660"/>
      <c r="D238" s="424"/>
      <c r="E238" s="210" t="s">
        <v>146</v>
      </c>
      <c r="F238" s="107">
        <f>F242+F246+F250+F254</f>
        <v>857383675</v>
      </c>
      <c r="G238" s="577"/>
      <c r="H238" s="119">
        <f t="shared" si="10"/>
        <v>857383675</v>
      </c>
    </row>
    <row r="239" spans="1:8" ht="13.5" customHeight="1">
      <c r="A239" s="552"/>
      <c r="B239" s="511">
        <v>1</v>
      </c>
      <c r="C239" s="587" t="s">
        <v>242</v>
      </c>
      <c r="D239" s="529" t="s">
        <v>107</v>
      </c>
      <c r="E239" s="113" t="s">
        <v>243</v>
      </c>
      <c r="F239" s="100"/>
      <c r="G239" s="569"/>
      <c r="H239" s="119"/>
    </row>
    <row r="240" spans="1:8" ht="13.5" customHeight="1">
      <c r="A240" s="552"/>
      <c r="B240" s="511"/>
      <c r="C240" s="587"/>
      <c r="D240" s="529"/>
      <c r="E240" s="53" t="s">
        <v>144</v>
      </c>
      <c r="F240" s="100">
        <v>517000000</v>
      </c>
      <c r="G240" s="569"/>
      <c r="H240" s="119">
        <f t="shared" si="10"/>
        <v>517000000</v>
      </c>
    </row>
    <row r="241" spans="1:8" ht="13.5" customHeight="1">
      <c r="A241" s="552"/>
      <c r="B241" s="511"/>
      <c r="C241" s="587"/>
      <c r="D241" s="529"/>
      <c r="E241" s="53" t="s">
        <v>145</v>
      </c>
      <c r="F241" s="100">
        <v>517000000</v>
      </c>
      <c r="G241" s="569"/>
      <c r="H241" s="119">
        <f t="shared" si="10"/>
        <v>517000000</v>
      </c>
    </row>
    <row r="242" spans="1:8" ht="13.5" customHeight="1">
      <c r="A242" s="552"/>
      <c r="B242" s="511"/>
      <c r="C242" s="587"/>
      <c r="D242" s="529"/>
      <c r="E242" s="210" t="s">
        <v>146</v>
      </c>
      <c r="F242" s="100">
        <v>791334484</v>
      </c>
      <c r="G242" s="569"/>
      <c r="H242" s="119">
        <f t="shared" si="10"/>
        <v>791334484</v>
      </c>
    </row>
    <row r="243" spans="1:8" ht="13.5" customHeight="1">
      <c r="A243" s="552"/>
      <c r="B243" s="511">
        <v>2</v>
      </c>
      <c r="C243" s="587" t="s">
        <v>244</v>
      </c>
      <c r="D243" s="529" t="s">
        <v>106</v>
      </c>
      <c r="E243" s="102" t="s">
        <v>27</v>
      </c>
      <c r="F243" s="100"/>
      <c r="G243" s="569"/>
      <c r="H243" s="119"/>
    </row>
    <row r="244" spans="1:8" ht="13.5" customHeight="1">
      <c r="A244" s="552"/>
      <c r="B244" s="511"/>
      <c r="C244" s="587"/>
      <c r="D244" s="529"/>
      <c r="E244" s="53" t="s">
        <v>144</v>
      </c>
      <c r="F244" s="100">
        <v>50000000</v>
      </c>
      <c r="G244" s="569"/>
      <c r="H244" s="119">
        <f t="shared" si="10"/>
        <v>50000000</v>
      </c>
    </row>
    <row r="245" spans="1:8" ht="13.5" customHeight="1">
      <c r="A245" s="552"/>
      <c r="B245" s="511"/>
      <c r="C245" s="587"/>
      <c r="D245" s="529"/>
      <c r="E245" s="53" t="s">
        <v>145</v>
      </c>
      <c r="F245" s="100">
        <v>50000000</v>
      </c>
      <c r="G245" s="569"/>
      <c r="H245" s="119">
        <f t="shared" si="10"/>
        <v>50000000</v>
      </c>
    </row>
    <row r="246" spans="1:8" ht="13.5" customHeight="1">
      <c r="A246" s="552"/>
      <c r="B246" s="511"/>
      <c r="C246" s="587"/>
      <c r="D246" s="529"/>
      <c r="E246" s="210" t="s">
        <v>146</v>
      </c>
      <c r="F246" s="100">
        <v>57317791</v>
      </c>
      <c r="G246" s="569"/>
      <c r="H246" s="119">
        <f t="shared" si="10"/>
        <v>57317791</v>
      </c>
    </row>
    <row r="247" spans="1:8" ht="13.5" customHeight="1">
      <c r="A247" s="552"/>
      <c r="B247" s="511">
        <v>3</v>
      </c>
      <c r="C247" s="587" t="s">
        <v>245</v>
      </c>
      <c r="D247" s="547" t="s">
        <v>107</v>
      </c>
      <c r="E247" s="102" t="s">
        <v>246</v>
      </c>
      <c r="F247" s="102"/>
      <c r="G247" s="578"/>
      <c r="H247" s="119"/>
    </row>
    <row r="248" spans="1:8" ht="13.5" customHeight="1">
      <c r="A248" s="552"/>
      <c r="B248" s="511"/>
      <c r="C248" s="587"/>
      <c r="D248" s="547"/>
      <c r="E248" s="53" t="s">
        <v>144</v>
      </c>
      <c r="F248" s="110">
        <v>5000000</v>
      </c>
      <c r="G248" s="656"/>
      <c r="H248" s="119">
        <f t="shared" si="10"/>
        <v>5000000</v>
      </c>
    </row>
    <row r="249" spans="1:8" ht="13.5" customHeight="1">
      <c r="A249" s="552"/>
      <c r="B249" s="511"/>
      <c r="C249" s="587"/>
      <c r="D249" s="547"/>
      <c r="E249" s="53" t="s">
        <v>145</v>
      </c>
      <c r="F249" s="110">
        <v>5000000</v>
      </c>
      <c r="G249" s="656"/>
      <c r="H249" s="119">
        <f t="shared" si="10"/>
        <v>5000000</v>
      </c>
    </row>
    <row r="250" spans="1:8" ht="13.5" customHeight="1">
      <c r="A250" s="552"/>
      <c r="B250" s="511"/>
      <c r="C250" s="587"/>
      <c r="D250" s="547"/>
      <c r="E250" s="210" t="s">
        <v>146</v>
      </c>
      <c r="F250" s="110">
        <v>8731400</v>
      </c>
      <c r="G250" s="656"/>
      <c r="H250" s="119">
        <f t="shared" si="10"/>
        <v>8731400</v>
      </c>
    </row>
    <row r="251" spans="1:8" ht="13.5" customHeight="1">
      <c r="A251" s="552"/>
      <c r="B251" s="511">
        <v>4</v>
      </c>
      <c r="C251" s="587" t="s">
        <v>247</v>
      </c>
      <c r="D251" s="529" t="s">
        <v>106</v>
      </c>
      <c r="E251" s="110" t="s">
        <v>28</v>
      </c>
      <c r="F251" s="122"/>
      <c r="G251" s="571"/>
      <c r="H251" s="119"/>
    </row>
    <row r="252" spans="1:8" ht="13.5" customHeight="1">
      <c r="A252" s="552"/>
      <c r="B252" s="511"/>
      <c r="C252" s="587"/>
      <c r="D252" s="511"/>
      <c r="E252" s="53" t="s">
        <v>144</v>
      </c>
      <c r="F252" s="122">
        <v>300000</v>
      </c>
      <c r="G252" s="571"/>
      <c r="H252" s="119">
        <f t="shared" si="10"/>
        <v>300000</v>
      </c>
    </row>
    <row r="253" spans="1:8" ht="13.5" customHeight="1">
      <c r="A253" s="552"/>
      <c r="B253" s="511"/>
      <c r="C253" s="587"/>
      <c r="D253" s="511"/>
      <c r="E253" s="53" t="s">
        <v>145</v>
      </c>
      <c r="F253" s="122">
        <v>300000</v>
      </c>
      <c r="G253" s="571"/>
      <c r="H253" s="119">
        <f t="shared" si="10"/>
        <v>300000</v>
      </c>
    </row>
    <row r="254" spans="1:8" ht="13.5" customHeight="1">
      <c r="A254" s="573"/>
      <c r="B254" s="659"/>
      <c r="C254" s="574"/>
      <c r="D254" s="659"/>
      <c r="E254" s="724" t="s">
        <v>146</v>
      </c>
      <c r="F254" s="100">
        <v>0</v>
      </c>
      <c r="G254" s="569"/>
      <c r="H254" s="119">
        <f t="shared" si="10"/>
        <v>0</v>
      </c>
    </row>
    <row r="255" spans="1:8" ht="13.5" customHeight="1">
      <c r="A255" s="1508" t="s">
        <v>248</v>
      </c>
      <c r="B255" s="1509"/>
      <c r="C255" s="1509"/>
      <c r="D255" s="1509"/>
      <c r="E255" s="1510"/>
      <c r="F255" s="107"/>
      <c r="G255" s="128"/>
      <c r="H255" s="119"/>
    </row>
    <row r="256" spans="1:8" ht="13.5" customHeight="1">
      <c r="A256" s="576"/>
      <c r="B256" s="424"/>
      <c r="C256" s="1513" t="s">
        <v>231</v>
      </c>
      <c r="D256" s="1514"/>
      <c r="E256" s="1515"/>
      <c r="F256" s="117"/>
      <c r="G256" s="530"/>
      <c r="H256" s="119"/>
    </row>
    <row r="257" spans="1:8" ht="13.5" customHeight="1">
      <c r="A257" s="552"/>
      <c r="B257" s="529">
        <v>1</v>
      </c>
      <c r="C257" s="529" t="s">
        <v>249</v>
      </c>
      <c r="D257" s="581"/>
      <c r="E257" s="110" t="s">
        <v>724</v>
      </c>
      <c r="F257" s="122"/>
      <c r="G257" s="571"/>
      <c r="H257" s="119"/>
    </row>
    <row r="258" spans="1:8" ht="13.5" customHeight="1">
      <c r="A258" s="552"/>
      <c r="B258" s="529"/>
      <c r="C258" s="511"/>
      <c r="D258" s="587" t="s">
        <v>107</v>
      </c>
      <c r="E258" s="53" t="s">
        <v>144</v>
      </c>
      <c r="F258" s="122">
        <v>3000000</v>
      </c>
      <c r="G258" s="571"/>
      <c r="H258" s="119">
        <f t="shared" si="10"/>
        <v>3000000</v>
      </c>
    </row>
    <row r="259" spans="1:8" ht="13.5" customHeight="1">
      <c r="A259" s="552"/>
      <c r="B259" s="529"/>
      <c r="C259" s="511"/>
      <c r="D259" s="587"/>
      <c r="E259" s="53" t="s">
        <v>145</v>
      </c>
      <c r="F259" s="122">
        <v>3000000</v>
      </c>
      <c r="G259" s="571"/>
      <c r="H259" s="119">
        <f t="shared" si="10"/>
        <v>3000000</v>
      </c>
    </row>
    <row r="260" spans="1:8" ht="13.5" customHeight="1">
      <c r="A260" s="552"/>
      <c r="B260" s="529"/>
      <c r="C260" s="511"/>
      <c r="D260" s="587"/>
      <c r="E260" s="210" t="s">
        <v>146</v>
      </c>
      <c r="F260" s="122">
        <v>1919165</v>
      </c>
      <c r="G260" s="571"/>
      <c r="H260" s="119">
        <f t="shared" si="10"/>
        <v>1919165</v>
      </c>
    </row>
    <row r="261" spans="1:8" ht="13.5" customHeight="1">
      <c r="A261" s="552"/>
      <c r="B261" s="529"/>
      <c r="C261" s="511"/>
      <c r="D261" s="587" t="s">
        <v>106</v>
      </c>
      <c r="E261" s="721" t="s">
        <v>144</v>
      </c>
      <c r="F261" s="122">
        <v>400000</v>
      </c>
      <c r="G261" s="571"/>
      <c r="H261" s="572">
        <f>F261</f>
        <v>400000</v>
      </c>
    </row>
    <row r="262" spans="1:8" ht="13.5" customHeight="1">
      <c r="A262" s="552"/>
      <c r="B262" s="529"/>
      <c r="C262" s="511"/>
      <c r="D262" s="587"/>
      <c r="E262" s="721" t="s">
        <v>145</v>
      </c>
      <c r="F262" s="122">
        <v>400000</v>
      </c>
      <c r="G262" s="571"/>
      <c r="H262" s="572">
        <f>F262</f>
        <v>400000</v>
      </c>
    </row>
    <row r="263" spans="1:8" ht="13.5" customHeight="1">
      <c r="A263" s="552"/>
      <c r="B263" s="529"/>
      <c r="C263" s="511"/>
      <c r="D263" s="587"/>
      <c r="E263" s="53" t="s">
        <v>146</v>
      </c>
      <c r="F263" s="122">
        <v>1665568</v>
      </c>
      <c r="G263" s="571"/>
      <c r="H263" s="572">
        <f>F263</f>
        <v>1665568</v>
      </c>
    </row>
    <row r="264" spans="1:8" ht="12.75" customHeight="1">
      <c r="A264" s="552"/>
      <c r="B264" s="529"/>
      <c r="C264" s="1513" t="s">
        <v>229</v>
      </c>
      <c r="D264" s="1514"/>
      <c r="E264" s="1515"/>
      <c r="F264" s="491"/>
      <c r="G264" s="579"/>
      <c r="H264" s="580"/>
    </row>
    <row r="265" spans="1:8" ht="12.75" customHeight="1">
      <c r="A265" s="552"/>
      <c r="B265" s="529"/>
      <c r="C265" s="643"/>
      <c r="D265" s="644"/>
      <c r="E265" s="53" t="s">
        <v>144</v>
      </c>
      <c r="F265" s="491">
        <f>F272+F276</f>
        <v>900000</v>
      </c>
      <c r="G265" s="579"/>
      <c r="H265" s="572">
        <f>F265</f>
        <v>900000</v>
      </c>
    </row>
    <row r="266" spans="1:8" ht="12.75" customHeight="1">
      <c r="A266" s="552"/>
      <c r="B266" s="529"/>
      <c r="C266" s="643"/>
      <c r="D266" s="645"/>
      <c r="E266" s="53" t="s">
        <v>145</v>
      </c>
      <c r="F266" s="491">
        <f>F273+F277</f>
        <v>900000</v>
      </c>
      <c r="G266" s="579"/>
      <c r="H266" s="572">
        <f aca="true" t="shared" si="11" ref="H266:H278">F266</f>
        <v>900000</v>
      </c>
    </row>
    <row r="267" spans="1:8" ht="12.75" customHeight="1">
      <c r="A267" s="552"/>
      <c r="B267" s="529"/>
      <c r="C267" s="643"/>
      <c r="D267" s="645"/>
      <c r="E267" s="53" t="s">
        <v>146</v>
      </c>
      <c r="F267" s="491">
        <f>F274+F278+F271</f>
        <v>814800</v>
      </c>
      <c r="G267" s="530"/>
      <c r="H267" s="119">
        <f t="shared" si="11"/>
        <v>814800</v>
      </c>
    </row>
    <row r="268" spans="1:8" ht="12.75" customHeight="1">
      <c r="A268" s="552"/>
      <c r="B268" s="529">
        <v>1</v>
      </c>
      <c r="C268" s="529" t="s">
        <v>249</v>
      </c>
      <c r="D268" s="587"/>
      <c r="E268" s="102" t="s">
        <v>899</v>
      </c>
      <c r="F268" s="100"/>
      <c r="G268" s="569"/>
      <c r="H268" s="119"/>
    </row>
    <row r="269" spans="1:8" ht="12.75" customHeight="1">
      <c r="A269" s="552"/>
      <c r="B269" s="529"/>
      <c r="C269" s="529"/>
      <c r="D269" s="529" t="s">
        <v>106</v>
      </c>
      <c r="E269" s="53" t="s">
        <v>144</v>
      </c>
      <c r="F269" s="100">
        <v>0</v>
      </c>
      <c r="G269" s="569"/>
      <c r="H269" s="572">
        <f>F269</f>
        <v>0</v>
      </c>
    </row>
    <row r="270" spans="1:8" ht="12.75" customHeight="1">
      <c r="A270" s="552"/>
      <c r="B270" s="529"/>
      <c r="C270" s="529"/>
      <c r="D270" s="529"/>
      <c r="E270" s="53" t="s">
        <v>145</v>
      </c>
      <c r="F270" s="100">
        <v>0</v>
      </c>
      <c r="G270" s="569"/>
      <c r="H270" s="572">
        <f>F270</f>
        <v>0</v>
      </c>
    </row>
    <row r="271" spans="1:8" ht="12.75" customHeight="1">
      <c r="A271" s="552"/>
      <c r="B271" s="529"/>
      <c r="C271" s="529"/>
      <c r="D271" s="529"/>
      <c r="E271" s="210" t="s">
        <v>146</v>
      </c>
      <c r="F271" s="100">
        <v>5000</v>
      </c>
      <c r="G271" s="569"/>
      <c r="H271" s="572">
        <f>F271</f>
        <v>5000</v>
      </c>
    </row>
    <row r="272" spans="1:8" ht="12.75" customHeight="1">
      <c r="A272" s="552"/>
      <c r="B272" s="529"/>
      <c r="C272" s="529"/>
      <c r="D272" s="529" t="s">
        <v>168</v>
      </c>
      <c r="E272" s="53" t="s">
        <v>144</v>
      </c>
      <c r="F272" s="100">
        <v>500000</v>
      </c>
      <c r="G272" s="569"/>
      <c r="H272" s="572">
        <f t="shared" si="11"/>
        <v>500000</v>
      </c>
    </row>
    <row r="273" spans="1:8" ht="12.75" customHeight="1">
      <c r="A273" s="552"/>
      <c r="B273" s="529"/>
      <c r="C273" s="529"/>
      <c r="D273" s="529"/>
      <c r="E273" s="53" t="s">
        <v>145</v>
      </c>
      <c r="F273" s="100">
        <v>500000</v>
      </c>
      <c r="G273" s="569"/>
      <c r="H273" s="572">
        <f t="shared" si="11"/>
        <v>500000</v>
      </c>
    </row>
    <row r="274" spans="1:8" ht="12.75" customHeight="1">
      <c r="A274" s="552"/>
      <c r="B274" s="529"/>
      <c r="C274" s="529"/>
      <c r="D274" s="529"/>
      <c r="E274" s="210" t="s">
        <v>146</v>
      </c>
      <c r="F274" s="100">
        <f>19800</f>
        <v>19800</v>
      </c>
      <c r="G274" s="569"/>
      <c r="H274" s="572">
        <f t="shared" si="11"/>
        <v>19800</v>
      </c>
    </row>
    <row r="275" spans="1:8" ht="12.75" customHeight="1">
      <c r="A275" s="552"/>
      <c r="B275" s="511">
        <v>2</v>
      </c>
      <c r="C275" s="587" t="s">
        <v>249</v>
      </c>
      <c r="D275" s="529"/>
      <c r="E275" s="586" t="s">
        <v>104</v>
      </c>
      <c r="F275" s="122"/>
      <c r="G275" s="571"/>
      <c r="H275" s="572"/>
    </row>
    <row r="276" spans="1:8" ht="12.75" customHeight="1">
      <c r="A276" s="552"/>
      <c r="B276" s="511"/>
      <c r="C276" s="587"/>
      <c r="D276" s="587" t="s">
        <v>168</v>
      </c>
      <c r="E276" s="724" t="s">
        <v>144</v>
      </c>
      <c r="F276" s="100">
        <v>400000</v>
      </c>
      <c r="G276" s="569"/>
      <c r="H276" s="572">
        <f t="shared" si="11"/>
        <v>400000</v>
      </c>
    </row>
    <row r="277" spans="1:8" ht="12.75" customHeight="1">
      <c r="A277" s="552"/>
      <c r="B277" s="511"/>
      <c r="C277" s="587"/>
      <c r="D277" s="587"/>
      <c r="E277" s="53" t="s">
        <v>145</v>
      </c>
      <c r="F277" s="100">
        <v>400000</v>
      </c>
      <c r="G277" s="569"/>
      <c r="H277" s="572">
        <f t="shared" si="11"/>
        <v>400000</v>
      </c>
    </row>
    <row r="278" spans="1:8" ht="12.75" customHeight="1">
      <c r="A278" s="582"/>
      <c r="B278" s="658"/>
      <c r="C278" s="661"/>
      <c r="D278" s="661"/>
      <c r="E278" s="426" t="s">
        <v>146</v>
      </c>
      <c r="F278" s="122">
        <f>809800-19800</f>
        <v>790000</v>
      </c>
      <c r="G278" s="571"/>
      <c r="H278" s="572">
        <f t="shared" si="11"/>
        <v>790000</v>
      </c>
    </row>
    <row r="279" spans="1:8" ht="17.25" customHeight="1">
      <c r="A279" s="1496" t="s">
        <v>250</v>
      </c>
      <c r="B279" s="1497"/>
      <c r="C279" s="1497"/>
      <c r="D279" s="1497"/>
      <c r="E279" s="1498"/>
      <c r="F279" s="430"/>
      <c r="G279" s="663"/>
      <c r="H279" s="564"/>
    </row>
    <row r="280" spans="1:8" ht="12.75" customHeight="1">
      <c r="A280" s="552"/>
      <c r="B280" s="583"/>
      <c r="C280" s="583"/>
      <c r="D280" s="583"/>
      <c r="E280" s="655" t="s">
        <v>144</v>
      </c>
      <c r="F280" s="107">
        <f>F284+F347+F350+F354+F357</f>
        <v>91210000</v>
      </c>
      <c r="G280" s="545"/>
      <c r="H280" s="119">
        <f>F280</f>
        <v>91210000</v>
      </c>
    </row>
    <row r="281" spans="1:8" ht="12.75" customHeight="1">
      <c r="A281" s="552"/>
      <c r="B281" s="583"/>
      <c r="C281" s="583"/>
      <c r="D281" s="583"/>
      <c r="E281" s="53" t="s">
        <v>145</v>
      </c>
      <c r="F281" s="107">
        <f>F285+F348+F355+F362+F344+F351+F366+F358</f>
        <v>105080264</v>
      </c>
      <c r="G281" s="545"/>
      <c r="H281" s="119">
        <f aca="true" t="shared" si="12" ref="H281:H333">F281</f>
        <v>105080264</v>
      </c>
    </row>
    <row r="282" spans="1:8" ht="12.75" customHeight="1">
      <c r="A282" s="552"/>
      <c r="B282" s="583"/>
      <c r="C282" s="583"/>
      <c r="D282" s="583"/>
      <c r="E282" s="210" t="s">
        <v>146</v>
      </c>
      <c r="F282" s="107">
        <f>F286+F349+F356+F363+F345+F352+F367+F359</f>
        <v>123176220</v>
      </c>
      <c r="G282" s="545"/>
      <c r="H282" s="119">
        <f t="shared" si="12"/>
        <v>123176220</v>
      </c>
    </row>
    <row r="283" spans="1:8" ht="12.75" customHeight="1">
      <c r="A283" s="552"/>
      <c r="B283" s="529"/>
      <c r="C283" s="1513" t="s">
        <v>231</v>
      </c>
      <c r="D283" s="1514"/>
      <c r="E283" s="1515"/>
      <c r="F283" s="117"/>
      <c r="G283" s="551"/>
      <c r="H283" s="119"/>
    </row>
    <row r="284" spans="1:8" ht="12.75" customHeight="1">
      <c r="A284" s="552"/>
      <c r="B284" s="529"/>
      <c r="C284" s="662"/>
      <c r="D284" s="644"/>
      <c r="E284" s="53" t="s">
        <v>144</v>
      </c>
      <c r="F284" s="117">
        <f>F288+F292+F299+F306+F309++F313+F317+F324+F331+F295+F302+F320+F327+F335+F338</f>
        <v>88035000</v>
      </c>
      <c r="G284" s="551"/>
      <c r="H284" s="119">
        <f t="shared" si="12"/>
        <v>88035000</v>
      </c>
    </row>
    <row r="285" spans="1:8" ht="12.75" customHeight="1">
      <c r="A285" s="552"/>
      <c r="B285" s="529"/>
      <c r="C285" s="662"/>
      <c r="D285" s="645"/>
      <c r="E285" s="53" t="s">
        <v>145</v>
      </c>
      <c r="F285" s="117">
        <f>F289+F293+F300+F307+F310+F314+F318+F325+F332+F296+F303+F321+F328+F336+F339</f>
        <v>101177264</v>
      </c>
      <c r="G285" s="551"/>
      <c r="H285" s="119">
        <f t="shared" si="12"/>
        <v>101177264</v>
      </c>
    </row>
    <row r="286" spans="1:8" ht="12.75" customHeight="1">
      <c r="A286" s="552"/>
      <c r="B286" s="529"/>
      <c r="C286" s="662"/>
      <c r="D286" s="645"/>
      <c r="E286" s="210" t="s">
        <v>146</v>
      </c>
      <c r="F286" s="117">
        <f>F290+F294+F301+F308+F311+F315+F319+F326+F333+F297+F304+F322+F329+F337+F340</f>
        <v>118833968</v>
      </c>
      <c r="G286" s="551"/>
      <c r="H286" s="119">
        <f t="shared" si="12"/>
        <v>118833968</v>
      </c>
    </row>
    <row r="287" spans="1:8" ht="12.75" customHeight="1">
      <c r="A287" s="585"/>
      <c r="B287" s="529">
        <v>1</v>
      </c>
      <c r="C287" s="419" t="s">
        <v>251</v>
      </c>
      <c r="D287" s="419" t="s">
        <v>107</v>
      </c>
      <c r="E287" s="586" t="s">
        <v>252</v>
      </c>
      <c r="F287" s="100"/>
      <c r="G287" s="589"/>
      <c r="H287" s="119"/>
    </row>
    <row r="288" spans="1:8" ht="12.75" customHeight="1">
      <c r="A288" s="585"/>
      <c r="B288" s="529"/>
      <c r="C288" s="99"/>
      <c r="D288" s="657"/>
      <c r="E288" s="53" t="s">
        <v>144</v>
      </c>
      <c r="F288" s="100">
        <v>0</v>
      </c>
      <c r="G288" s="557"/>
      <c r="H288" s="119">
        <f t="shared" si="12"/>
        <v>0</v>
      </c>
    </row>
    <row r="289" spans="1:8" ht="12.75" customHeight="1">
      <c r="A289" s="585"/>
      <c r="B289" s="529"/>
      <c r="C289" s="99"/>
      <c r="D289" s="657"/>
      <c r="E289" s="53" t="s">
        <v>145</v>
      </c>
      <c r="F289" s="100">
        <v>0</v>
      </c>
      <c r="G289" s="557"/>
      <c r="H289" s="119">
        <f t="shared" si="12"/>
        <v>0</v>
      </c>
    </row>
    <row r="290" spans="1:8" ht="12.75" customHeight="1">
      <c r="A290" s="585"/>
      <c r="B290" s="529"/>
      <c r="C290" s="99"/>
      <c r="D290" s="657"/>
      <c r="E290" s="53" t="s">
        <v>146</v>
      </c>
      <c r="F290" s="100">
        <v>91496</v>
      </c>
      <c r="G290" s="557"/>
      <c r="H290" s="119">
        <f t="shared" si="12"/>
        <v>91496</v>
      </c>
    </row>
    <row r="291" spans="1:8" ht="12.75" customHeight="1">
      <c r="A291" s="552"/>
      <c r="B291" s="529">
        <v>2</v>
      </c>
      <c r="C291" s="529" t="s">
        <v>253</v>
      </c>
      <c r="D291" s="529" t="s">
        <v>106</v>
      </c>
      <c r="E291" s="102" t="s">
        <v>299</v>
      </c>
      <c r="F291" s="100"/>
      <c r="G291" s="557"/>
      <c r="H291" s="119"/>
    </row>
    <row r="292" spans="1:8" ht="12.75" customHeight="1">
      <c r="A292" s="552"/>
      <c r="B292" s="529"/>
      <c r="C292" s="529"/>
      <c r="D292" s="529"/>
      <c r="E292" s="53" t="s">
        <v>144</v>
      </c>
      <c r="F292" s="100">
        <v>1400000</v>
      </c>
      <c r="G292" s="557"/>
      <c r="H292" s="119">
        <f t="shared" si="12"/>
        <v>1400000</v>
      </c>
    </row>
    <row r="293" spans="1:8" ht="12.75" customHeight="1">
      <c r="A293" s="552"/>
      <c r="B293" s="529"/>
      <c r="C293" s="529"/>
      <c r="D293" s="529"/>
      <c r="E293" s="53" t="s">
        <v>145</v>
      </c>
      <c r="F293" s="100">
        <v>1400000</v>
      </c>
      <c r="G293" s="557"/>
      <c r="H293" s="119">
        <f t="shared" si="12"/>
        <v>1400000</v>
      </c>
    </row>
    <row r="294" spans="1:8" ht="12.75" customHeight="1">
      <c r="A294" s="552"/>
      <c r="B294" s="529"/>
      <c r="C294" s="529"/>
      <c r="D294" s="529"/>
      <c r="E294" s="210" t="s">
        <v>146</v>
      </c>
      <c r="F294" s="100">
        <v>1320036</v>
      </c>
      <c r="G294" s="557"/>
      <c r="H294" s="119">
        <f t="shared" si="12"/>
        <v>1320036</v>
      </c>
    </row>
    <row r="295" spans="1:8" ht="12.75" customHeight="1">
      <c r="A295" s="552"/>
      <c r="B295" s="529"/>
      <c r="C295" s="529"/>
      <c r="D295" s="529" t="s">
        <v>107</v>
      </c>
      <c r="E295" s="53" t="s">
        <v>144</v>
      </c>
      <c r="F295" s="100">
        <v>24000000</v>
      </c>
      <c r="G295" s="557"/>
      <c r="H295" s="119">
        <f t="shared" si="12"/>
        <v>24000000</v>
      </c>
    </row>
    <row r="296" spans="1:8" ht="12.75" customHeight="1">
      <c r="A296" s="552"/>
      <c r="B296" s="529"/>
      <c r="C296" s="529"/>
      <c r="D296" s="529"/>
      <c r="E296" s="53" t="s">
        <v>145</v>
      </c>
      <c r="F296" s="100">
        <v>24462248</v>
      </c>
      <c r="G296" s="557"/>
      <c r="H296" s="119">
        <f t="shared" si="12"/>
        <v>24462248</v>
      </c>
    </row>
    <row r="297" spans="1:8" ht="12.75" customHeight="1">
      <c r="A297" s="552"/>
      <c r="B297" s="529"/>
      <c r="C297" s="529"/>
      <c r="D297" s="529"/>
      <c r="E297" s="210" t="s">
        <v>146</v>
      </c>
      <c r="F297" s="100">
        <v>27740389</v>
      </c>
      <c r="G297" s="557"/>
      <c r="H297" s="119">
        <f t="shared" si="12"/>
        <v>27740389</v>
      </c>
    </row>
    <row r="298" spans="1:8" ht="12.75" customHeight="1">
      <c r="A298" s="552"/>
      <c r="B298" s="529">
        <v>3</v>
      </c>
      <c r="C298" s="529" t="s">
        <v>254</v>
      </c>
      <c r="D298" s="529"/>
      <c r="E298" s="102" t="s">
        <v>683</v>
      </c>
      <c r="F298" s="100"/>
      <c r="G298" s="557"/>
      <c r="H298" s="119"/>
    </row>
    <row r="299" spans="1:8" ht="12.75" customHeight="1">
      <c r="A299" s="552"/>
      <c r="B299" s="529"/>
      <c r="C299" s="529"/>
      <c r="D299" s="529" t="s">
        <v>107</v>
      </c>
      <c r="E299" s="53" t="s">
        <v>144</v>
      </c>
      <c r="F299" s="100">
        <v>15000000</v>
      </c>
      <c r="G299" s="557"/>
      <c r="H299" s="119">
        <f t="shared" si="12"/>
        <v>15000000</v>
      </c>
    </row>
    <row r="300" spans="1:8" ht="12.75" customHeight="1">
      <c r="A300" s="552"/>
      <c r="B300" s="529"/>
      <c r="C300" s="529"/>
      <c r="D300" s="529"/>
      <c r="E300" s="53" t="s">
        <v>145</v>
      </c>
      <c r="F300" s="100">
        <v>14060000</v>
      </c>
      <c r="G300" s="557"/>
      <c r="H300" s="119">
        <f t="shared" si="12"/>
        <v>14060000</v>
      </c>
    </row>
    <row r="301" spans="1:8" ht="12.75" customHeight="1">
      <c r="A301" s="552"/>
      <c r="B301" s="529"/>
      <c r="C301" s="529"/>
      <c r="D301" s="529"/>
      <c r="E301" s="210" t="s">
        <v>146</v>
      </c>
      <c r="F301" s="100">
        <v>15360016</v>
      </c>
      <c r="G301" s="557"/>
      <c r="H301" s="119">
        <f t="shared" si="12"/>
        <v>15360016</v>
      </c>
    </row>
    <row r="302" spans="1:8" ht="12.75" customHeight="1">
      <c r="A302" s="552"/>
      <c r="B302" s="529"/>
      <c r="C302" s="529"/>
      <c r="D302" s="529" t="s">
        <v>106</v>
      </c>
      <c r="E302" s="53" t="s">
        <v>144</v>
      </c>
      <c r="F302" s="100">
        <v>1500000</v>
      </c>
      <c r="G302" s="557"/>
      <c r="H302" s="119">
        <f t="shared" si="12"/>
        <v>1500000</v>
      </c>
    </row>
    <row r="303" spans="1:8" ht="12.75" customHeight="1">
      <c r="A303" s="552"/>
      <c r="B303" s="529"/>
      <c r="C303" s="529"/>
      <c r="D303" s="529"/>
      <c r="E303" s="53" t="s">
        <v>145</v>
      </c>
      <c r="F303" s="100">
        <v>2440000</v>
      </c>
      <c r="G303" s="557"/>
      <c r="H303" s="119">
        <f t="shared" si="12"/>
        <v>2440000</v>
      </c>
    </row>
    <row r="304" spans="1:8" ht="12.75" customHeight="1">
      <c r="A304" s="552"/>
      <c r="B304" s="529"/>
      <c r="C304" s="529"/>
      <c r="D304" s="529"/>
      <c r="E304" s="53" t="s">
        <v>146</v>
      </c>
      <c r="F304" s="100">
        <v>2349515</v>
      </c>
      <c r="G304" s="557"/>
      <c r="H304" s="119">
        <f t="shared" si="12"/>
        <v>2349515</v>
      </c>
    </row>
    <row r="305" spans="1:8" ht="12.75" customHeight="1">
      <c r="A305" s="552"/>
      <c r="B305" s="529">
        <v>4</v>
      </c>
      <c r="C305" s="587" t="s">
        <v>255</v>
      </c>
      <c r="D305" s="529"/>
      <c r="E305" s="102" t="s">
        <v>306</v>
      </c>
      <c r="F305" s="100"/>
      <c r="G305" s="557"/>
      <c r="H305" s="119"/>
    </row>
    <row r="306" spans="1:8" ht="12.75" customHeight="1">
      <c r="A306" s="552"/>
      <c r="B306" s="529"/>
      <c r="C306" s="725"/>
      <c r="D306" s="529" t="s">
        <v>107</v>
      </c>
      <c r="E306" s="53" t="s">
        <v>144</v>
      </c>
      <c r="F306" s="103">
        <v>0</v>
      </c>
      <c r="G306" s="588"/>
      <c r="H306" s="126">
        <f t="shared" si="12"/>
        <v>0</v>
      </c>
    </row>
    <row r="307" spans="1:8" ht="12.75" customHeight="1">
      <c r="A307" s="552"/>
      <c r="B307" s="529"/>
      <c r="C307" s="725"/>
      <c r="D307" s="529"/>
      <c r="E307" s="53" t="s">
        <v>145</v>
      </c>
      <c r="F307" s="100">
        <v>0</v>
      </c>
      <c r="G307" s="557"/>
      <c r="H307" s="119">
        <f t="shared" si="12"/>
        <v>0</v>
      </c>
    </row>
    <row r="308" spans="1:8" ht="12.75" customHeight="1">
      <c r="A308" s="552"/>
      <c r="B308" s="529"/>
      <c r="C308" s="587"/>
      <c r="D308" s="529"/>
      <c r="E308" s="210" t="s">
        <v>146</v>
      </c>
      <c r="F308" s="100">
        <v>88547</v>
      </c>
      <c r="G308" s="557"/>
      <c r="H308" s="119">
        <f t="shared" si="12"/>
        <v>88547</v>
      </c>
    </row>
    <row r="309" spans="1:8" ht="12.75" customHeight="1">
      <c r="A309" s="552"/>
      <c r="B309" s="529"/>
      <c r="C309" s="587"/>
      <c r="D309" s="529" t="s">
        <v>106</v>
      </c>
      <c r="E309" s="53" t="s">
        <v>144</v>
      </c>
      <c r="F309" s="100">
        <v>7000000</v>
      </c>
      <c r="G309" s="557"/>
      <c r="H309" s="119">
        <f t="shared" si="12"/>
        <v>7000000</v>
      </c>
    </row>
    <row r="310" spans="1:8" ht="12.75" customHeight="1">
      <c r="A310" s="552"/>
      <c r="B310" s="529"/>
      <c r="C310" s="587"/>
      <c r="D310" s="529"/>
      <c r="E310" s="53" t="s">
        <v>145</v>
      </c>
      <c r="F310" s="100">
        <v>7000000</v>
      </c>
      <c r="G310" s="557"/>
      <c r="H310" s="119">
        <f t="shared" si="12"/>
        <v>7000000</v>
      </c>
    </row>
    <row r="311" spans="1:8" ht="12.75" customHeight="1">
      <c r="A311" s="552"/>
      <c r="B311" s="529"/>
      <c r="C311" s="587"/>
      <c r="D311" s="529"/>
      <c r="E311" s="210" t="s">
        <v>146</v>
      </c>
      <c r="F311" s="100">
        <v>8628789</v>
      </c>
      <c r="G311" s="557"/>
      <c r="H311" s="119">
        <f t="shared" si="12"/>
        <v>8628789</v>
      </c>
    </row>
    <row r="312" spans="1:8" ht="12.75" customHeight="1">
      <c r="A312" s="552"/>
      <c r="B312" s="529">
        <v>5</v>
      </c>
      <c r="C312" s="587" t="s">
        <v>256</v>
      </c>
      <c r="D312" s="529"/>
      <c r="E312" s="110" t="s">
        <v>684</v>
      </c>
      <c r="F312" s="100"/>
      <c r="G312" s="557"/>
      <c r="H312" s="119"/>
    </row>
    <row r="313" spans="1:8" ht="12.75" customHeight="1">
      <c r="A313" s="552"/>
      <c r="B313" s="1018"/>
      <c r="C313" s="725"/>
      <c r="D313" s="529" t="s">
        <v>106</v>
      </c>
      <c r="E313" s="53" t="s">
        <v>144</v>
      </c>
      <c r="F313" s="100">
        <v>15854000</v>
      </c>
      <c r="G313" s="557"/>
      <c r="H313" s="119">
        <f t="shared" si="12"/>
        <v>15854000</v>
      </c>
    </row>
    <row r="314" spans="1:8" ht="12.75" customHeight="1">
      <c r="A314" s="552"/>
      <c r="B314" s="529"/>
      <c r="C314" s="587"/>
      <c r="D314" s="529"/>
      <c r="E314" s="53" t="s">
        <v>145</v>
      </c>
      <c r="F314" s="100">
        <v>18034016</v>
      </c>
      <c r="G314" s="557"/>
      <c r="H314" s="119">
        <f t="shared" si="12"/>
        <v>18034016</v>
      </c>
    </row>
    <row r="315" spans="1:8" ht="12.75" customHeight="1">
      <c r="A315" s="552"/>
      <c r="B315" s="529"/>
      <c r="C315" s="587"/>
      <c r="D315" s="529"/>
      <c r="E315" s="53" t="s">
        <v>146</v>
      </c>
      <c r="F315" s="100">
        <v>17973390</v>
      </c>
      <c r="G315" s="557"/>
      <c r="H315" s="119">
        <f t="shared" si="12"/>
        <v>17973390</v>
      </c>
    </row>
    <row r="316" spans="1:8" ht="12.75" customHeight="1">
      <c r="A316" s="552"/>
      <c r="B316" s="529">
        <v>6</v>
      </c>
      <c r="C316" s="587" t="s">
        <v>837</v>
      </c>
      <c r="D316" s="529"/>
      <c r="E316" s="102" t="s">
        <v>838</v>
      </c>
      <c r="F316" s="100"/>
      <c r="G316" s="557"/>
      <c r="H316" s="119"/>
    </row>
    <row r="317" spans="1:8" ht="12.75" customHeight="1">
      <c r="A317" s="552"/>
      <c r="B317" s="529"/>
      <c r="C317" s="529"/>
      <c r="D317" s="529" t="s">
        <v>107</v>
      </c>
      <c r="E317" s="53" t="s">
        <v>144</v>
      </c>
      <c r="F317" s="100">
        <v>12000000</v>
      </c>
      <c r="G317" s="557"/>
      <c r="H317" s="119">
        <f t="shared" si="12"/>
        <v>12000000</v>
      </c>
    </row>
    <row r="318" spans="1:8" ht="12.75" customHeight="1">
      <c r="A318" s="552"/>
      <c r="B318" s="529"/>
      <c r="C318" s="529"/>
      <c r="D318" s="529"/>
      <c r="E318" s="53" t="s">
        <v>145</v>
      </c>
      <c r="F318" s="100">
        <v>12000000</v>
      </c>
      <c r="G318" s="557"/>
      <c r="H318" s="119">
        <f t="shared" si="12"/>
        <v>12000000</v>
      </c>
    </row>
    <row r="319" spans="1:8" ht="12.75" customHeight="1">
      <c r="A319" s="552"/>
      <c r="B319" s="529"/>
      <c r="C319" s="529"/>
      <c r="D319" s="529"/>
      <c r="E319" s="53" t="s">
        <v>146</v>
      </c>
      <c r="F319" s="100">
        <v>12916499</v>
      </c>
      <c r="G319" s="557"/>
      <c r="H319" s="119">
        <f t="shared" si="12"/>
        <v>12916499</v>
      </c>
    </row>
    <row r="320" spans="1:8" ht="12.75" customHeight="1">
      <c r="A320" s="552"/>
      <c r="B320" s="529"/>
      <c r="C320" s="529"/>
      <c r="D320" s="529" t="s">
        <v>106</v>
      </c>
      <c r="E320" s="53" t="s">
        <v>144</v>
      </c>
      <c r="F320" s="100">
        <v>4281000</v>
      </c>
      <c r="G320" s="557"/>
      <c r="H320" s="119">
        <f t="shared" si="12"/>
        <v>4281000</v>
      </c>
    </row>
    <row r="321" spans="1:8" ht="12.75" customHeight="1">
      <c r="A321" s="552"/>
      <c r="B321" s="529"/>
      <c r="C321" s="529"/>
      <c r="D321" s="529"/>
      <c r="E321" s="53" t="s">
        <v>145</v>
      </c>
      <c r="F321" s="100">
        <v>4781000</v>
      </c>
      <c r="G321" s="557"/>
      <c r="H321" s="119">
        <f t="shared" si="12"/>
        <v>4781000</v>
      </c>
    </row>
    <row r="322" spans="1:8" ht="12.75" customHeight="1">
      <c r="A322" s="552"/>
      <c r="B322" s="529"/>
      <c r="C322" s="529"/>
      <c r="D322" s="529"/>
      <c r="E322" s="210" t="s">
        <v>146</v>
      </c>
      <c r="F322" s="100">
        <v>5977570</v>
      </c>
      <c r="G322" s="557"/>
      <c r="H322" s="119">
        <f>F322</f>
        <v>5977570</v>
      </c>
    </row>
    <row r="323" spans="1:8" ht="12.75" customHeight="1">
      <c r="A323" s="552"/>
      <c r="B323" s="529">
        <v>7</v>
      </c>
      <c r="C323" s="529" t="s">
        <v>257</v>
      </c>
      <c r="D323" s="529"/>
      <c r="E323" s="102" t="s">
        <v>300</v>
      </c>
      <c r="F323" s="100"/>
      <c r="G323" s="557"/>
      <c r="H323" s="119"/>
    </row>
    <row r="324" spans="1:8" ht="12.75" customHeight="1">
      <c r="A324" s="552"/>
      <c r="B324" s="529"/>
      <c r="C324" s="511"/>
      <c r="D324" s="587" t="s">
        <v>107</v>
      </c>
      <c r="E324" s="53" t="s">
        <v>144</v>
      </c>
      <c r="F324" s="100">
        <v>3000000</v>
      </c>
      <c r="G324" s="557"/>
      <c r="H324" s="119">
        <f t="shared" si="12"/>
        <v>3000000</v>
      </c>
    </row>
    <row r="325" spans="1:8" ht="12.75" customHeight="1">
      <c r="A325" s="552"/>
      <c r="B325" s="529"/>
      <c r="C325" s="511"/>
      <c r="D325" s="587"/>
      <c r="E325" s="53" t="s">
        <v>145</v>
      </c>
      <c r="F325" s="100">
        <v>17000000</v>
      </c>
      <c r="G325" s="557"/>
      <c r="H325" s="119">
        <f t="shared" si="12"/>
        <v>17000000</v>
      </c>
    </row>
    <row r="326" spans="1:8" ht="12.75" customHeight="1">
      <c r="A326" s="552"/>
      <c r="B326" s="529"/>
      <c r="C326" s="511"/>
      <c r="D326" s="587"/>
      <c r="E326" s="210" t="s">
        <v>146</v>
      </c>
      <c r="F326" s="100">
        <v>20692000</v>
      </c>
      <c r="G326" s="557"/>
      <c r="H326" s="119">
        <f t="shared" si="12"/>
        <v>20692000</v>
      </c>
    </row>
    <row r="327" spans="1:8" ht="12.75" customHeight="1">
      <c r="A327" s="552"/>
      <c r="B327" s="529"/>
      <c r="C327" s="511"/>
      <c r="D327" s="587" t="s">
        <v>106</v>
      </c>
      <c r="E327" s="53" t="s">
        <v>144</v>
      </c>
      <c r="F327" s="100">
        <v>4000000</v>
      </c>
      <c r="G327" s="557"/>
      <c r="H327" s="119">
        <f t="shared" si="12"/>
        <v>4000000</v>
      </c>
    </row>
    <row r="328" spans="1:8" ht="12.75" customHeight="1">
      <c r="A328" s="552"/>
      <c r="B328" s="529"/>
      <c r="C328" s="511"/>
      <c r="D328" s="587"/>
      <c r="E328" s="53" t="s">
        <v>145</v>
      </c>
      <c r="F328" s="100">
        <v>0</v>
      </c>
      <c r="G328" s="557"/>
      <c r="H328" s="119">
        <f t="shared" si="12"/>
        <v>0</v>
      </c>
    </row>
    <row r="329" spans="1:8" ht="12.75" customHeight="1">
      <c r="A329" s="552"/>
      <c r="B329" s="529"/>
      <c r="C329" s="511"/>
      <c r="D329" s="587"/>
      <c r="E329" s="53" t="s">
        <v>146</v>
      </c>
      <c r="F329" s="100">
        <v>30373</v>
      </c>
      <c r="G329" s="557"/>
      <c r="H329" s="119">
        <f t="shared" si="12"/>
        <v>30373</v>
      </c>
    </row>
    <row r="330" spans="1:8" ht="12.75" customHeight="1">
      <c r="A330" s="552"/>
      <c r="B330" s="529">
        <v>8</v>
      </c>
      <c r="C330" s="511" t="s">
        <v>258</v>
      </c>
      <c r="D330" s="587"/>
      <c r="E330" s="102" t="s">
        <v>259</v>
      </c>
      <c r="F330" s="100"/>
      <c r="G330" s="589"/>
      <c r="H330" s="119"/>
    </row>
    <row r="331" spans="1:8" ht="12.75" customHeight="1">
      <c r="A331" s="552"/>
      <c r="B331" s="529"/>
      <c r="C331" s="511"/>
      <c r="D331" s="587" t="s">
        <v>107</v>
      </c>
      <c r="E331" s="53" t="s">
        <v>144</v>
      </c>
      <c r="F331" s="100">
        <v>0</v>
      </c>
      <c r="G331" s="557"/>
      <c r="H331" s="119">
        <f t="shared" si="12"/>
        <v>0</v>
      </c>
    </row>
    <row r="332" spans="1:8" ht="12.75" customHeight="1">
      <c r="A332" s="552"/>
      <c r="B332" s="529"/>
      <c r="C332" s="511"/>
      <c r="D332" s="587"/>
      <c r="E332" s="53" t="s">
        <v>145</v>
      </c>
      <c r="F332" s="100">
        <v>0</v>
      </c>
      <c r="G332" s="557"/>
      <c r="H332" s="119">
        <f t="shared" si="12"/>
        <v>0</v>
      </c>
    </row>
    <row r="333" spans="1:8" ht="12.75" customHeight="1">
      <c r="A333" s="552"/>
      <c r="B333" s="529"/>
      <c r="C333" s="511"/>
      <c r="D333" s="587"/>
      <c r="E333" s="210" t="s">
        <v>146</v>
      </c>
      <c r="F333" s="100">
        <v>4721900</v>
      </c>
      <c r="G333" s="557"/>
      <c r="H333" s="119">
        <f t="shared" si="12"/>
        <v>4721900</v>
      </c>
    </row>
    <row r="334" spans="1:8" ht="12.75" customHeight="1">
      <c r="A334" s="552"/>
      <c r="B334" s="529">
        <v>9</v>
      </c>
      <c r="C334" s="511" t="s">
        <v>686</v>
      </c>
      <c r="D334" s="1019"/>
      <c r="E334" s="715" t="s">
        <v>260</v>
      </c>
      <c r="F334" s="120"/>
      <c r="G334" s="559"/>
      <c r="H334" s="125"/>
    </row>
    <row r="335" spans="1:8" ht="12.75" customHeight="1">
      <c r="A335" s="552"/>
      <c r="B335" s="529"/>
      <c r="C335" s="511"/>
      <c r="D335" s="1019" t="s">
        <v>107</v>
      </c>
      <c r="E335" s="53" t="s">
        <v>144</v>
      </c>
      <c r="F335" s="120">
        <v>0</v>
      </c>
      <c r="G335" s="559"/>
      <c r="H335" s="125">
        <f aca="true" t="shared" si="13" ref="H335:H340">SUM(F335:G335)</f>
        <v>0</v>
      </c>
    </row>
    <row r="336" spans="1:8" ht="12.75" customHeight="1">
      <c r="A336" s="552"/>
      <c r="B336" s="529"/>
      <c r="C336" s="511"/>
      <c r="D336" s="1019"/>
      <c r="E336" s="53" t="s">
        <v>145</v>
      </c>
      <c r="F336" s="120">
        <v>0</v>
      </c>
      <c r="G336" s="559"/>
      <c r="H336" s="125">
        <f t="shared" si="13"/>
        <v>0</v>
      </c>
    </row>
    <row r="337" spans="1:8" ht="12.75" customHeight="1">
      <c r="A337" s="552"/>
      <c r="B337" s="529"/>
      <c r="C337" s="511"/>
      <c r="D337" s="1019"/>
      <c r="E337" s="210" t="s">
        <v>146</v>
      </c>
      <c r="F337" s="120">
        <v>105108</v>
      </c>
      <c r="G337" s="559"/>
      <c r="H337" s="125">
        <f t="shared" si="13"/>
        <v>105108</v>
      </c>
    </row>
    <row r="338" spans="1:8" ht="12.75" customHeight="1">
      <c r="A338" s="552"/>
      <c r="B338" s="529"/>
      <c r="C338" s="511"/>
      <c r="D338" s="1019" t="s">
        <v>106</v>
      </c>
      <c r="E338" s="53" t="s">
        <v>144</v>
      </c>
      <c r="F338" s="120">
        <v>0</v>
      </c>
      <c r="G338" s="559"/>
      <c r="H338" s="125">
        <f t="shared" si="13"/>
        <v>0</v>
      </c>
    </row>
    <row r="339" spans="1:8" ht="12.75" customHeight="1">
      <c r="A339" s="552"/>
      <c r="B339" s="529"/>
      <c r="C339" s="511"/>
      <c r="D339" s="1019"/>
      <c r="E339" s="53" t="s">
        <v>145</v>
      </c>
      <c r="F339" s="120">
        <v>0</v>
      </c>
      <c r="G339" s="559"/>
      <c r="H339" s="125">
        <f t="shared" si="13"/>
        <v>0</v>
      </c>
    </row>
    <row r="340" spans="1:8" ht="12.75" customHeight="1">
      <c r="A340" s="552"/>
      <c r="B340" s="529"/>
      <c r="C340" s="511"/>
      <c r="D340" s="1020"/>
      <c r="E340" s="210" t="s">
        <v>146</v>
      </c>
      <c r="F340" s="120">
        <v>838340</v>
      </c>
      <c r="G340" s="559"/>
      <c r="H340" s="125">
        <f t="shared" si="13"/>
        <v>838340</v>
      </c>
    </row>
    <row r="341" spans="1:8" ht="12.75" customHeight="1">
      <c r="A341" s="552"/>
      <c r="B341" s="529"/>
      <c r="C341" s="1513" t="s">
        <v>229</v>
      </c>
      <c r="D341" s="1514"/>
      <c r="E341" s="1515"/>
      <c r="F341" s="439"/>
      <c r="G341" s="549"/>
      <c r="H341" s="125"/>
    </row>
    <row r="342" spans="1:8" ht="12.75" customHeight="1">
      <c r="A342" s="552"/>
      <c r="B342" s="529">
        <v>1</v>
      </c>
      <c r="C342" s="94" t="s">
        <v>253</v>
      </c>
      <c r="D342" s="419" t="s">
        <v>106</v>
      </c>
      <c r="E342" s="113" t="s">
        <v>305</v>
      </c>
      <c r="F342" s="439"/>
      <c r="G342" s="549"/>
      <c r="H342" s="125"/>
    </row>
    <row r="343" spans="1:8" ht="12.75" customHeight="1">
      <c r="A343" s="552"/>
      <c r="B343" s="529"/>
      <c r="C343" s="643"/>
      <c r="D343" s="645"/>
      <c r="E343" s="53" t="s">
        <v>144</v>
      </c>
      <c r="F343" s="120">
        <v>0</v>
      </c>
      <c r="G343" s="549"/>
      <c r="H343" s="125">
        <f>F343</f>
        <v>0</v>
      </c>
    </row>
    <row r="344" spans="1:8" ht="12.75" customHeight="1">
      <c r="A344" s="552"/>
      <c r="B344" s="529"/>
      <c r="C344" s="643"/>
      <c r="D344" s="645"/>
      <c r="E344" s="53" t="s">
        <v>145</v>
      </c>
      <c r="F344" s="120">
        <v>1288000</v>
      </c>
      <c r="G344" s="549"/>
      <c r="H344" s="125">
        <f aca="true" t="shared" si="14" ref="H344:H363">F344</f>
        <v>1288000</v>
      </c>
    </row>
    <row r="345" spans="1:8" ht="12.75" customHeight="1">
      <c r="A345" s="552"/>
      <c r="B345" s="529"/>
      <c r="C345" s="643"/>
      <c r="D345" s="645"/>
      <c r="E345" s="210" t="s">
        <v>146</v>
      </c>
      <c r="F345" s="120">
        <v>1422331</v>
      </c>
      <c r="G345" s="549"/>
      <c r="H345" s="125">
        <f t="shared" si="14"/>
        <v>1422331</v>
      </c>
    </row>
    <row r="346" spans="1:8" ht="12.75" customHeight="1">
      <c r="A346" s="552"/>
      <c r="B346" s="529">
        <v>2</v>
      </c>
      <c r="C346" s="529" t="s">
        <v>254</v>
      </c>
      <c r="D346" s="587"/>
      <c r="E346" s="110" t="s">
        <v>307</v>
      </c>
      <c r="F346" s="100"/>
      <c r="G346" s="557"/>
      <c r="H346" s="125"/>
    </row>
    <row r="347" spans="1:8" ht="12.75" customHeight="1">
      <c r="A347" s="552"/>
      <c r="B347" s="511"/>
      <c r="C347" s="587"/>
      <c r="D347" s="587" t="s">
        <v>106</v>
      </c>
      <c r="E347" s="53" t="s">
        <v>144</v>
      </c>
      <c r="F347" s="100">
        <v>2500000</v>
      </c>
      <c r="G347" s="557"/>
      <c r="H347" s="125">
        <f t="shared" si="14"/>
        <v>2500000</v>
      </c>
    </row>
    <row r="348" spans="1:8" ht="12.75" customHeight="1">
      <c r="A348" s="552"/>
      <c r="B348" s="511"/>
      <c r="C348" s="587"/>
      <c r="D348" s="587"/>
      <c r="E348" s="53" t="s">
        <v>145</v>
      </c>
      <c r="F348" s="100">
        <v>1612000</v>
      </c>
      <c r="G348" s="557"/>
      <c r="H348" s="125">
        <f t="shared" si="14"/>
        <v>1612000</v>
      </c>
    </row>
    <row r="349" spans="1:8" ht="12.75" customHeight="1">
      <c r="A349" s="552"/>
      <c r="B349" s="511"/>
      <c r="C349" s="587"/>
      <c r="D349" s="587"/>
      <c r="E349" s="210" t="s">
        <v>146</v>
      </c>
      <c r="F349" s="103">
        <v>1689994</v>
      </c>
      <c r="G349" s="588"/>
      <c r="H349" s="125">
        <f t="shared" si="14"/>
        <v>1689994</v>
      </c>
    </row>
    <row r="350" spans="1:8" ht="12.75" customHeight="1">
      <c r="A350" s="552"/>
      <c r="B350" s="511"/>
      <c r="C350" s="587"/>
      <c r="D350" s="587" t="s">
        <v>107</v>
      </c>
      <c r="E350" s="53" t="s">
        <v>144</v>
      </c>
      <c r="F350" s="100">
        <v>0</v>
      </c>
      <c r="G350" s="589"/>
      <c r="H350" s="125">
        <f t="shared" si="14"/>
        <v>0</v>
      </c>
    </row>
    <row r="351" spans="1:8" ht="12.75" customHeight="1">
      <c r="A351" s="552"/>
      <c r="B351" s="511"/>
      <c r="C351" s="587"/>
      <c r="D351" s="587"/>
      <c r="E351" s="53" t="s">
        <v>145</v>
      </c>
      <c r="F351" s="100">
        <v>250000</v>
      </c>
      <c r="G351" s="589"/>
      <c r="H351" s="125">
        <f t="shared" si="14"/>
        <v>250000</v>
      </c>
    </row>
    <row r="352" spans="1:8" ht="12.75" customHeight="1">
      <c r="A352" s="552"/>
      <c r="B352" s="511"/>
      <c r="C352" s="587"/>
      <c r="D352" s="587"/>
      <c r="E352" s="210" t="s">
        <v>146</v>
      </c>
      <c r="F352" s="103">
        <v>323467</v>
      </c>
      <c r="G352" s="588"/>
      <c r="H352" s="125">
        <f t="shared" si="14"/>
        <v>323467</v>
      </c>
    </row>
    <row r="353" spans="1:8" ht="12.75" customHeight="1">
      <c r="A353" s="552"/>
      <c r="B353" s="511">
        <v>3</v>
      </c>
      <c r="C353" s="587" t="s">
        <v>685</v>
      </c>
      <c r="D353" s="587"/>
      <c r="E353" s="715" t="s">
        <v>62</v>
      </c>
      <c r="F353" s="100"/>
      <c r="G353" s="557"/>
      <c r="H353" s="125"/>
    </row>
    <row r="354" spans="1:8" ht="12.75" customHeight="1">
      <c r="A354" s="552"/>
      <c r="B354" s="511"/>
      <c r="C354" s="587"/>
      <c r="D354" s="587" t="s">
        <v>106</v>
      </c>
      <c r="E354" s="53" t="s">
        <v>144</v>
      </c>
      <c r="F354" s="100">
        <v>675000</v>
      </c>
      <c r="G354" s="557"/>
      <c r="H354" s="125">
        <f t="shared" si="14"/>
        <v>675000</v>
      </c>
    </row>
    <row r="355" spans="1:8" ht="12.75" customHeight="1">
      <c r="A355" s="552"/>
      <c r="B355" s="511"/>
      <c r="C355" s="587"/>
      <c r="D355" s="587"/>
      <c r="E355" s="53" t="s">
        <v>145</v>
      </c>
      <c r="F355" s="100">
        <v>753000</v>
      </c>
      <c r="G355" s="557"/>
      <c r="H355" s="125">
        <f t="shared" si="14"/>
        <v>753000</v>
      </c>
    </row>
    <row r="356" spans="1:8" ht="12.75" customHeight="1">
      <c r="A356" s="552"/>
      <c r="B356" s="511"/>
      <c r="C356" s="587"/>
      <c r="D356" s="587"/>
      <c r="E356" s="53" t="s">
        <v>146</v>
      </c>
      <c r="F356" s="100">
        <v>810159</v>
      </c>
      <c r="G356" s="557"/>
      <c r="H356" s="119">
        <f t="shared" si="14"/>
        <v>810159</v>
      </c>
    </row>
    <row r="357" spans="1:8" ht="12.75" customHeight="1">
      <c r="A357" s="552"/>
      <c r="B357" s="511"/>
      <c r="C357" s="587"/>
      <c r="D357" s="587" t="s">
        <v>107</v>
      </c>
      <c r="E357" s="53" t="s">
        <v>144</v>
      </c>
      <c r="F357" s="100">
        <v>0</v>
      </c>
      <c r="G357" s="557"/>
      <c r="H357" s="119">
        <f t="shared" si="14"/>
        <v>0</v>
      </c>
    </row>
    <row r="358" spans="1:8" ht="12.75" customHeight="1">
      <c r="A358" s="552"/>
      <c r="B358" s="511"/>
      <c r="C358" s="587"/>
      <c r="D358" s="587"/>
      <c r="E358" s="53" t="s">
        <v>145</v>
      </c>
      <c r="F358" s="100">
        <v>0</v>
      </c>
      <c r="G358" s="557"/>
      <c r="H358" s="119">
        <f t="shared" si="14"/>
        <v>0</v>
      </c>
    </row>
    <row r="359" spans="1:8" ht="12.75" customHeight="1">
      <c r="A359" s="552"/>
      <c r="B359" s="511"/>
      <c r="C359" s="587"/>
      <c r="D359" s="587"/>
      <c r="E359" s="53" t="s">
        <v>146</v>
      </c>
      <c r="F359" s="100">
        <v>87335</v>
      </c>
      <c r="G359" s="557"/>
      <c r="H359" s="119">
        <f t="shared" si="14"/>
        <v>87335</v>
      </c>
    </row>
    <row r="360" spans="1:8" ht="12.75" customHeight="1">
      <c r="A360" s="552"/>
      <c r="B360" s="511">
        <v>4</v>
      </c>
      <c r="C360" s="587" t="s">
        <v>303</v>
      </c>
      <c r="D360" s="587" t="s">
        <v>106</v>
      </c>
      <c r="E360" s="715" t="s">
        <v>300</v>
      </c>
      <c r="F360" s="100"/>
      <c r="G360" s="557"/>
      <c r="H360" s="119"/>
    </row>
    <row r="361" spans="1:8" ht="12.75" customHeight="1">
      <c r="A361" s="552"/>
      <c r="B361" s="511"/>
      <c r="C361" s="587"/>
      <c r="D361" s="587"/>
      <c r="E361" s="53" t="s">
        <v>144</v>
      </c>
      <c r="F361" s="100">
        <v>0</v>
      </c>
      <c r="G361" s="557"/>
      <c r="H361" s="125">
        <f t="shared" si="14"/>
        <v>0</v>
      </c>
    </row>
    <row r="362" spans="1:8" ht="12.75" customHeight="1">
      <c r="A362" s="552"/>
      <c r="B362" s="511"/>
      <c r="C362" s="587"/>
      <c r="D362" s="587"/>
      <c r="E362" s="53" t="s">
        <v>145</v>
      </c>
      <c r="F362" s="100">
        <v>0</v>
      </c>
      <c r="G362" s="557"/>
      <c r="H362" s="125">
        <f t="shared" si="14"/>
        <v>0</v>
      </c>
    </row>
    <row r="363" spans="1:8" ht="12.75" customHeight="1">
      <c r="A363" s="552"/>
      <c r="B363" s="511"/>
      <c r="C363" s="587"/>
      <c r="D363" s="587"/>
      <c r="E363" s="210" t="s">
        <v>146</v>
      </c>
      <c r="F363" s="103">
        <v>1173</v>
      </c>
      <c r="G363" s="588"/>
      <c r="H363" s="125">
        <f t="shared" si="14"/>
        <v>1173</v>
      </c>
    </row>
    <row r="364" spans="1:8" ht="12.75" customHeight="1">
      <c r="A364" s="552"/>
      <c r="B364" s="511">
        <v>5</v>
      </c>
      <c r="C364" s="587" t="s">
        <v>686</v>
      </c>
      <c r="D364" s="587" t="s">
        <v>106</v>
      </c>
      <c r="E364" s="715" t="s">
        <v>260</v>
      </c>
      <c r="F364" s="100"/>
      <c r="G364" s="589"/>
      <c r="H364" s="125"/>
    </row>
    <row r="365" spans="1:8" ht="12.75" customHeight="1">
      <c r="A365" s="552"/>
      <c r="B365" s="511"/>
      <c r="C365" s="587"/>
      <c r="D365" s="587"/>
      <c r="E365" s="53" t="s">
        <v>144</v>
      </c>
      <c r="F365" s="100">
        <v>0</v>
      </c>
      <c r="G365" s="589"/>
      <c r="H365" s="125">
        <v>0</v>
      </c>
    </row>
    <row r="366" spans="1:8" ht="12.75" customHeight="1">
      <c r="A366" s="552"/>
      <c r="B366" s="511"/>
      <c r="C366" s="587"/>
      <c r="D366" s="587"/>
      <c r="E366" s="53" t="s">
        <v>145</v>
      </c>
      <c r="F366" s="100">
        <v>0</v>
      </c>
      <c r="G366" s="589"/>
      <c r="H366" s="125">
        <f>F366</f>
        <v>0</v>
      </c>
    </row>
    <row r="367" spans="1:8" ht="12.75" customHeight="1">
      <c r="A367" s="552"/>
      <c r="B367" s="511"/>
      <c r="C367" s="661"/>
      <c r="D367" s="661"/>
      <c r="E367" s="720" t="s">
        <v>146</v>
      </c>
      <c r="F367" s="103">
        <v>7793</v>
      </c>
      <c r="G367" s="588"/>
      <c r="H367" s="125">
        <f>F367</f>
        <v>7793</v>
      </c>
    </row>
    <row r="368" spans="1:8" ht="14.25" customHeight="1">
      <c r="A368" s="1530" t="s">
        <v>261</v>
      </c>
      <c r="B368" s="1531"/>
      <c r="C368" s="1531"/>
      <c r="D368" s="1531"/>
      <c r="E368" s="1532"/>
      <c r="F368" s="590"/>
      <c r="G368" s="493"/>
      <c r="H368" s="564"/>
    </row>
    <row r="369" spans="1:8" ht="14.25" customHeight="1">
      <c r="A369" s="733"/>
      <c r="B369" s="800">
        <v>1</v>
      </c>
      <c r="C369" s="592" t="s">
        <v>726</v>
      </c>
      <c r="D369" s="738" t="s">
        <v>106</v>
      </c>
      <c r="E369" s="53" t="s">
        <v>144</v>
      </c>
      <c r="F369" s="716"/>
      <c r="G369" s="717">
        <v>0</v>
      </c>
      <c r="H369" s="125">
        <f aca="true" t="shared" si="15" ref="H369:H374">G369</f>
        <v>0</v>
      </c>
    </row>
    <row r="370" spans="1:8" ht="14.25" customHeight="1">
      <c r="A370" s="552"/>
      <c r="B370" s="583"/>
      <c r="C370" s="1138"/>
      <c r="D370" s="713"/>
      <c r="E370" s="53" t="s">
        <v>145</v>
      </c>
      <c r="F370" s="716"/>
      <c r="G370" s="717">
        <v>7265237</v>
      </c>
      <c r="H370" s="125">
        <f t="shared" si="15"/>
        <v>7265237</v>
      </c>
    </row>
    <row r="371" spans="1:8" ht="14.25" customHeight="1">
      <c r="A371" s="552"/>
      <c r="B371" s="583"/>
      <c r="C371" s="1138"/>
      <c r="D371" s="713"/>
      <c r="E371" s="210" t="s">
        <v>146</v>
      </c>
      <c r="F371" s="716"/>
      <c r="G371" s="717">
        <v>7265237</v>
      </c>
      <c r="H371" s="125">
        <f t="shared" si="15"/>
        <v>7265237</v>
      </c>
    </row>
    <row r="372" spans="1:8" ht="14.25" customHeight="1">
      <c r="A372" s="552"/>
      <c r="B372" s="583"/>
      <c r="C372" s="1138"/>
      <c r="D372" s="547" t="s">
        <v>107</v>
      </c>
      <c r="E372" s="53" t="s">
        <v>144</v>
      </c>
      <c r="F372" s="716"/>
      <c r="G372" s="717">
        <v>0</v>
      </c>
      <c r="H372" s="125">
        <f t="shared" si="15"/>
        <v>0</v>
      </c>
    </row>
    <row r="373" spans="1:8" ht="14.25" customHeight="1">
      <c r="A373" s="552"/>
      <c r="B373" s="583"/>
      <c r="C373" s="1138"/>
      <c r="D373" s="713"/>
      <c r="E373" s="53" t="s">
        <v>145</v>
      </c>
      <c r="F373" s="716"/>
      <c r="G373" s="717">
        <v>53342500</v>
      </c>
      <c r="H373" s="125">
        <f t="shared" si="15"/>
        <v>53342500</v>
      </c>
    </row>
    <row r="374" spans="1:8" ht="14.25" customHeight="1">
      <c r="A374" s="582"/>
      <c r="B374" s="1361"/>
      <c r="C374" s="1362"/>
      <c r="D374" s="1363"/>
      <c r="E374" s="155" t="s">
        <v>146</v>
      </c>
      <c r="F374" s="1364"/>
      <c r="G374" s="1365">
        <v>54870800</v>
      </c>
      <c r="H374" s="1366">
        <f t="shared" si="15"/>
        <v>54870800</v>
      </c>
    </row>
    <row r="375" spans="1:8" ht="14.25" customHeight="1">
      <c r="A375" s="1544" t="s">
        <v>262</v>
      </c>
      <c r="B375" s="1545"/>
      <c r="C375" s="1545"/>
      <c r="D375" s="1545"/>
      <c r="E375" s="1546"/>
      <c r="F375" s="124">
        <v>0</v>
      </c>
      <c r="G375" s="584"/>
      <c r="H375" s="125">
        <v>0</v>
      </c>
    </row>
    <row r="376" spans="1:8" ht="14.25" customHeight="1">
      <c r="A376" s="552"/>
      <c r="B376" s="640">
        <v>1</v>
      </c>
      <c r="C376" s="592" t="s">
        <v>725</v>
      </c>
      <c r="D376" s="592" t="s">
        <v>106</v>
      </c>
      <c r="E376" s="1140" t="s">
        <v>900</v>
      </c>
      <c r="F376" s="107"/>
      <c r="G376" s="545"/>
      <c r="H376" s="119"/>
    </row>
    <row r="377" spans="1:8" ht="14.25" customHeight="1">
      <c r="A377" s="552"/>
      <c r="B377" s="583"/>
      <c r="C377" s="1138"/>
      <c r="D377" s="1138"/>
      <c r="E377" s="721" t="s">
        <v>144</v>
      </c>
      <c r="F377" s="100">
        <v>0</v>
      </c>
      <c r="G377" s="545"/>
      <c r="H377" s="119">
        <f>F377</f>
        <v>0</v>
      </c>
    </row>
    <row r="378" spans="1:8" ht="14.25" customHeight="1">
      <c r="A378" s="552"/>
      <c r="B378" s="583"/>
      <c r="C378" s="1138"/>
      <c r="D378" s="1138"/>
      <c r="E378" s="721" t="s">
        <v>145</v>
      </c>
      <c r="F378" s="100">
        <v>20036436</v>
      </c>
      <c r="G378" s="545"/>
      <c r="H378" s="119">
        <f>F378</f>
        <v>20036436</v>
      </c>
    </row>
    <row r="379" spans="1:8" ht="14.25" customHeight="1">
      <c r="A379" s="552"/>
      <c r="B379" s="583"/>
      <c r="C379" s="1138"/>
      <c r="D379" s="1138"/>
      <c r="E379" s="720" t="s">
        <v>146</v>
      </c>
      <c r="F379" s="100">
        <f>20536436-500000</f>
        <v>20036436</v>
      </c>
      <c r="G379" s="545"/>
      <c r="H379" s="119">
        <f>F379</f>
        <v>20036436</v>
      </c>
    </row>
    <row r="380" spans="1:8" ht="14.25" customHeight="1">
      <c r="A380" s="585"/>
      <c r="B380" s="640">
        <v>2</v>
      </c>
      <c r="C380" s="593" t="s">
        <v>725</v>
      </c>
      <c r="D380" s="593" t="s">
        <v>106</v>
      </c>
      <c r="E380" s="715" t="s">
        <v>1095</v>
      </c>
      <c r="F380" s="100"/>
      <c r="G380" s="557"/>
      <c r="H380" s="558"/>
    </row>
    <row r="381" spans="1:8" ht="14.25" customHeight="1">
      <c r="A381" s="552"/>
      <c r="B381" s="583"/>
      <c r="C381" s="1138"/>
      <c r="D381" s="1138"/>
      <c r="E381" s="721" t="s">
        <v>144</v>
      </c>
      <c r="F381" s="100">
        <v>0</v>
      </c>
      <c r="G381" s="545"/>
      <c r="H381" s="119">
        <f>F381</f>
        <v>0</v>
      </c>
    </row>
    <row r="382" spans="1:8" ht="14.25" customHeight="1">
      <c r="A382" s="552"/>
      <c r="B382" s="583"/>
      <c r="C382" s="1138"/>
      <c r="D382" s="1138"/>
      <c r="E382" s="721" t="s">
        <v>145</v>
      </c>
      <c r="F382" s="100">
        <v>500000</v>
      </c>
      <c r="G382" s="545"/>
      <c r="H382" s="119">
        <f>F382</f>
        <v>500000</v>
      </c>
    </row>
    <row r="383" spans="1:8" ht="14.25" customHeight="1">
      <c r="A383" s="552"/>
      <c r="B383" s="583"/>
      <c r="C383" s="1139"/>
      <c r="D383" s="1139"/>
      <c r="E383" s="720" t="s">
        <v>146</v>
      </c>
      <c r="F383" s="100">
        <v>500000</v>
      </c>
      <c r="G383" s="545"/>
      <c r="H383" s="119">
        <f>F383</f>
        <v>500000</v>
      </c>
    </row>
    <row r="384" spans="1:8" ht="14.25" customHeight="1">
      <c r="A384" s="1492" t="s">
        <v>263</v>
      </c>
      <c r="B384" s="1493"/>
      <c r="C384" s="1494"/>
      <c r="D384" s="1494"/>
      <c r="E384" s="1495"/>
      <c r="F384" s="591"/>
      <c r="G384" s="128"/>
      <c r="H384" s="119"/>
    </row>
    <row r="385" spans="1:8" ht="13.5" customHeight="1">
      <c r="A385" s="585"/>
      <c r="B385" s="640">
        <v>1</v>
      </c>
      <c r="C385" s="592" t="s">
        <v>727</v>
      </c>
      <c r="D385" s="592"/>
      <c r="E385" s="1499" t="s">
        <v>264</v>
      </c>
      <c r="F385" s="1500"/>
      <c r="G385" s="1501"/>
      <c r="H385" s="554"/>
    </row>
    <row r="386" spans="1:8" ht="13.5" customHeight="1">
      <c r="A386" s="585"/>
      <c r="B386" s="640"/>
      <c r="C386" s="593"/>
      <c r="D386" s="640" t="s">
        <v>107</v>
      </c>
      <c r="E386" s="53" t="s">
        <v>144</v>
      </c>
      <c r="F386" s="589"/>
      <c r="G386" s="569">
        <v>600000</v>
      </c>
      <c r="H386" s="558">
        <f aca="true" t="shared" si="16" ref="H386:H391">G386</f>
        <v>600000</v>
      </c>
    </row>
    <row r="387" spans="1:8" ht="13.5" customHeight="1">
      <c r="A387" s="585"/>
      <c r="B387" s="640"/>
      <c r="C387" s="593"/>
      <c r="D387" s="640"/>
      <c r="E387" s="53" t="s">
        <v>145</v>
      </c>
      <c r="F387" s="589"/>
      <c r="G387" s="569">
        <v>600000</v>
      </c>
      <c r="H387" s="558">
        <f t="shared" si="16"/>
        <v>600000</v>
      </c>
    </row>
    <row r="388" spans="1:8" ht="13.5" customHeight="1">
      <c r="A388" s="585"/>
      <c r="B388" s="640"/>
      <c r="C388" s="593"/>
      <c r="D388" s="640"/>
      <c r="E388" s="210" t="s">
        <v>146</v>
      </c>
      <c r="F388" s="614"/>
      <c r="G388" s="615">
        <v>1161562</v>
      </c>
      <c r="H388" s="563">
        <f t="shared" si="16"/>
        <v>1161562</v>
      </c>
    </row>
    <row r="389" spans="1:8" ht="13.5" customHeight="1">
      <c r="A389" s="585"/>
      <c r="B389" s="640"/>
      <c r="C389" s="593"/>
      <c r="D389" s="640" t="s">
        <v>106</v>
      </c>
      <c r="E389" s="53" t="s">
        <v>144</v>
      </c>
      <c r="F389" s="589"/>
      <c r="G389" s="569">
        <v>400000</v>
      </c>
      <c r="H389" s="558">
        <f t="shared" si="16"/>
        <v>400000</v>
      </c>
    </row>
    <row r="390" spans="1:8" ht="13.5" customHeight="1">
      <c r="A390" s="585"/>
      <c r="B390" s="640"/>
      <c r="C390" s="593"/>
      <c r="D390" s="640"/>
      <c r="E390" s="53" t="s">
        <v>145</v>
      </c>
      <c r="F390" s="589"/>
      <c r="G390" s="569">
        <v>400000</v>
      </c>
      <c r="H390" s="558">
        <f t="shared" si="16"/>
        <v>400000</v>
      </c>
    </row>
    <row r="391" spans="1:8" ht="13.5" customHeight="1">
      <c r="A391" s="585"/>
      <c r="B391" s="640"/>
      <c r="C391" s="593"/>
      <c r="D391" s="640"/>
      <c r="E391" s="53" t="s">
        <v>146</v>
      </c>
      <c r="F391" s="589"/>
      <c r="G391" s="569">
        <v>765002</v>
      </c>
      <c r="H391" s="558">
        <f t="shared" si="16"/>
        <v>765002</v>
      </c>
    </row>
    <row r="392" spans="1:8" ht="14.25" customHeight="1">
      <c r="A392" s="1496" t="s">
        <v>265</v>
      </c>
      <c r="B392" s="1497"/>
      <c r="C392" s="1497"/>
      <c r="D392" s="1497"/>
      <c r="E392" s="1498"/>
      <c r="F392" s="106"/>
      <c r="G392" s="577"/>
      <c r="H392" s="126"/>
    </row>
    <row r="393" spans="1:8" ht="14.25" customHeight="1">
      <c r="A393" s="552"/>
      <c r="B393" s="547"/>
      <c r="C393" s="1549" t="s">
        <v>266</v>
      </c>
      <c r="D393" s="592"/>
      <c r="E393" s="1499" t="s">
        <v>731</v>
      </c>
      <c r="F393" s="1500"/>
      <c r="G393" s="1501"/>
      <c r="H393" s="572"/>
    </row>
    <row r="394" spans="1:8" ht="14.25" customHeight="1">
      <c r="A394" s="552"/>
      <c r="B394" s="547">
        <v>1</v>
      </c>
      <c r="C394" s="1504"/>
      <c r="D394" s="593" t="s">
        <v>106</v>
      </c>
      <c r="E394" s="53" t="s">
        <v>144</v>
      </c>
      <c r="F394" s="122">
        <v>226151334</v>
      </c>
      <c r="G394" s="571">
        <v>78438000</v>
      </c>
      <c r="H394" s="572">
        <f aca="true" t="shared" si="17" ref="H394:H402">F394+G394</f>
        <v>304589334</v>
      </c>
    </row>
    <row r="395" spans="1:8" ht="14.25" customHeight="1">
      <c r="A395" s="552"/>
      <c r="B395" s="547"/>
      <c r="C395" s="1504"/>
      <c r="D395" s="593"/>
      <c r="E395" s="53" t="s">
        <v>145</v>
      </c>
      <c r="F395" s="122">
        <v>226654124</v>
      </c>
      <c r="G395" s="571">
        <v>78437802</v>
      </c>
      <c r="H395" s="572">
        <f t="shared" si="17"/>
        <v>305091926</v>
      </c>
    </row>
    <row r="396" spans="1:8" ht="14.25" customHeight="1">
      <c r="A396" s="552"/>
      <c r="B396" s="547"/>
      <c r="C396" s="1504"/>
      <c r="D396" s="593"/>
      <c r="E396" s="210" t="s">
        <v>146</v>
      </c>
      <c r="F396" s="122">
        <v>226654124</v>
      </c>
      <c r="G396" s="571">
        <v>78437802</v>
      </c>
      <c r="H396" s="572">
        <f t="shared" si="17"/>
        <v>305091926</v>
      </c>
    </row>
    <row r="397" spans="1:8" ht="14.25" customHeight="1">
      <c r="A397" s="552"/>
      <c r="B397" s="547">
        <v>2</v>
      </c>
      <c r="C397" s="1504"/>
      <c r="D397" s="593" t="s">
        <v>107</v>
      </c>
      <c r="E397" s="53" t="s">
        <v>144</v>
      </c>
      <c r="F397" s="122">
        <v>14163000</v>
      </c>
      <c r="G397" s="571">
        <v>1913000</v>
      </c>
      <c r="H397" s="572">
        <f t="shared" si="17"/>
        <v>16076000</v>
      </c>
    </row>
    <row r="398" spans="1:8" ht="14.25" customHeight="1">
      <c r="A398" s="552"/>
      <c r="B398" s="640"/>
      <c r="C398" s="1504"/>
      <c r="D398" s="593"/>
      <c r="E398" s="53" t="s">
        <v>145</v>
      </c>
      <c r="F398" s="122">
        <v>14163000</v>
      </c>
      <c r="G398" s="571">
        <v>1913000</v>
      </c>
      <c r="H398" s="572">
        <f t="shared" si="17"/>
        <v>16076000</v>
      </c>
    </row>
    <row r="399" spans="1:8" ht="14.25" customHeight="1">
      <c r="A399" s="552"/>
      <c r="B399" s="640"/>
      <c r="C399" s="1504"/>
      <c r="D399" s="593"/>
      <c r="E399" s="210" t="s">
        <v>146</v>
      </c>
      <c r="F399" s="122">
        <v>14163000</v>
      </c>
      <c r="G399" s="571">
        <v>1913000</v>
      </c>
      <c r="H399" s="572">
        <f t="shared" si="17"/>
        <v>16076000</v>
      </c>
    </row>
    <row r="400" spans="1:8" ht="14.25" customHeight="1">
      <c r="A400" s="552"/>
      <c r="B400" s="640">
        <v>3</v>
      </c>
      <c r="C400" s="1504"/>
      <c r="D400" s="593" t="s">
        <v>168</v>
      </c>
      <c r="E400" s="53" t="s">
        <v>144</v>
      </c>
      <c r="F400" s="122">
        <v>66809000</v>
      </c>
      <c r="G400" s="571"/>
      <c r="H400" s="572">
        <f t="shared" si="17"/>
        <v>66809000</v>
      </c>
    </row>
    <row r="401" spans="1:8" ht="14.25" customHeight="1">
      <c r="A401" s="552"/>
      <c r="B401" s="640"/>
      <c r="C401" s="1504"/>
      <c r="D401" s="593"/>
      <c r="E401" s="53" t="s">
        <v>145</v>
      </c>
      <c r="F401" s="122">
        <v>66809000</v>
      </c>
      <c r="G401" s="571"/>
      <c r="H401" s="572">
        <f t="shared" si="17"/>
        <v>66809000</v>
      </c>
    </row>
    <row r="402" spans="1:8" ht="14.25" customHeight="1">
      <c r="A402" s="552"/>
      <c r="B402" s="640"/>
      <c r="C402" s="1504"/>
      <c r="D402" s="593"/>
      <c r="E402" s="210" t="s">
        <v>146</v>
      </c>
      <c r="F402" s="122">
        <v>66809000</v>
      </c>
      <c r="G402" s="571"/>
      <c r="H402" s="572">
        <f t="shared" si="17"/>
        <v>66809000</v>
      </c>
    </row>
    <row r="403" spans="1:8" ht="14.25" customHeight="1">
      <c r="A403" s="552"/>
      <c r="B403" s="640"/>
      <c r="C403" s="1504" t="s">
        <v>732</v>
      </c>
      <c r="D403" s="593"/>
      <c r="E403" s="715" t="s">
        <v>840</v>
      </c>
      <c r="F403" s="122"/>
      <c r="G403" s="571"/>
      <c r="H403" s="572"/>
    </row>
    <row r="404" spans="1:8" ht="14.25" customHeight="1">
      <c r="A404" s="552"/>
      <c r="B404" s="640">
        <v>4</v>
      </c>
      <c r="C404" s="1504"/>
      <c r="D404" s="593" t="s">
        <v>106</v>
      </c>
      <c r="E404" s="53" t="s">
        <v>144</v>
      </c>
      <c r="F404" s="122">
        <v>3607904444</v>
      </c>
      <c r="G404" s="571">
        <v>463426930</v>
      </c>
      <c r="H404" s="572">
        <f>F404+G404</f>
        <v>4071331374</v>
      </c>
    </row>
    <row r="405" spans="1:8" ht="14.25" customHeight="1">
      <c r="A405" s="552"/>
      <c r="B405" s="640"/>
      <c r="C405" s="1504"/>
      <c r="D405" s="593"/>
      <c r="E405" s="53" t="s">
        <v>145</v>
      </c>
      <c r="F405" s="122">
        <v>2318218205</v>
      </c>
      <c r="G405" s="571">
        <v>621711281</v>
      </c>
      <c r="H405" s="572">
        <f>F405+G405</f>
        <v>2939929486</v>
      </c>
    </row>
    <row r="406" spans="1:8" ht="14.25" customHeight="1">
      <c r="A406" s="552"/>
      <c r="B406" s="640"/>
      <c r="C406" s="1504"/>
      <c r="D406" s="593"/>
      <c r="E406" s="210" t="s">
        <v>146</v>
      </c>
      <c r="F406" s="122"/>
      <c r="G406" s="571"/>
      <c r="H406" s="572">
        <f>F406+G406</f>
        <v>0</v>
      </c>
    </row>
    <row r="407" spans="1:8" ht="14.25" customHeight="1">
      <c r="A407" s="552"/>
      <c r="B407" s="640"/>
      <c r="C407" s="1504"/>
      <c r="D407" s="593" t="s">
        <v>107</v>
      </c>
      <c r="E407" s="53" t="s">
        <v>144</v>
      </c>
      <c r="F407" s="122">
        <v>1746440730</v>
      </c>
      <c r="G407" s="571">
        <v>222636566</v>
      </c>
      <c r="H407" s="572">
        <f>F407</f>
        <v>1746440730</v>
      </c>
    </row>
    <row r="408" spans="1:8" ht="14.25" customHeight="1">
      <c r="A408" s="552"/>
      <c r="B408" s="640"/>
      <c r="C408" s="1504"/>
      <c r="D408" s="593"/>
      <c r="E408" s="53" t="s">
        <v>145</v>
      </c>
      <c r="F408" s="122">
        <v>2748430730</v>
      </c>
      <c r="G408" s="571">
        <v>362048454</v>
      </c>
      <c r="H408" s="572">
        <f>F408</f>
        <v>2748430730</v>
      </c>
    </row>
    <row r="409" spans="1:8" ht="14.25" customHeight="1">
      <c r="A409" s="552"/>
      <c r="B409" s="640"/>
      <c r="C409" s="1504"/>
      <c r="D409" s="593"/>
      <c r="E409" s="53" t="s">
        <v>146</v>
      </c>
      <c r="F409" s="122">
        <v>1224700000</v>
      </c>
      <c r="G409" s="571"/>
      <c r="H409" s="572">
        <f>F409</f>
        <v>1224700000</v>
      </c>
    </row>
    <row r="410" spans="1:8" ht="14.25" customHeight="1">
      <c r="A410" s="552"/>
      <c r="B410" s="640">
        <v>5</v>
      </c>
      <c r="C410" s="796"/>
      <c r="D410" s="593"/>
      <c r="E410" s="715" t="s">
        <v>733</v>
      </c>
      <c r="F410" s="122"/>
      <c r="G410" s="571"/>
      <c r="H410" s="572"/>
    </row>
    <row r="411" spans="1:8" ht="14.25" customHeight="1">
      <c r="A411" s="552"/>
      <c r="B411" s="640"/>
      <c r="C411" s="593" t="s">
        <v>734</v>
      </c>
      <c r="D411" s="593" t="s">
        <v>106</v>
      </c>
      <c r="E411" s="53" t="s">
        <v>144</v>
      </c>
      <c r="F411" s="122"/>
      <c r="G411" s="571">
        <v>80000000</v>
      </c>
      <c r="H411" s="572">
        <f>G411</f>
        <v>80000000</v>
      </c>
    </row>
    <row r="412" spans="1:8" ht="14.25" customHeight="1">
      <c r="A412" s="552"/>
      <c r="B412" s="640"/>
      <c r="C412" s="796"/>
      <c r="D412" s="593"/>
      <c r="E412" s="53" t="s">
        <v>145</v>
      </c>
      <c r="F412" s="122"/>
      <c r="G412" s="571">
        <v>130000000</v>
      </c>
      <c r="H412" s="572">
        <f>G412</f>
        <v>130000000</v>
      </c>
    </row>
    <row r="413" spans="1:8" ht="14.25" customHeight="1">
      <c r="A413" s="552"/>
      <c r="B413" s="640"/>
      <c r="C413" s="796"/>
      <c r="D413" s="593"/>
      <c r="E413" s="53" t="s">
        <v>146</v>
      </c>
      <c r="F413" s="122"/>
      <c r="G413" s="571">
        <v>27877000</v>
      </c>
      <c r="H413" s="572">
        <f>G413</f>
        <v>27877000</v>
      </c>
    </row>
    <row r="414" spans="1:8" ht="14.25" customHeight="1">
      <c r="A414" s="552"/>
      <c r="B414" s="640">
        <v>6</v>
      </c>
      <c r="C414" s="796"/>
      <c r="D414" s="593"/>
      <c r="E414" s="1141" t="s">
        <v>736</v>
      </c>
      <c r="F414" s="122"/>
      <c r="G414" s="571"/>
      <c r="H414" s="572"/>
    </row>
    <row r="415" spans="1:8" ht="14.25" customHeight="1">
      <c r="A415" s="552"/>
      <c r="B415" s="640"/>
      <c r="C415" s="593" t="s">
        <v>735</v>
      </c>
      <c r="D415" s="593" t="s">
        <v>106</v>
      </c>
      <c r="E415" s="53" t="s">
        <v>144</v>
      </c>
      <c r="F415" s="122">
        <v>0</v>
      </c>
      <c r="G415" s="571"/>
      <c r="H415" s="572">
        <f>F415+G415</f>
        <v>0</v>
      </c>
    </row>
    <row r="416" spans="1:8" ht="14.25" customHeight="1">
      <c r="A416" s="552"/>
      <c r="B416" s="640"/>
      <c r="C416" s="664"/>
      <c r="D416" s="593"/>
      <c r="E416" s="53" t="s">
        <v>145</v>
      </c>
      <c r="F416" s="100">
        <v>17873670</v>
      </c>
      <c r="G416" s="100"/>
      <c r="H416" s="572">
        <f>F416+G416</f>
        <v>17873670</v>
      </c>
    </row>
    <row r="417" spans="1:8" ht="14.25" customHeight="1" thickBot="1">
      <c r="A417" s="552"/>
      <c r="B417" s="640"/>
      <c r="C417" s="664"/>
      <c r="D417" s="593"/>
      <c r="E417" s="210" t="s">
        <v>146</v>
      </c>
      <c r="F417" s="103">
        <v>17873670</v>
      </c>
      <c r="G417" s="571"/>
      <c r="H417" s="572">
        <f>F417+G417</f>
        <v>17873670</v>
      </c>
    </row>
    <row r="418" spans="1:8" ht="16.5" customHeight="1" thickBot="1" thickTop="1">
      <c r="A418" s="1475" t="s">
        <v>267</v>
      </c>
      <c r="B418" s="1476"/>
      <c r="C418" s="1476"/>
      <c r="D418" s="1476"/>
      <c r="E418" s="1477"/>
      <c r="F418" s="534"/>
      <c r="G418" s="534"/>
      <c r="H418" s="536"/>
    </row>
    <row r="419" spans="1:8" ht="16.5" customHeight="1" thickTop="1">
      <c r="A419" s="38"/>
      <c r="B419" s="39"/>
      <c r="C419" s="421"/>
      <c r="D419" s="421"/>
      <c r="E419" s="53" t="s">
        <v>144</v>
      </c>
      <c r="F419" s="479">
        <f>F49+F156+F224+F280+F386+F394+F397+F415+F404+F411+F407+F400</f>
        <v>7075320202</v>
      </c>
      <c r="G419" s="479">
        <f>G49+G156+G224+G280+G386+G394+G397+G415+G389+G404+G407+G411</f>
        <v>847414496</v>
      </c>
      <c r="H419" s="480">
        <f>SUM(F419:G419)</f>
        <v>7922734698</v>
      </c>
    </row>
    <row r="420" spans="1:8" ht="16.5" customHeight="1">
      <c r="A420" s="104"/>
      <c r="B420" s="105"/>
      <c r="C420" s="98"/>
      <c r="D420" s="98"/>
      <c r="E420" s="53" t="s">
        <v>145</v>
      </c>
      <c r="F420" s="107">
        <f>F50+F157+F225+F281+F387+F395+F398+F416+F405+F412+F401+F408+F378+F382</f>
        <v>6870918720</v>
      </c>
      <c r="G420" s="107">
        <f>G50+G157+G225+G281+G387+G395+G398+G416+G373+G370+G390+G412+G405+G408</f>
        <v>2992953482</v>
      </c>
      <c r="H420" s="119">
        <f>F420+G420</f>
        <v>9863872202</v>
      </c>
    </row>
    <row r="421" spans="1:8" ht="16.5" customHeight="1" thickBot="1">
      <c r="A421" s="108"/>
      <c r="B421" s="109"/>
      <c r="C421" s="422"/>
      <c r="D421" s="422"/>
      <c r="E421" s="76" t="s">
        <v>146</v>
      </c>
      <c r="F421" s="445">
        <f>F51+F158+F226+F282++F396+F399+F417+F406+F413+F402+F409+F379+F383</f>
        <v>3352151069</v>
      </c>
      <c r="G421" s="445">
        <f>G51+G158+G226+G282+G388+G396+G399+G417+G374+G371+G391+G413</f>
        <v>963205402</v>
      </c>
      <c r="H421" s="440">
        <f>G421+F421</f>
        <v>4315356471</v>
      </c>
    </row>
    <row r="422" spans="1:11" s="9" customFormat="1" ht="14.25" customHeight="1" thickTop="1">
      <c r="A422" s="1486" t="s">
        <v>120</v>
      </c>
      <c r="B422" s="1487"/>
      <c r="C422" s="1487"/>
      <c r="D422" s="1487"/>
      <c r="E422" s="1502"/>
      <c r="F422" s="124"/>
      <c r="G422" s="651"/>
      <c r="H422" s="125"/>
      <c r="J422" s="1046"/>
      <c r="K422" s="1046"/>
    </row>
    <row r="423" spans="1:12" s="9" customFormat="1" ht="14.25" customHeight="1">
      <c r="A423" s="538"/>
      <c r="B423" s="539"/>
      <c r="C423" s="539"/>
      <c r="D423" s="599"/>
      <c r="E423" s="53" t="s">
        <v>144</v>
      </c>
      <c r="F423" s="106">
        <f>F54+F104+F236+F258+F284+F156+F232+F386+F394+F397+F415+F400+F404+F407+F261+F78+F81</f>
        <v>7066129202</v>
      </c>
      <c r="G423" s="106">
        <f>G54+G104+G236+G258+G284+G156+G232+G386+G394+G397+G415+G389+G404+G407+G411</f>
        <v>847414496</v>
      </c>
      <c r="H423" s="126">
        <f>F423+G423</f>
        <v>7913543698</v>
      </c>
      <c r="J423" s="1046"/>
      <c r="K423" s="1046"/>
      <c r="L423" s="1046"/>
    </row>
    <row r="424" spans="1:11" s="9" customFormat="1" ht="14.25" customHeight="1">
      <c r="A424" s="538"/>
      <c r="B424" s="539"/>
      <c r="C424" s="539"/>
      <c r="D424" s="599"/>
      <c r="E424" s="53" t="s">
        <v>145</v>
      </c>
      <c r="F424" s="107">
        <f>F55+F79+F105+F237+F259+F285+F233+F395+F401+F398+F416+F262+F405+F412+F82+F408+F378+F88</f>
        <v>6860499720</v>
      </c>
      <c r="G424" s="107">
        <f>G157+G387++G395+G398+G416+G373+G370+G390+G412</f>
        <v>2009193747</v>
      </c>
      <c r="H424" s="119">
        <f>F424+G424</f>
        <v>8869693467</v>
      </c>
      <c r="J424" s="1046"/>
      <c r="K424" s="1046"/>
    </row>
    <row r="425" spans="1:11" s="9" customFormat="1" ht="14.25" customHeight="1">
      <c r="A425" s="538"/>
      <c r="B425" s="539"/>
      <c r="C425" s="539"/>
      <c r="D425" s="599"/>
      <c r="E425" s="210" t="s">
        <v>146</v>
      </c>
      <c r="F425" s="107">
        <f>F56+F106+F238+F260+F286+F234+F388+F396+F399+F417+F263+F406+F413+F83+F80+F89+F402+F409+F379+F383</f>
        <v>3341926215</v>
      </c>
      <c r="G425" s="107">
        <f>G56+G106+G260+G286+G158++G388+G396+G399+G417+G374+G371+G391+G413+G406+G409</f>
        <v>963205402</v>
      </c>
      <c r="H425" s="119">
        <f>F425+G425</f>
        <v>4305131617</v>
      </c>
      <c r="J425" s="1046"/>
      <c r="K425" s="1046"/>
    </row>
    <row r="426" spans="1:11" s="596" customFormat="1" ht="14.25" customHeight="1">
      <c r="A426" s="1482" t="s">
        <v>268</v>
      </c>
      <c r="B426" s="1483"/>
      <c r="C426" s="1483"/>
      <c r="D426" s="1483"/>
      <c r="E426" s="1503"/>
      <c r="F426" s="597"/>
      <c r="G426" s="598"/>
      <c r="H426" s="119"/>
      <c r="J426" s="1047"/>
      <c r="K426" s="1047"/>
    </row>
    <row r="427" spans="1:11" s="596" customFormat="1" ht="14.25" customHeight="1">
      <c r="A427" s="1038"/>
      <c r="B427" s="1039"/>
      <c r="C427" s="1039"/>
      <c r="D427" s="1040"/>
      <c r="E427" s="53" t="s">
        <v>144</v>
      </c>
      <c r="F427" s="597">
        <f>F54+F81+F108+F112+F120+F244+F252+F261+F292+F302+F309+F313+F320+F327+F338+F394+F404+F411+F415+F124</f>
        <v>4572146472</v>
      </c>
      <c r="G427" s="597">
        <f>G54-G78+G108+G112+G120+G394+G404+G411+G415+G389+G369+G168+G176+G184+G188+G192+G196+G200+G204+G208</f>
        <v>622264930</v>
      </c>
      <c r="H427" s="119">
        <f>F427+G427</f>
        <v>5194411402</v>
      </c>
      <c r="J427" s="1047"/>
      <c r="K427" s="1047"/>
    </row>
    <row r="428" spans="1:11" s="596" customFormat="1" ht="14.25" customHeight="1">
      <c r="A428" s="1038"/>
      <c r="B428" s="1039"/>
      <c r="C428" s="1039"/>
      <c r="D428" s="1040"/>
      <c r="E428" s="53" t="s">
        <v>145</v>
      </c>
      <c r="F428" s="597">
        <f>F55+F82+F109+F113+F121+F245+F253+F262+F293+F303+F310+F314+F321+F328+F339+F395+F405+F412+F416+F378+F88+F125+F133+F145+F382</f>
        <v>3349660342</v>
      </c>
      <c r="G428" s="597">
        <f>G55-G79+G109+G113+G121+G395+G405+G412+G416+G390+G370+G169+G177+G185+G201+G205+G209+G173+G181+G213+G217</f>
        <v>2544970217</v>
      </c>
      <c r="H428" s="119">
        <f>F428+G428</f>
        <v>5894630559</v>
      </c>
      <c r="J428" s="1047"/>
      <c r="K428" s="1047"/>
    </row>
    <row r="429" spans="1:11" s="596" customFormat="1" ht="14.25" customHeight="1">
      <c r="A429" s="1038"/>
      <c r="B429" s="1039"/>
      <c r="C429" s="1039"/>
      <c r="D429" s="1040"/>
      <c r="E429" s="210" t="s">
        <v>146</v>
      </c>
      <c r="F429" s="597">
        <f>F56+F83+F110+F114+F122+F246+F254+F263+F294+F304+F311+F315+F322+F329+F340+F396+F406+F413+F417+F379+F89+F126+F134+F146+F383+F154</f>
        <v>1057730545</v>
      </c>
      <c r="G429" s="597">
        <f>G56-G80+G110+G114+G122+G396+G406+G413+G417+G391+G371+G170+G178+G186+G202+G206+G210+G174+G182+G214+G218+G198+G222</f>
        <v>885692169</v>
      </c>
      <c r="H429" s="119">
        <f>F429+G429</f>
        <v>1943422714</v>
      </c>
      <c r="J429" s="1047"/>
      <c r="K429" s="1047"/>
    </row>
    <row r="430" spans="1:11" s="596" customFormat="1" ht="14.25" customHeight="1">
      <c r="A430" s="1482" t="s">
        <v>739</v>
      </c>
      <c r="B430" s="1483"/>
      <c r="C430" s="1483"/>
      <c r="D430" s="1483"/>
      <c r="E430" s="1484"/>
      <c r="F430" s="597"/>
      <c r="G430" s="598"/>
      <c r="H430" s="119"/>
      <c r="J430" s="1047"/>
      <c r="K430" s="1047"/>
    </row>
    <row r="431" spans="1:11" s="596" customFormat="1" ht="14.25" customHeight="1">
      <c r="A431" s="1038"/>
      <c r="B431" s="1039"/>
      <c r="C431" s="1039"/>
      <c r="D431" s="1040"/>
      <c r="E431" s="53" t="s">
        <v>144</v>
      </c>
      <c r="F431" s="597">
        <f>F400</f>
        <v>66809000</v>
      </c>
      <c r="G431" s="598">
        <v>0</v>
      </c>
      <c r="H431" s="119">
        <f aca="true" t="shared" si="18" ref="H431:H437">F431+G431</f>
        <v>66809000</v>
      </c>
      <c r="J431" s="1047"/>
      <c r="K431" s="1047"/>
    </row>
    <row r="432" spans="1:11" s="596" customFormat="1" ht="14.25" customHeight="1">
      <c r="A432" s="1038"/>
      <c r="B432" s="1039"/>
      <c r="C432" s="1039"/>
      <c r="D432" s="1040"/>
      <c r="E432" s="53" t="s">
        <v>145</v>
      </c>
      <c r="F432" s="597">
        <f>F401</f>
        <v>66809000</v>
      </c>
      <c r="G432" s="598">
        <v>0</v>
      </c>
      <c r="H432" s="119">
        <f t="shared" si="18"/>
        <v>66809000</v>
      </c>
      <c r="J432" s="1047"/>
      <c r="K432" s="1047"/>
    </row>
    <row r="433" spans="1:11" s="596" customFormat="1" ht="14.25" customHeight="1">
      <c r="A433" s="1038"/>
      <c r="B433" s="1039"/>
      <c r="C433" s="1039"/>
      <c r="D433" s="1040"/>
      <c r="E433" s="53" t="s">
        <v>146</v>
      </c>
      <c r="F433" s="597">
        <f>F402</f>
        <v>66809000</v>
      </c>
      <c r="G433" s="598">
        <v>0</v>
      </c>
      <c r="H433" s="119">
        <f t="shared" si="18"/>
        <v>66809000</v>
      </c>
      <c r="J433" s="1047"/>
      <c r="K433" s="1047"/>
    </row>
    <row r="434" spans="1:11" s="596" customFormat="1" ht="14.25" customHeight="1">
      <c r="A434" s="1482" t="s">
        <v>269</v>
      </c>
      <c r="B434" s="1483"/>
      <c r="C434" s="1483"/>
      <c r="D434" s="1483"/>
      <c r="E434" s="1485"/>
      <c r="F434" s="594"/>
      <c r="G434" s="595"/>
      <c r="H434" s="119"/>
      <c r="J434" s="1047"/>
      <c r="K434" s="1047"/>
    </row>
    <row r="435" spans="1:11" s="596" customFormat="1" ht="14.25" customHeight="1">
      <c r="A435" s="1038"/>
      <c r="B435" s="1039"/>
      <c r="C435" s="1039"/>
      <c r="D435" s="1040"/>
      <c r="E435" s="53" t="s">
        <v>144</v>
      </c>
      <c r="F435" s="597">
        <f>F78+F132+F140+F144+F148+F232+F240+F248+F258+F295+F299+F306+F317+F324+F331+F335+F397+F407+F116+F128+F136</f>
        <v>2427173730</v>
      </c>
      <c r="G435" s="597">
        <f>G78+G132+G140+G144+G148+G397+G407+G116+G124+G128+G136+G386+G372+G160+G164+G172+G180</f>
        <v>225149566</v>
      </c>
      <c r="H435" s="119">
        <f t="shared" si="18"/>
        <v>2652323296</v>
      </c>
      <c r="J435" s="1047"/>
      <c r="K435" s="1047"/>
    </row>
    <row r="436" spans="1:11" s="596" customFormat="1" ht="14.25" customHeight="1">
      <c r="A436" s="1038"/>
      <c r="B436" s="1039"/>
      <c r="C436" s="1039"/>
      <c r="D436" s="1040"/>
      <c r="E436" s="53" t="s">
        <v>145</v>
      </c>
      <c r="F436" s="597">
        <f>F79++F141+F233+F241+F249+F259+F296+F300+F307+F318+F325+F332+F336+F398+F408+F117+F129+F137</f>
        <v>3444530378</v>
      </c>
      <c r="G436" s="597">
        <f>G79++G398+G408+G387+G373+G161+G165+G189+G193+G197</f>
        <v>447983265</v>
      </c>
      <c r="H436" s="119">
        <f t="shared" si="18"/>
        <v>3892513643</v>
      </c>
      <c r="J436" s="1047"/>
      <c r="K436" s="1047"/>
    </row>
    <row r="437" spans="1:11" s="596" customFormat="1" ht="14.25" customHeight="1">
      <c r="A437" s="1041"/>
      <c r="B437" s="1042"/>
      <c r="C437" s="1042"/>
      <c r="D437" s="1042"/>
      <c r="E437" s="155" t="s">
        <v>146</v>
      </c>
      <c r="F437" s="675">
        <f>F80++F142+F234+F242+F250+F260+F297+F301+F308+F319+F326+F333+F337+F399+F409+F118+F130+F138+F150+F290</f>
        <v>2217386670</v>
      </c>
      <c r="G437" s="675">
        <f>G80++G399+G409+G388+G374+G162+G166+G190+G194</f>
        <v>77513233</v>
      </c>
      <c r="H437" s="494">
        <f t="shared" si="18"/>
        <v>2294899903</v>
      </c>
      <c r="J437" s="1047"/>
      <c r="K437" s="1047"/>
    </row>
    <row r="438" spans="1:11" s="9" customFormat="1" ht="14.25" customHeight="1">
      <c r="A438" s="1486" t="s">
        <v>270</v>
      </c>
      <c r="B438" s="1487"/>
      <c r="C438" s="1487"/>
      <c r="D438" s="1487"/>
      <c r="E438" s="1488"/>
      <c r="F438" s="106"/>
      <c r="G438" s="106"/>
      <c r="H438" s="126"/>
      <c r="J438" s="1046"/>
      <c r="K438" s="1046"/>
    </row>
    <row r="439" spans="1:11" s="9" customFormat="1" ht="14.25" customHeight="1">
      <c r="A439" s="538"/>
      <c r="B439" s="539"/>
      <c r="C439" s="539"/>
      <c r="D439" s="539"/>
      <c r="E439" s="53" t="s">
        <v>144</v>
      </c>
      <c r="F439" s="107">
        <f>F96+F265+F347+F350+F354+F357</f>
        <v>9191000</v>
      </c>
      <c r="G439" s="107">
        <f>G96+G265+G347</f>
        <v>0</v>
      </c>
      <c r="H439" s="101">
        <f>F439+G439</f>
        <v>9191000</v>
      </c>
      <c r="J439" s="1046"/>
      <c r="K439" s="1046"/>
    </row>
    <row r="440" spans="1:11" s="9" customFormat="1" ht="14.25" customHeight="1">
      <c r="A440" s="538"/>
      <c r="B440" s="539"/>
      <c r="C440" s="539"/>
      <c r="D440" s="539"/>
      <c r="E440" s="53" t="s">
        <v>145</v>
      </c>
      <c r="F440" s="107">
        <f>F97+F266+F348+F355+F344+F362+F351+F366+F358</f>
        <v>9919000</v>
      </c>
      <c r="G440" s="107">
        <f>G97+G266+G348</f>
        <v>0</v>
      </c>
      <c r="H440" s="101">
        <f aca="true" t="shared" si="19" ref="H440:H453">F440+G440</f>
        <v>9919000</v>
      </c>
      <c r="J440" s="1046"/>
      <c r="K440" s="1046"/>
    </row>
    <row r="441" spans="1:11" s="9" customFormat="1" ht="14.25" customHeight="1">
      <c r="A441" s="538"/>
      <c r="B441" s="539"/>
      <c r="C441" s="539"/>
      <c r="D441" s="539"/>
      <c r="E441" s="53" t="s">
        <v>146</v>
      </c>
      <c r="F441" s="107">
        <f>F98+F267+F349+F356+F345+F363+F367+F352+F359</f>
        <v>10224854</v>
      </c>
      <c r="G441" s="107">
        <f>G98+G267+G349</f>
        <v>0</v>
      </c>
      <c r="H441" s="101">
        <f t="shared" si="19"/>
        <v>10224854</v>
      </c>
      <c r="J441" s="1046"/>
      <c r="K441" s="1046"/>
    </row>
    <row r="442" spans="1:11" s="9" customFormat="1" ht="14.25" customHeight="1">
      <c r="A442" s="1482" t="s">
        <v>268</v>
      </c>
      <c r="B442" s="1483"/>
      <c r="C442" s="1483"/>
      <c r="D442" s="1483"/>
      <c r="E442" s="1483"/>
      <c r="F442" s="131"/>
      <c r="G442" s="131"/>
      <c r="H442" s="101"/>
      <c r="J442" s="1046"/>
      <c r="K442" s="1046"/>
    </row>
    <row r="443" spans="1:11" s="9" customFormat="1" ht="14.25" customHeight="1">
      <c r="A443" s="546"/>
      <c r="B443" s="674"/>
      <c r="C443" s="674"/>
      <c r="D443" s="674"/>
      <c r="E443" s="53" t="s">
        <v>144</v>
      </c>
      <c r="F443" s="117">
        <f>F100+F347+F354</f>
        <v>8291000</v>
      </c>
      <c r="G443" s="117">
        <v>0</v>
      </c>
      <c r="H443" s="101">
        <f t="shared" si="19"/>
        <v>8291000</v>
      </c>
      <c r="J443" s="1046"/>
      <c r="K443" s="1046"/>
    </row>
    <row r="444" spans="1:11" s="9" customFormat="1" ht="14.25" customHeight="1">
      <c r="A444" s="546"/>
      <c r="B444" s="674"/>
      <c r="C444" s="674"/>
      <c r="D444" s="674"/>
      <c r="E444" s="53" t="s">
        <v>145</v>
      </c>
      <c r="F444" s="117">
        <f>F101+F348+F355+F344</f>
        <v>8769000</v>
      </c>
      <c r="G444" s="117">
        <v>0</v>
      </c>
      <c r="H444" s="101">
        <f t="shared" si="19"/>
        <v>8769000</v>
      </c>
      <c r="J444" s="1046"/>
      <c r="K444" s="1046"/>
    </row>
    <row r="445" spans="1:11" s="9" customFormat="1" ht="14.25" customHeight="1">
      <c r="A445" s="546"/>
      <c r="B445" s="674"/>
      <c r="C445" s="674"/>
      <c r="D445" s="674"/>
      <c r="E445" s="53" t="s">
        <v>146</v>
      </c>
      <c r="F445" s="117">
        <f>F102+F349+F356+F363+F367+F271+F345</f>
        <v>9004252</v>
      </c>
      <c r="G445" s="491">
        <v>0</v>
      </c>
      <c r="H445" s="722">
        <f t="shared" si="19"/>
        <v>9004252</v>
      </c>
      <c r="J445" s="1046"/>
      <c r="K445" s="1046"/>
    </row>
    <row r="446" spans="1:11" s="9" customFormat="1" ht="14.25" customHeight="1">
      <c r="A446" s="1472" t="s">
        <v>737</v>
      </c>
      <c r="B446" s="1473"/>
      <c r="C446" s="1473"/>
      <c r="D446" s="1473"/>
      <c r="E446" s="1474"/>
      <c r="F446" s="117"/>
      <c r="G446" s="117"/>
      <c r="H446" s="101"/>
      <c r="J446" s="1046"/>
      <c r="K446" s="1046"/>
    </row>
    <row r="447" spans="1:11" s="9" customFormat="1" ht="14.25" customHeight="1">
      <c r="A447" s="546"/>
      <c r="B447" s="674"/>
      <c r="C447" s="674"/>
      <c r="D447" s="674"/>
      <c r="E447" s="53" t="s">
        <v>144</v>
      </c>
      <c r="F447" s="117">
        <f>+F350+F357</f>
        <v>0</v>
      </c>
      <c r="G447" s="117"/>
      <c r="H447" s="101">
        <f>F447+G447</f>
        <v>0</v>
      </c>
      <c r="J447" s="1046"/>
      <c r="K447" s="1046"/>
    </row>
    <row r="448" spans="1:11" s="9" customFormat="1" ht="14.25" customHeight="1">
      <c r="A448" s="546"/>
      <c r="B448" s="674"/>
      <c r="C448" s="674"/>
      <c r="D448" s="674"/>
      <c r="E448" s="53" t="s">
        <v>145</v>
      </c>
      <c r="F448" s="117">
        <f>+F351+F358</f>
        <v>250000</v>
      </c>
      <c r="G448" s="117"/>
      <c r="H448" s="101">
        <f>F448+G448</f>
        <v>250000</v>
      </c>
      <c r="J448" s="1046"/>
      <c r="K448" s="1046"/>
    </row>
    <row r="449" spans="1:11" s="9" customFormat="1" ht="14.25" customHeight="1">
      <c r="A449" s="546"/>
      <c r="B449" s="674"/>
      <c r="C449" s="674"/>
      <c r="D449" s="674"/>
      <c r="E449" s="53" t="s">
        <v>146</v>
      </c>
      <c r="F449" s="117">
        <f>+F352+F359</f>
        <v>410802</v>
      </c>
      <c r="G449" s="117"/>
      <c r="H449" s="101">
        <f>F449+G449</f>
        <v>410802</v>
      </c>
      <c r="J449" s="1046"/>
      <c r="K449" s="1046"/>
    </row>
    <row r="450" spans="1:11" s="9" customFormat="1" ht="14.25" customHeight="1">
      <c r="A450" s="1482" t="s">
        <v>738</v>
      </c>
      <c r="B450" s="1483"/>
      <c r="C450" s="1483"/>
      <c r="D450" s="1483"/>
      <c r="E450" s="1483"/>
      <c r="F450" s="131"/>
      <c r="G450" s="131"/>
      <c r="H450" s="797"/>
      <c r="J450" s="1046"/>
      <c r="K450" s="1046"/>
    </row>
    <row r="451" spans="1:11" s="9" customFormat="1" ht="14.25" customHeight="1">
      <c r="A451" s="546"/>
      <c r="B451" s="674"/>
      <c r="C451" s="674"/>
      <c r="D451" s="674"/>
      <c r="E451" s="53" t="s">
        <v>144</v>
      </c>
      <c r="F451" s="117">
        <f>F265</f>
        <v>900000</v>
      </c>
      <c r="G451" s="117">
        <f>G265</f>
        <v>0</v>
      </c>
      <c r="H451" s="101">
        <f t="shared" si="19"/>
        <v>900000</v>
      </c>
      <c r="J451" s="1046"/>
      <c r="K451" s="1046"/>
    </row>
    <row r="452" spans="1:11" s="9" customFormat="1" ht="14.25" customHeight="1">
      <c r="A452" s="546"/>
      <c r="B452" s="674"/>
      <c r="C452" s="674"/>
      <c r="D452" s="674"/>
      <c r="E452" s="53" t="s">
        <v>145</v>
      </c>
      <c r="F452" s="117">
        <f>F266</f>
        <v>900000</v>
      </c>
      <c r="G452" s="117">
        <f>G266</f>
        <v>0</v>
      </c>
      <c r="H452" s="101">
        <f t="shared" si="19"/>
        <v>900000</v>
      </c>
      <c r="J452" s="1046"/>
      <c r="K452" s="1046"/>
    </row>
    <row r="453" spans="1:11" s="9" customFormat="1" ht="14.25" customHeight="1" thickBot="1">
      <c r="A453" s="707"/>
      <c r="B453" s="708"/>
      <c r="C453" s="708"/>
      <c r="D453" s="708"/>
      <c r="E453" s="313" t="s">
        <v>146</v>
      </c>
      <c r="F453" s="723">
        <f>F274+F278</f>
        <v>809800</v>
      </c>
      <c r="G453" s="723">
        <f>G267</f>
        <v>0</v>
      </c>
      <c r="H453" s="676">
        <f t="shared" si="19"/>
        <v>809800</v>
      </c>
      <c r="J453" s="1046"/>
      <c r="K453" s="1046"/>
    </row>
    <row r="454" spans="1:8" ht="14.25" customHeight="1" thickBot="1">
      <c r="A454" s="1489" t="s">
        <v>676</v>
      </c>
      <c r="B454" s="1490"/>
      <c r="C454" s="1490"/>
      <c r="D454" s="1490"/>
      <c r="E454" s="1491"/>
      <c r="F454" s="601"/>
      <c r="G454" s="601"/>
      <c r="H454" s="602"/>
    </row>
    <row r="455" spans="1:12" ht="14.25" customHeight="1">
      <c r="A455" s="538"/>
      <c r="B455" s="539"/>
      <c r="C455" s="539"/>
      <c r="D455" s="539"/>
      <c r="E455" s="655" t="s">
        <v>144</v>
      </c>
      <c r="F455" s="441">
        <f>F423+F439+F10+F22+F34</f>
        <v>7235169229</v>
      </c>
      <c r="G455" s="441">
        <f>G423+G439+G10+G22</f>
        <v>848214496</v>
      </c>
      <c r="H455" s="603">
        <f>F455+G455</f>
        <v>8083383725</v>
      </c>
      <c r="L455" s="1043"/>
    </row>
    <row r="456" spans="1:8" ht="14.25" customHeight="1">
      <c r="A456" s="538"/>
      <c r="B456" s="539"/>
      <c r="C456" s="539"/>
      <c r="D456" s="539"/>
      <c r="E456" s="346" t="s">
        <v>145</v>
      </c>
      <c r="F456" s="107">
        <f>F424+F440+F11+F23+F35</f>
        <v>7077857515</v>
      </c>
      <c r="G456" s="107">
        <f>G424+G440+G11+G23</f>
        <v>2013579987</v>
      </c>
      <c r="H456" s="119">
        <f>F456+G456</f>
        <v>9091437502</v>
      </c>
    </row>
    <row r="457" spans="1:8" ht="14.25" customHeight="1">
      <c r="A457" s="538"/>
      <c r="B457" s="539"/>
      <c r="C457" s="539"/>
      <c r="D457" s="539"/>
      <c r="E457" s="346" t="s">
        <v>146</v>
      </c>
      <c r="F457" s="107">
        <f>F425+F441+F12+F24+F36</f>
        <v>3559935318</v>
      </c>
      <c r="G457" s="107">
        <f>G425+G441+G12+G24</f>
        <v>967591642</v>
      </c>
      <c r="H457" s="119">
        <f>F457+G457</f>
        <v>4527526960</v>
      </c>
    </row>
    <row r="458" spans="1:8" ht="14.25" customHeight="1">
      <c r="A458" s="1455" t="s">
        <v>268</v>
      </c>
      <c r="B458" s="1456"/>
      <c r="C458" s="1456"/>
      <c r="D458" s="1456"/>
      <c r="E458" s="1456"/>
      <c r="F458" s="106"/>
      <c r="G458" s="106"/>
      <c r="H458" s="429"/>
    </row>
    <row r="459" spans="1:8" ht="14.25" customHeight="1">
      <c r="A459" s="546"/>
      <c r="B459" s="674"/>
      <c r="C459" s="674"/>
      <c r="D459" s="674"/>
      <c r="E459" s="346" t="s">
        <v>144</v>
      </c>
      <c r="F459" s="107">
        <f>F443+F427+F14+F26+F38</f>
        <v>4674958636</v>
      </c>
      <c r="G459" s="107">
        <f>G443+G427+G14+G26</f>
        <v>622264930</v>
      </c>
      <c r="H459" s="101">
        <f>G459+F459</f>
        <v>5297223566</v>
      </c>
    </row>
    <row r="460" spans="1:8" ht="14.25" customHeight="1">
      <c r="A460" s="546"/>
      <c r="B460" s="674"/>
      <c r="C460" s="674"/>
      <c r="D460" s="674"/>
      <c r="E460" s="346" t="s">
        <v>145</v>
      </c>
      <c r="F460" s="107">
        <f>F444+F428+F15+F27+F39</f>
        <v>3464553728</v>
      </c>
      <c r="G460" s="107">
        <f>G444+G428+G15+G27</f>
        <v>2545052217</v>
      </c>
      <c r="H460" s="101">
        <f>G460+F460</f>
        <v>6009605945</v>
      </c>
    </row>
    <row r="461" spans="1:8" ht="14.25" customHeight="1">
      <c r="A461" s="546"/>
      <c r="B461" s="674"/>
      <c r="C461" s="674"/>
      <c r="D461" s="674"/>
      <c r="E461" s="346" t="s">
        <v>146</v>
      </c>
      <c r="F461" s="107">
        <f>F445+F429+F16+F28+F40</f>
        <v>1172587987</v>
      </c>
      <c r="G461" s="107">
        <f>G445+G429+G16+G28</f>
        <v>885774169</v>
      </c>
      <c r="H461" s="101">
        <f>G461+F461</f>
        <v>2058362156</v>
      </c>
    </row>
    <row r="462" spans="1:8" ht="14.25" customHeight="1">
      <c r="A462" s="1455" t="s">
        <v>738</v>
      </c>
      <c r="B462" s="1456"/>
      <c r="C462" s="1456"/>
      <c r="D462" s="1456"/>
      <c r="E462" s="1456"/>
      <c r="F462" s="106"/>
      <c r="G462" s="106"/>
      <c r="H462" s="429"/>
    </row>
    <row r="463" spans="1:8" ht="14.25" customHeight="1">
      <c r="A463" s="546"/>
      <c r="B463" s="674"/>
      <c r="C463" s="674"/>
      <c r="D463" s="674"/>
      <c r="E463" s="346" t="s">
        <v>144</v>
      </c>
      <c r="F463" s="107">
        <f>F451+F431</f>
        <v>67709000</v>
      </c>
      <c r="G463" s="107">
        <f>G451</f>
        <v>0</v>
      </c>
      <c r="H463" s="101">
        <f>G463+F463</f>
        <v>67709000</v>
      </c>
    </row>
    <row r="464" spans="1:8" ht="14.25" customHeight="1">
      <c r="A464" s="546"/>
      <c r="B464" s="674"/>
      <c r="C464" s="674"/>
      <c r="D464" s="674"/>
      <c r="E464" s="346" t="s">
        <v>145</v>
      </c>
      <c r="F464" s="107">
        <f>F452+F432</f>
        <v>67709000</v>
      </c>
      <c r="G464" s="107">
        <f>G452</f>
        <v>0</v>
      </c>
      <c r="H464" s="101">
        <f>G464+F464</f>
        <v>67709000</v>
      </c>
    </row>
    <row r="465" spans="1:8" ht="14.25" customHeight="1">
      <c r="A465" s="546"/>
      <c r="B465" s="674"/>
      <c r="C465" s="674"/>
      <c r="D465" s="674"/>
      <c r="E465" s="346" t="s">
        <v>146</v>
      </c>
      <c r="F465" s="107">
        <f>F453+F433</f>
        <v>67618800</v>
      </c>
      <c r="G465" s="107">
        <f>G453</f>
        <v>0</v>
      </c>
      <c r="H465" s="101">
        <f>G465+F465</f>
        <v>67618800</v>
      </c>
    </row>
    <row r="466" spans="1:8" ht="14.25" customHeight="1">
      <c r="A466" s="1455" t="s">
        <v>269</v>
      </c>
      <c r="B466" s="1456"/>
      <c r="C466" s="1456"/>
      <c r="D466" s="1456"/>
      <c r="E466" s="1456"/>
      <c r="F466" s="106"/>
      <c r="G466" s="106"/>
      <c r="H466" s="429"/>
    </row>
    <row r="467" spans="1:8" ht="14.25" customHeight="1">
      <c r="A467" s="546"/>
      <c r="B467" s="674"/>
      <c r="C467" s="674"/>
      <c r="D467" s="674"/>
      <c r="E467" s="346" t="s">
        <v>144</v>
      </c>
      <c r="F467" s="107">
        <f>F435+F18+F30+F42+F447</f>
        <v>2492501593</v>
      </c>
      <c r="G467" s="107">
        <f>G435+G18+G30</f>
        <v>225949566</v>
      </c>
      <c r="H467" s="101">
        <f>F467+G467</f>
        <v>2718451159</v>
      </c>
    </row>
    <row r="468" spans="1:8" ht="14.25" customHeight="1">
      <c r="A468" s="546"/>
      <c r="B468" s="674"/>
      <c r="C468" s="674"/>
      <c r="D468" s="674"/>
      <c r="E468" s="346" t="s">
        <v>145</v>
      </c>
      <c r="F468" s="107">
        <f>F436+F19+F31+F43+F448</f>
        <v>3546094787</v>
      </c>
      <c r="G468" s="107">
        <f>G436+G19+G31</f>
        <v>452287505</v>
      </c>
      <c r="H468" s="101">
        <f>F468+G468</f>
        <v>3998382292</v>
      </c>
    </row>
    <row r="469" spans="1:8" ht="14.25" customHeight="1" thickBot="1">
      <c r="A469" s="707"/>
      <c r="B469" s="708"/>
      <c r="C469" s="708"/>
      <c r="D469" s="708"/>
      <c r="E469" s="709" t="s">
        <v>146</v>
      </c>
      <c r="F469" s="107">
        <f>F437+F20+F32+F44+F449</f>
        <v>2319728531</v>
      </c>
      <c r="G469" s="107">
        <f>G437+G20+G32</f>
        <v>81817473</v>
      </c>
      <c r="H469" s="710">
        <f>F469+G469</f>
        <v>2401546004</v>
      </c>
    </row>
    <row r="470" spans="1:8" ht="15" customHeight="1" thickBot="1">
      <c r="A470" s="1457" t="s">
        <v>271</v>
      </c>
      <c r="B470" s="1458"/>
      <c r="C470" s="1458"/>
      <c r="D470" s="1458"/>
      <c r="E470" s="1458"/>
      <c r="F470" s="1458"/>
      <c r="G470" s="1458"/>
      <c r="H470" s="1459"/>
    </row>
    <row r="471" spans="1:8" ht="16.5" customHeight="1">
      <c r="A471" s="538"/>
      <c r="B471" s="539"/>
      <c r="C471" s="604" t="s">
        <v>272</v>
      </c>
      <c r="D471" s="127"/>
      <c r="E471" s="112"/>
      <c r="F471" s="605"/>
      <c r="G471" s="606"/>
      <c r="H471" s="607"/>
    </row>
    <row r="472" spans="1:8" ht="12.75" customHeight="1">
      <c r="A472" s="521" t="s">
        <v>3</v>
      </c>
      <c r="B472" s="511"/>
      <c r="C472" s="587" t="s">
        <v>273</v>
      </c>
      <c r="D472" s="529"/>
      <c r="E472" s="102" t="s">
        <v>12</v>
      </c>
      <c r="F472" s="100"/>
      <c r="G472" s="557"/>
      <c r="H472" s="558"/>
    </row>
    <row r="473" spans="1:8" ht="12.75" customHeight="1">
      <c r="A473" s="521"/>
      <c r="B473" s="511"/>
      <c r="C473" s="587"/>
      <c r="D473" s="529"/>
      <c r="E473" s="53" t="s">
        <v>144</v>
      </c>
      <c r="F473" s="100">
        <f>'5.kiad'!E588</f>
        <v>681793000</v>
      </c>
      <c r="G473" s="557"/>
      <c r="H473" s="558">
        <f>F473</f>
        <v>681793000</v>
      </c>
    </row>
    <row r="474" spans="1:8" ht="12.75" customHeight="1">
      <c r="A474" s="521"/>
      <c r="B474" s="511"/>
      <c r="C474" s="587"/>
      <c r="D474" s="529"/>
      <c r="E474" s="53" t="s">
        <v>145</v>
      </c>
      <c r="F474" s="100">
        <f>'5.kiad'!E589</f>
        <v>702143798</v>
      </c>
      <c r="G474" s="557"/>
      <c r="H474" s="558">
        <f aca="true" t="shared" si="20" ref="H474:H491">F474</f>
        <v>702143798</v>
      </c>
    </row>
    <row r="475" spans="1:8" ht="12.75" customHeight="1">
      <c r="A475" s="521"/>
      <c r="B475" s="511"/>
      <c r="C475" s="587"/>
      <c r="D475" s="529"/>
      <c r="E475" s="210" t="s">
        <v>146</v>
      </c>
      <c r="F475" s="100">
        <f>'5.kiad'!E590</f>
        <v>642109075</v>
      </c>
      <c r="G475" s="557"/>
      <c r="H475" s="558">
        <f t="shared" si="20"/>
        <v>642109075</v>
      </c>
    </row>
    <row r="476" spans="1:8" ht="12.75" customHeight="1">
      <c r="A476" s="521" t="s">
        <v>4</v>
      </c>
      <c r="B476" s="511"/>
      <c r="C476" s="587" t="s">
        <v>274</v>
      </c>
      <c r="D476" s="529"/>
      <c r="E476" s="102" t="s">
        <v>108</v>
      </c>
      <c r="F476" s="100"/>
      <c r="G476" s="557"/>
      <c r="H476" s="558"/>
    </row>
    <row r="477" spans="1:8" ht="12.75" customHeight="1">
      <c r="A477" s="521"/>
      <c r="B477" s="511"/>
      <c r="C477" s="587"/>
      <c r="D477" s="529"/>
      <c r="E477" s="53" t="s">
        <v>144</v>
      </c>
      <c r="F477" s="100">
        <f>'5.kiad'!F588</f>
        <v>149126264</v>
      </c>
      <c r="G477" s="557"/>
      <c r="H477" s="558">
        <f t="shared" si="20"/>
        <v>149126264</v>
      </c>
    </row>
    <row r="478" spans="1:8" ht="12.75" customHeight="1">
      <c r="A478" s="521"/>
      <c r="B478" s="511"/>
      <c r="C478" s="587"/>
      <c r="D478" s="529"/>
      <c r="E478" s="53" t="s">
        <v>145</v>
      </c>
      <c r="F478" s="100">
        <f>'5.kiad'!F589</f>
        <v>159941898</v>
      </c>
      <c r="G478" s="557"/>
      <c r="H478" s="558">
        <f t="shared" si="20"/>
        <v>159941898</v>
      </c>
    </row>
    <row r="479" spans="1:8" ht="12.75" customHeight="1">
      <c r="A479" s="521"/>
      <c r="B479" s="511"/>
      <c r="C479" s="587"/>
      <c r="D479" s="529"/>
      <c r="E479" s="53" t="s">
        <v>146</v>
      </c>
      <c r="F479" s="100">
        <f>'5.kiad'!F590</f>
        <v>144858482</v>
      </c>
      <c r="G479" s="557"/>
      <c r="H479" s="558">
        <f t="shared" si="20"/>
        <v>144858482</v>
      </c>
    </row>
    <row r="480" spans="1:11" s="9" customFormat="1" ht="12.75" customHeight="1">
      <c r="A480" s="521" t="s">
        <v>5</v>
      </c>
      <c r="B480" s="511"/>
      <c r="C480" s="587" t="s">
        <v>275</v>
      </c>
      <c r="D480" s="529"/>
      <c r="E480" s="121" t="s">
        <v>13</v>
      </c>
      <c r="F480" s="100"/>
      <c r="G480" s="557"/>
      <c r="H480" s="558"/>
      <c r="J480" s="1046"/>
      <c r="K480" s="1046"/>
    </row>
    <row r="481" spans="1:11" s="9" customFormat="1" ht="12.75" customHeight="1">
      <c r="A481" s="521"/>
      <c r="B481" s="511"/>
      <c r="C481" s="587"/>
      <c r="D481" s="529"/>
      <c r="E481" s="53" t="s">
        <v>144</v>
      </c>
      <c r="F481" s="100">
        <f>'5.kiad'!G588</f>
        <v>851667336</v>
      </c>
      <c r="G481" s="557"/>
      <c r="H481" s="558">
        <f t="shared" si="20"/>
        <v>851667336</v>
      </c>
      <c r="J481" s="1046"/>
      <c r="K481" s="1046"/>
    </row>
    <row r="482" spans="1:11" s="9" customFormat="1" ht="12.75" customHeight="1">
      <c r="A482" s="521"/>
      <c r="B482" s="511"/>
      <c r="C482" s="587"/>
      <c r="D482" s="529"/>
      <c r="E482" s="53" t="s">
        <v>145</v>
      </c>
      <c r="F482" s="100">
        <f>'5.kiad'!G589</f>
        <v>882454255</v>
      </c>
      <c r="G482" s="557"/>
      <c r="H482" s="558">
        <f t="shared" si="20"/>
        <v>882454255</v>
      </c>
      <c r="J482" s="1046"/>
      <c r="K482" s="1046"/>
    </row>
    <row r="483" spans="1:11" s="9" customFormat="1" ht="12.75" customHeight="1">
      <c r="A483" s="521"/>
      <c r="B483" s="511"/>
      <c r="C483" s="587"/>
      <c r="D483" s="529"/>
      <c r="E483" s="53" t="s">
        <v>146</v>
      </c>
      <c r="F483" s="100">
        <f>'5.kiad'!G590</f>
        <v>649879713</v>
      </c>
      <c r="G483" s="557"/>
      <c r="H483" s="558">
        <f t="shared" si="20"/>
        <v>649879713</v>
      </c>
      <c r="J483" s="1046"/>
      <c r="K483" s="1046"/>
    </row>
    <row r="484" spans="1:8" ht="12.75" customHeight="1">
      <c r="A484" s="521" t="s">
        <v>6</v>
      </c>
      <c r="B484" s="511"/>
      <c r="C484" s="587" t="s">
        <v>276</v>
      </c>
      <c r="D484" s="529"/>
      <c r="E484" s="102" t="s">
        <v>89</v>
      </c>
      <c r="F484" s="100"/>
      <c r="G484" s="557"/>
      <c r="H484" s="558"/>
    </row>
    <row r="485" spans="1:8" ht="12.75" customHeight="1">
      <c r="A485" s="521"/>
      <c r="B485" s="511"/>
      <c r="C485" s="587"/>
      <c r="D485" s="529"/>
      <c r="E485" s="53" t="s">
        <v>144</v>
      </c>
      <c r="F485" s="100">
        <f>'5.kiad'!H588</f>
        <v>8480000</v>
      </c>
      <c r="G485" s="557"/>
      <c r="H485" s="558">
        <f t="shared" si="20"/>
        <v>8480000</v>
      </c>
    </row>
    <row r="486" spans="1:8" ht="12.75" customHeight="1">
      <c r="A486" s="521"/>
      <c r="B486" s="511"/>
      <c r="C486" s="587"/>
      <c r="D486" s="529"/>
      <c r="E486" s="53" t="s">
        <v>145</v>
      </c>
      <c r="F486" s="100">
        <f>'5.kiad'!H589</f>
        <v>12423500</v>
      </c>
      <c r="G486" s="557"/>
      <c r="H486" s="558">
        <f t="shared" si="20"/>
        <v>12423500</v>
      </c>
    </row>
    <row r="487" spans="1:8" ht="12.75" customHeight="1">
      <c r="A487" s="521"/>
      <c r="B487" s="511"/>
      <c r="C487" s="587"/>
      <c r="D487" s="529"/>
      <c r="E487" s="53" t="s">
        <v>146</v>
      </c>
      <c r="F487" s="100">
        <f>'5.kiad'!H590</f>
        <v>7209209</v>
      </c>
      <c r="G487" s="557"/>
      <c r="H487" s="558">
        <f t="shared" si="20"/>
        <v>7209209</v>
      </c>
    </row>
    <row r="488" spans="1:11" s="9" customFormat="1" ht="12.75" customHeight="1">
      <c r="A488" s="521" t="s">
        <v>7</v>
      </c>
      <c r="B488" s="511"/>
      <c r="C488" s="587" t="s">
        <v>277</v>
      </c>
      <c r="D488" s="529"/>
      <c r="E488" s="29" t="s">
        <v>86</v>
      </c>
      <c r="F488" s="122"/>
      <c r="G488" s="553"/>
      <c r="H488" s="558"/>
      <c r="J488" s="1046"/>
      <c r="K488" s="1046"/>
    </row>
    <row r="489" spans="1:11" s="9" customFormat="1" ht="12.75" customHeight="1">
      <c r="A489" s="521"/>
      <c r="B489" s="511"/>
      <c r="C489" s="587"/>
      <c r="D489" s="587"/>
      <c r="E489" s="53" t="s">
        <v>144</v>
      </c>
      <c r="F489" s="100">
        <f>'5.kiad'!I588+'5.kiad'!J588+'5.kiad'!K588</f>
        <v>526995305</v>
      </c>
      <c r="G489" s="557"/>
      <c r="H489" s="558">
        <f t="shared" si="20"/>
        <v>526995305</v>
      </c>
      <c r="J489" s="1046"/>
      <c r="K489" s="1046"/>
    </row>
    <row r="490" spans="1:11" s="9" customFormat="1" ht="12.75" customHeight="1">
      <c r="A490" s="521"/>
      <c r="B490" s="511"/>
      <c r="C490" s="587"/>
      <c r="D490" s="587"/>
      <c r="E490" s="53" t="s">
        <v>145</v>
      </c>
      <c r="F490" s="100">
        <f>'5.kiad'!I589+'5.kiad'!J589+'5.kiad'!K589</f>
        <v>286413070</v>
      </c>
      <c r="G490" s="557"/>
      <c r="H490" s="558">
        <f t="shared" si="20"/>
        <v>286413070</v>
      </c>
      <c r="J490" s="1046"/>
      <c r="K490" s="1046"/>
    </row>
    <row r="491" spans="1:11" s="9" customFormat="1" ht="12.75" customHeight="1">
      <c r="A491" s="521"/>
      <c r="B491" s="511"/>
      <c r="C491" s="661"/>
      <c r="D491" s="661"/>
      <c r="E491" s="155" t="s">
        <v>146</v>
      </c>
      <c r="F491" s="100">
        <f>'5.kiad'!I590+'5.kiad'!J590+'5.kiad'!K590</f>
        <v>243786786</v>
      </c>
      <c r="G491" s="588"/>
      <c r="H491" s="558">
        <f t="shared" si="20"/>
        <v>243786786</v>
      </c>
      <c r="J491" s="1046"/>
      <c r="K491" s="1046"/>
    </row>
    <row r="492" spans="1:8" ht="15.75" customHeight="1" thickBot="1">
      <c r="A492" s="1460" t="s">
        <v>113</v>
      </c>
      <c r="B492" s="1461"/>
      <c r="C492" s="1461"/>
      <c r="D492" s="1461"/>
      <c r="E492" s="1462"/>
      <c r="F492" s="608"/>
      <c r="G492" s="609"/>
      <c r="H492" s="610"/>
    </row>
    <row r="493" spans="1:8" ht="15.75" customHeight="1" thickTop="1">
      <c r="A493" s="499"/>
      <c r="B493" s="500"/>
      <c r="C493" s="678"/>
      <c r="D493" s="678"/>
      <c r="E493" s="53" t="s">
        <v>144</v>
      </c>
      <c r="F493" s="479">
        <f>F473+F477+F481+F485+F489</f>
        <v>2218061905</v>
      </c>
      <c r="G493" s="677"/>
      <c r="H493" s="480">
        <f>F493</f>
        <v>2218061905</v>
      </c>
    </row>
    <row r="494" spans="1:8" ht="15.75" customHeight="1">
      <c r="A494" s="132"/>
      <c r="B494" s="133"/>
      <c r="C494" s="502"/>
      <c r="D494" s="502"/>
      <c r="E494" s="53" t="s">
        <v>145</v>
      </c>
      <c r="F494" s="107">
        <f>F474+F478+F482+F486+F490</f>
        <v>2043376521</v>
      </c>
      <c r="G494" s="545"/>
      <c r="H494" s="119">
        <f>F494</f>
        <v>2043376521</v>
      </c>
    </row>
    <row r="495" spans="1:8" ht="15.75" customHeight="1" thickBot="1">
      <c r="A495" s="134"/>
      <c r="B495" s="135"/>
      <c r="C495" s="679"/>
      <c r="D495" s="679"/>
      <c r="E495" s="76" t="s">
        <v>146</v>
      </c>
      <c r="F495" s="445">
        <f>F475+F479+F483+F487+F491</f>
        <v>1687843265</v>
      </c>
      <c r="G495" s="691"/>
      <c r="H495" s="440">
        <f>F495</f>
        <v>1687843265</v>
      </c>
    </row>
    <row r="496" spans="1:8" ht="17.25" customHeight="1" thickTop="1">
      <c r="A496" s="132"/>
      <c r="B496" s="133"/>
      <c r="C496" s="1463" t="s">
        <v>278</v>
      </c>
      <c r="D496" s="1464"/>
      <c r="E496" s="1465"/>
      <c r="F496" s="106"/>
      <c r="G496" s="577"/>
      <c r="H496" s="126"/>
    </row>
    <row r="497" spans="1:8" ht="12" customHeight="1">
      <c r="A497" s="611" t="s">
        <v>3</v>
      </c>
      <c r="B497" s="398"/>
      <c r="C497" s="612" t="s">
        <v>279</v>
      </c>
      <c r="D497" s="503"/>
      <c r="E497" s="501" t="s">
        <v>23</v>
      </c>
      <c r="F497" s="589"/>
      <c r="G497" s="569"/>
      <c r="H497" s="558"/>
    </row>
    <row r="498" spans="1:8" ht="12" customHeight="1">
      <c r="A498" s="611"/>
      <c r="B498" s="398"/>
      <c r="C498" s="612"/>
      <c r="D498" s="503"/>
      <c r="E498" s="53" t="s">
        <v>144</v>
      </c>
      <c r="F498" s="589"/>
      <c r="G498" s="569">
        <f>'6.mell'!D6</f>
        <v>619412715</v>
      </c>
      <c r="H498" s="558">
        <f>G498</f>
        <v>619412715</v>
      </c>
    </row>
    <row r="499" spans="1:8" ht="12" customHeight="1">
      <c r="A499" s="611"/>
      <c r="B499" s="398"/>
      <c r="C499" s="612"/>
      <c r="D499" s="503"/>
      <c r="E499" s="53" t="s">
        <v>145</v>
      </c>
      <c r="F499" s="589"/>
      <c r="G499" s="569">
        <f>'6.mell'!E6</f>
        <v>2500653977</v>
      </c>
      <c r="H499" s="558">
        <f aca="true" t="shared" si="21" ref="H499:H508">G499</f>
        <v>2500653977</v>
      </c>
    </row>
    <row r="500" spans="1:8" ht="12" customHeight="1">
      <c r="A500" s="611"/>
      <c r="B500" s="398"/>
      <c r="C500" s="612"/>
      <c r="D500" s="503"/>
      <c r="E500" s="53" t="s">
        <v>146</v>
      </c>
      <c r="F500" s="589"/>
      <c r="G500" s="569">
        <f>'6.mell'!F6</f>
        <v>187320116</v>
      </c>
      <c r="H500" s="558">
        <f t="shared" si="21"/>
        <v>187320116</v>
      </c>
    </row>
    <row r="501" spans="1:8" ht="12" customHeight="1">
      <c r="A501" s="611" t="s">
        <v>4</v>
      </c>
      <c r="B501" s="398"/>
      <c r="C501" s="612" t="s">
        <v>280</v>
      </c>
      <c r="D501" s="503"/>
      <c r="E501" s="501" t="s">
        <v>24</v>
      </c>
      <c r="F501" s="589"/>
      <c r="G501" s="569"/>
      <c r="H501" s="558"/>
    </row>
    <row r="502" spans="1:8" ht="12" customHeight="1">
      <c r="A502" s="611"/>
      <c r="B502" s="398"/>
      <c r="C502" s="612"/>
      <c r="D502" s="503"/>
      <c r="E502" s="53" t="s">
        <v>144</v>
      </c>
      <c r="F502" s="589"/>
      <c r="G502" s="569">
        <f>'6.mell'!D56</f>
        <v>144914565</v>
      </c>
      <c r="H502" s="558">
        <f t="shared" si="21"/>
        <v>144914565</v>
      </c>
    </row>
    <row r="503" spans="1:8" ht="12" customHeight="1">
      <c r="A503" s="611"/>
      <c r="B503" s="398"/>
      <c r="C503" s="612"/>
      <c r="D503" s="503"/>
      <c r="E503" s="53" t="s">
        <v>145</v>
      </c>
      <c r="F503" s="589"/>
      <c r="G503" s="569">
        <f>'6.mell'!E56</f>
        <v>394986916</v>
      </c>
      <c r="H503" s="558">
        <f t="shared" si="21"/>
        <v>394986916</v>
      </c>
    </row>
    <row r="504" spans="1:8" ht="12" customHeight="1">
      <c r="A504" s="611"/>
      <c r="B504" s="398"/>
      <c r="C504" s="612"/>
      <c r="D504" s="503"/>
      <c r="E504" s="53" t="s">
        <v>146</v>
      </c>
      <c r="F504" s="589"/>
      <c r="G504" s="569">
        <f>'6.mell'!F56</f>
        <v>62355508</v>
      </c>
      <c r="H504" s="558">
        <f t="shared" si="21"/>
        <v>62355508</v>
      </c>
    </row>
    <row r="505" spans="1:8" ht="12" customHeight="1">
      <c r="A505" s="611" t="s">
        <v>5</v>
      </c>
      <c r="B505" s="398"/>
      <c r="C505" s="612" t="s">
        <v>281</v>
      </c>
      <c r="D505" s="503"/>
      <c r="E505" s="680" t="s">
        <v>30</v>
      </c>
      <c r="F505" s="589"/>
      <c r="G505" s="569"/>
      <c r="H505" s="558"/>
    </row>
    <row r="506" spans="1:8" ht="12" customHeight="1">
      <c r="A506" s="611"/>
      <c r="B506" s="398"/>
      <c r="C506" s="503"/>
      <c r="D506" s="503"/>
      <c r="E506" s="53" t="s">
        <v>144</v>
      </c>
      <c r="F506" s="589"/>
      <c r="G506" s="569">
        <f>'6.mell'!D77</f>
        <v>23887216</v>
      </c>
      <c r="H506" s="558">
        <f t="shared" si="21"/>
        <v>23887216</v>
      </c>
    </row>
    <row r="507" spans="1:8" ht="12" customHeight="1">
      <c r="A507" s="611"/>
      <c r="B507" s="398"/>
      <c r="C507" s="503"/>
      <c r="D507" s="503"/>
      <c r="E507" s="53" t="s">
        <v>145</v>
      </c>
      <c r="F507" s="589"/>
      <c r="G507" s="569">
        <f>'6.mell'!E77+'7.céltart'!D14</f>
        <v>101698829</v>
      </c>
      <c r="H507" s="558">
        <f t="shared" si="21"/>
        <v>101698829</v>
      </c>
    </row>
    <row r="508" spans="1:8" ht="12" customHeight="1">
      <c r="A508" s="611"/>
      <c r="B508" s="398"/>
      <c r="C508" s="613"/>
      <c r="D508" s="613"/>
      <c r="E508" s="53" t="s">
        <v>146</v>
      </c>
      <c r="F508" s="614"/>
      <c r="G508" s="615">
        <f>'6.mell'!F77-'6.mell'!F84</f>
        <v>22185613</v>
      </c>
      <c r="H508" s="558">
        <f t="shared" si="21"/>
        <v>22185613</v>
      </c>
    </row>
    <row r="509" spans="1:8" ht="15.75" customHeight="1">
      <c r="A509" s="1466" t="s">
        <v>115</v>
      </c>
      <c r="B509" s="1467"/>
      <c r="C509" s="1467"/>
      <c r="D509" s="1467"/>
      <c r="E509" s="1468"/>
      <c r="F509" s="689"/>
      <c r="G509" s="690"/>
      <c r="H509" s="118"/>
    </row>
    <row r="510" spans="1:8" ht="12.75" customHeight="1">
      <c r="A510" s="132"/>
      <c r="B510" s="133"/>
      <c r="C510" s="133"/>
      <c r="D510" s="133"/>
      <c r="E510" s="53" t="s">
        <v>144</v>
      </c>
      <c r="F510" s="591"/>
      <c r="G510" s="128">
        <f>G498+G502+G506</f>
        <v>788214496</v>
      </c>
      <c r="H510" s="119">
        <f>G510</f>
        <v>788214496</v>
      </c>
    </row>
    <row r="511" spans="1:8" ht="13.5" customHeight="1">
      <c r="A511" s="132"/>
      <c r="B511" s="133"/>
      <c r="C511" s="133"/>
      <c r="D511" s="133"/>
      <c r="E511" s="53" t="s">
        <v>145</v>
      </c>
      <c r="F511" s="591"/>
      <c r="G511" s="128">
        <f>G499+G503+G507</f>
        <v>2997339722</v>
      </c>
      <c r="H511" s="119">
        <f>G511</f>
        <v>2997339722</v>
      </c>
    </row>
    <row r="512" spans="1:8" ht="12" customHeight="1" thickBot="1">
      <c r="A512" s="134"/>
      <c r="B512" s="135"/>
      <c r="C512" s="135"/>
      <c r="D512" s="135"/>
      <c r="E512" s="53" t="s">
        <v>146</v>
      </c>
      <c r="F512" s="688"/>
      <c r="G512" s="128">
        <f>G500+G504+G508</f>
        <v>271861237</v>
      </c>
      <c r="H512" s="481">
        <f>G512</f>
        <v>271861237</v>
      </c>
    </row>
    <row r="513" spans="1:8" ht="16.5" customHeight="1" thickTop="1">
      <c r="A513" s="1469" t="s">
        <v>282</v>
      </c>
      <c r="B513" s="1470"/>
      <c r="C513" s="1470"/>
      <c r="D513" s="1470"/>
      <c r="E513" s="1471"/>
      <c r="F513" s="479"/>
      <c r="G513" s="665"/>
      <c r="H513" s="480"/>
    </row>
    <row r="514" spans="1:8" ht="14.25" customHeight="1">
      <c r="A514" s="132"/>
      <c r="B514" s="133"/>
      <c r="C514" s="133"/>
      <c r="D514" s="133"/>
      <c r="E514" s="53" t="s">
        <v>144</v>
      </c>
      <c r="F514" s="107">
        <f>'5.kiad'!G577+'5.kiad'!G580+'5.kiad'!G573</f>
        <v>5017107324</v>
      </c>
      <c r="G514" s="128">
        <v>0</v>
      </c>
      <c r="H514" s="119">
        <f>G514+F514</f>
        <v>5017107324</v>
      </c>
    </row>
    <row r="515" spans="1:8" ht="14.25" customHeight="1">
      <c r="A515" s="132"/>
      <c r="B515" s="133"/>
      <c r="C515" s="133"/>
      <c r="D515" s="133"/>
      <c r="E515" s="53" t="s">
        <v>145</v>
      </c>
      <c r="F515" s="107">
        <f>'5.kiad'!G578+'5.kiad'!G581+'5.kiad'!G574</f>
        <v>5034980994</v>
      </c>
      <c r="G515" s="128">
        <f>'5.kiad'!N574</f>
        <v>0</v>
      </c>
      <c r="H515" s="119">
        <f>F515+G515</f>
        <v>5034980994</v>
      </c>
    </row>
    <row r="516" spans="1:8" ht="13.5" customHeight="1" thickBot="1">
      <c r="A516" s="134"/>
      <c r="B516" s="135"/>
      <c r="C516" s="135"/>
      <c r="D516" s="135"/>
      <c r="E516" s="53" t="s">
        <v>146</v>
      </c>
      <c r="F516" s="107">
        <f>'5.kiad'!G579+'5.kiad'!G582+'5.kiad'!G575</f>
        <v>1509134941</v>
      </c>
      <c r="G516" s="666">
        <v>0</v>
      </c>
      <c r="H516" s="481">
        <f>F516+G516</f>
        <v>1509134941</v>
      </c>
    </row>
    <row r="517" spans="1:8" ht="14.25" customHeight="1" thickBot="1" thickTop="1">
      <c r="A517" s="1475" t="s">
        <v>283</v>
      </c>
      <c r="B517" s="1476"/>
      <c r="C517" s="1476"/>
      <c r="D517" s="1476"/>
      <c r="E517" s="1477"/>
      <c r="F517" s="534"/>
      <c r="G517" s="534"/>
      <c r="H517" s="536"/>
    </row>
    <row r="518" spans="1:8" ht="14.25" customHeight="1" thickTop="1">
      <c r="A518" s="38"/>
      <c r="B518" s="39"/>
      <c r="C518" s="39"/>
      <c r="D518" s="39"/>
      <c r="E518" s="655" t="s">
        <v>144</v>
      </c>
      <c r="F518" s="479">
        <f aca="true" t="shared" si="22" ref="F518:G520">F493+F510+F514</f>
        <v>7235169229</v>
      </c>
      <c r="G518" s="479">
        <f t="shared" si="22"/>
        <v>788214496</v>
      </c>
      <c r="H518" s="480">
        <f>F518+G518</f>
        <v>8023383725</v>
      </c>
    </row>
    <row r="519" spans="1:8" ht="14.25" customHeight="1">
      <c r="A519" s="104"/>
      <c r="B519" s="105"/>
      <c r="C519" s="105"/>
      <c r="D519" s="111"/>
      <c r="E519" s="53" t="s">
        <v>145</v>
      </c>
      <c r="F519" s="107">
        <f t="shared" si="22"/>
        <v>7078357515</v>
      </c>
      <c r="G519" s="107">
        <f t="shared" si="22"/>
        <v>2997339722</v>
      </c>
      <c r="H519" s="119">
        <f>F519+G519</f>
        <v>10075697237</v>
      </c>
    </row>
    <row r="520" spans="1:8" ht="14.25" customHeight="1">
      <c r="A520" s="104"/>
      <c r="B520" s="105"/>
      <c r="C520" s="105"/>
      <c r="D520" s="111"/>
      <c r="E520" s="53" t="s">
        <v>146</v>
      </c>
      <c r="F520" s="107">
        <f>F495+F512+F516</f>
        <v>3196978206</v>
      </c>
      <c r="G520" s="107">
        <f t="shared" si="22"/>
        <v>271861237</v>
      </c>
      <c r="H520" s="119">
        <f>F520+G520</f>
        <v>3468839443</v>
      </c>
    </row>
    <row r="521" spans="1:11" s="21" customFormat="1" ht="13.5" customHeight="1">
      <c r="A521" s="1478" t="s">
        <v>284</v>
      </c>
      <c r="B521" s="1479"/>
      <c r="C521" s="1479"/>
      <c r="D521" s="1479"/>
      <c r="E521" s="1480"/>
      <c r="F521" s="439"/>
      <c r="G521" s="681"/>
      <c r="H521" s="550"/>
      <c r="J521" s="1045"/>
      <c r="K521" s="1045"/>
    </row>
    <row r="522" spans="1:11" s="21" customFormat="1" ht="13.5" customHeight="1">
      <c r="A522" s="683"/>
      <c r="B522" s="684"/>
      <c r="C522" s="684"/>
      <c r="D522" s="685"/>
      <c r="E522" s="53" t="s">
        <v>144</v>
      </c>
      <c r="F522" s="120">
        <f>'5.kiad'!L592</f>
        <v>4674958636</v>
      </c>
      <c r="G522" s="692">
        <f>'5.kiad'!M592+'5.kiad'!N592+'5.kiad'!O592</f>
        <v>622264930</v>
      </c>
      <c r="H522" s="562">
        <f>F522+G522</f>
        <v>5297223566</v>
      </c>
      <c r="J522" s="1045"/>
      <c r="K522" s="1045"/>
    </row>
    <row r="523" spans="1:11" s="21" customFormat="1" ht="13.5" customHeight="1">
      <c r="A523" s="683"/>
      <c r="B523" s="684"/>
      <c r="C523" s="684"/>
      <c r="D523" s="685"/>
      <c r="E523" s="53" t="s">
        <v>145</v>
      </c>
      <c r="F523" s="120">
        <f>'5.kiad'!L593</f>
        <v>3442779491</v>
      </c>
      <c r="G523" s="692">
        <f>'5.kiad'!M593+'5.kiad'!N593+'5.kiad'!O593</f>
        <v>2700285104</v>
      </c>
      <c r="H523" s="562">
        <f>F523+G523</f>
        <v>6143064595</v>
      </c>
      <c r="J523" s="1045"/>
      <c r="K523" s="1045"/>
    </row>
    <row r="524" spans="1:11" s="21" customFormat="1" ht="13.5" customHeight="1">
      <c r="A524" s="683"/>
      <c r="B524" s="684"/>
      <c r="C524" s="684"/>
      <c r="D524" s="685"/>
      <c r="E524" s="53" t="s">
        <v>146</v>
      </c>
      <c r="F524" s="120">
        <f>'5.kiad'!L594</f>
        <v>1212830607</v>
      </c>
      <c r="G524" s="692">
        <f>'5.kiad'!M594+'5.kiad'!N594+'5.kiad'!O594</f>
        <v>184191891</v>
      </c>
      <c r="H524" s="562">
        <f>F524+G524</f>
        <v>1397022498</v>
      </c>
      <c r="J524" s="1045"/>
      <c r="K524" s="1045"/>
    </row>
    <row r="525" spans="1:11" s="21" customFormat="1" ht="13.5" customHeight="1">
      <c r="A525" s="1452" t="s">
        <v>285</v>
      </c>
      <c r="B525" s="1453"/>
      <c r="C525" s="1453"/>
      <c r="D525" s="1453"/>
      <c r="E525" s="1481"/>
      <c r="F525" s="100"/>
      <c r="G525" s="693"/>
      <c r="H525" s="558"/>
      <c r="J525" s="1045"/>
      <c r="K525" s="1045"/>
    </row>
    <row r="526" spans="1:11" s="21" customFormat="1" ht="13.5" customHeight="1">
      <c r="A526" s="114"/>
      <c r="B526" s="130"/>
      <c r="C526" s="130"/>
      <c r="D526" s="115"/>
      <c r="E526" s="53" t="s">
        <v>144</v>
      </c>
      <c r="F526" s="122">
        <f>'5.kiad'!L600</f>
        <v>2492501593</v>
      </c>
      <c r="G526" s="694">
        <f>'5.kiad'!M600+'5.kiad'!N600+'5.kiad'!O600+'5.kiad'!P600</f>
        <v>225949566</v>
      </c>
      <c r="H526" s="554">
        <f>F526+G526</f>
        <v>2718451159</v>
      </c>
      <c r="J526" s="1045"/>
      <c r="K526" s="1045"/>
    </row>
    <row r="527" spans="1:11" s="21" customFormat="1" ht="13.5" customHeight="1">
      <c r="A527" s="114"/>
      <c r="B527" s="130"/>
      <c r="C527" s="130"/>
      <c r="D527" s="115"/>
      <c r="E527" s="53" t="s">
        <v>145</v>
      </c>
      <c r="F527" s="122">
        <f>'5.kiad'!L601</f>
        <v>3567869024</v>
      </c>
      <c r="G527" s="694">
        <f>'5.kiad'!M601+'5.kiad'!N601+'5.kiad'!O601+'5.kiad'!P601</f>
        <v>297054618</v>
      </c>
      <c r="H527" s="554">
        <f aca="true" t="shared" si="23" ref="H527:H532">F527+G527</f>
        <v>3864923642</v>
      </c>
      <c r="J527" s="1045"/>
      <c r="K527" s="1045"/>
    </row>
    <row r="528" spans="1:11" s="21" customFormat="1" ht="13.5" customHeight="1">
      <c r="A528" s="114"/>
      <c r="B528" s="130"/>
      <c r="C528" s="130"/>
      <c r="D528" s="115"/>
      <c r="E528" s="53" t="s">
        <v>146</v>
      </c>
      <c r="F528" s="122">
        <f>'5.kiad'!L602</f>
        <v>1923439064</v>
      </c>
      <c r="G528" s="694">
        <f>'5.kiad'!M602+'5.kiad'!N602+'5.kiad'!O602+'5.kiad'!P602</f>
        <v>87669346</v>
      </c>
      <c r="H528" s="554">
        <f t="shared" si="23"/>
        <v>2011108410</v>
      </c>
      <c r="J528" s="1045"/>
      <c r="K528" s="1045"/>
    </row>
    <row r="529" spans="1:11" s="21" customFormat="1" ht="15" customHeight="1">
      <c r="A529" s="1452" t="s">
        <v>286</v>
      </c>
      <c r="B529" s="1453"/>
      <c r="C529" s="1453"/>
      <c r="D529" s="1453"/>
      <c r="E529" s="1454"/>
      <c r="F529" s="122"/>
      <c r="G529" s="694"/>
      <c r="H529" s="554"/>
      <c r="J529" s="1045"/>
      <c r="K529" s="1045"/>
    </row>
    <row r="530" spans="1:8" ht="12" customHeight="1">
      <c r="A530" s="521"/>
      <c r="B530" s="511"/>
      <c r="C530" s="511"/>
      <c r="D530" s="529"/>
      <c r="E530" s="53" t="s">
        <v>144</v>
      </c>
      <c r="F530" s="100">
        <f>'5.kiad'!L596</f>
        <v>67709000</v>
      </c>
      <c r="G530" s="100">
        <f>'5.kiad'!M596</f>
        <v>0</v>
      </c>
      <c r="H530" s="554">
        <f t="shared" si="23"/>
        <v>67709000</v>
      </c>
    </row>
    <row r="531" spans="1:11" s="617" customFormat="1" ht="14.25" customHeight="1">
      <c r="A531" s="521"/>
      <c r="B531" s="511"/>
      <c r="C531" s="511"/>
      <c r="D531" s="511"/>
      <c r="E531" s="53" t="s">
        <v>145</v>
      </c>
      <c r="F531" s="100">
        <f>'5.kiad'!L597</f>
        <v>67709000</v>
      </c>
      <c r="G531" s="100">
        <f>'5.kiad'!M597</f>
        <v>0</v>
      </c>
      <c r="H531" s="554">
        <f t="shared" si="23"/>
        <v>67709000</v>
      </c>
      <c r="I531" s="7"/>
      <c r="J531" s="1048"/>
      <c r="K531" s="1048"/>
    </row>
    <row r="532" spans="1:8" ht="12" customHeight="1" thickBot="1">
      <c r="A532" s="682"/>
      <c r="B532" s="513"/>
      <c r="C532" s="513"/>
      <c r="D532" s="513"/>
      <c r="E532" s="92" t="s">
        <v>146</v>
      </c>
      <c r="F532" s="686">
        <f>'5.kiad'!L598</f>
        <v>60708535</v>
      </c>
      <c r="G532" s="686">
        <f>'5.kiad'!M598</f>
        <v>0</v>
      </c>
      <c r="H532" s="687">
        <f t="shared" si="23"/>
        <v>60708535</v>
      </c>
    </row>
    <row r="533" spans="6:9" ht="12" customHeight="1">
      <c r="F533" s="616"/>
      <c r="G533" s="616"/>
      <c r="H533" s="616"/>
      <c r="I533" s="616"/>
    </row>
    <row r="534" spans="6:8" ht="12" customHeight="1">
      <c r="F534" s="616"/>
      <c r="G534" s="616"/>
      <c r="H534" s="616"/>
    </row>
    <row r="535" spans="6:8" ht="12" customHeight="1">
      <c r="F535" s="616"/>
      <c r="G535" s="616"/>
      <c r="H535" s="616"/>
    </row>
    <row r="536" spans="6:8" ht="12" customHeight="1">
      <c r="F536" s="616"/>
      <c r="G536" s="616"/>
      <c r="H536" s="616"/>
    </row>
    <row r="537" spans="6:8" ht="12" customHeight="1">
      <c r="F537" s="616"/>
      <c r="G537" s="616"/>
      <c r="H537" s="616"/>
    </row>
    <row r="538" spans="6:8" ht="12" customHeight="1">
      <c r="F538" s="616"/>
      <c r="G538" s="616"/>
      <c r="H538" s="616"/>
    </row>
    <row r="539" spans="5:8" ht="12" customHeight="1">
      <c r="E539" s="616"/>
      <c r="F539" s="616"/>
      <c r="G539" s="616"/>
      <c r="H539" s="616"/>
    </row>
    <row r="540" spans="5:8" ht="12" customHeight="1">
      <c r="E540" s="616"/>
      <c r="F540" s="616"/>
      <c r="G540" s="616"/>
      <c r="H540" s="616"/>
    </row>
    <row r="541" spans="5:8" ht="12" customHeight="1">
      <c r="E541" s="616"/>
      <c r="F541" s="616"/>
      <c r="G541" s="616"/>
      <c r="H541" s="616"/>
    </row>
    <row r="542" spans="6:8" ht="12" customHeight="1">
      <c r="F542" s="616"/>
      <c r="G542" s="616"/>
      <c r="H542" s="616"/>
    </row>
    <row r="543" spans="6:8" ht="12" customHeight="1">
      <c r="F543" s="616"/>
      <c r="G543" s="616"/>
      <c r="H543" s="616"/>
    </row>
  </sheetData>
  <sheetProtection/>
  <mergeCells count="65">
    <mergeCell ref="A375:E375"/>
    <mergeCell ref="D7:H7"/>
    <mergeCell ref="C393:C402"/>
    <mergeCell ref="A223:E223"/>
    <mergeCell ref="C264:E264"/>
    <mergeCell ref="A279:E279"/>
    <mergeCell ref="C283:E283"/>
    <mergeCell ref="A235:E235"/>
    <mergeCell ref="A255:E255"/>
    <mergeCell ref="E393:G393"/>
    <mergeCell ref="A368:E368"/>
    <mergeCell ref="A90:E90"/>
    <mergeCell ref="A6:H6"/>
    <mergeCell ref="E131:F131"/>
    <mergeCell ref="E1:H1"/>
    <mergeCell ref="C4:C5"/>
    <mergeCell ref="D4:D5"/>
    <mergeCell ref="E4:E5"/>
    <mergeCell ref="F4:F5"/>
    <mergeCell ref="G4:G5"/>
    <mergeCell ref="H4:H5"/>
    <mergeCell ref="C341:E341"/>
    <mergeCell ref="A45:E45"/>
    <mergeCell ref="D46:H46"/>
    <mergeCell ref="A48:E48"/>
    <mergeCell ref="A53:E53"/>
    <mergeCell ref="C103:E103"/>
    <mergeCell ref="C95:E95"/>
    <mergeCell ref="A77:E77"/>
    <mergeCell ref="A84:E84"/>
    <mergeCell ref="A85:E85"/>
    <mergeCell ref="A91:E91"/>
    <mergeCell ref="E143:F143"/>
    <mergeCell ref="C256:E256"/>
    <mergeCell ref="A227:E227"/>
    <mergeCell ref="A228:E228"/>
    <mergeCell ref="A229:E229"/>
    <mergeCell ref="A230:E230"/>
    <mergeCell ref="A155:E155"/>
    <mergeCell ref="A384:E384"/>
    <mergeCell ref="A392:E392"/>
    <mergeCell ref="E385:G385"/>
    <mergeCell ref="A418:E418"/>
    <mergeCell ref="A422:E422"/>
    <mergeCell ref="A426:E426"/>
    <mergeCell ref="C403:C409"/>
    <mergeCell ref="A430:E430"/>
    <mergeCell ref="A434:E434"/>
    <mergeCell ref="A438:E438"/>
    <mergeCell ref="A442:E442"/>
    <mergeCell ref="A450:E450"/>
    <mergeCell ref="A454:E454"/>
    <mergeCell ref="A458:E458"/>
    <mergeCell ref="A462:E462"/>
    <mergeCell ref="A446:E446"/>
    <mergeCell ref="A517:E517"/>
    <mergeCell ref="A521:E521"/>
    <mergeCell ref="A525:E525"/>
    <mergeCell ref="A529:E529"/>
    <mergeCell ref="A466:E466"/>
    <mergeCell ref="A470:H470"/>
    <mergeCell ref="A492:E492"/>
    <mergeCell ref="C496:E496"/>
    <mergeCell ref="A509:E509"/>
    <mergeCell ref="A513:E513"/>
  </mergeCells>
  <printOptions horizontalCentered="1" vertic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63" r:id="rId2"/>
  <headerFooter alignWithMargins="0">
    <oddFooter>&amp;C&amp;P. oldal</oddFooter>
  </headerFooter>
  <rowBreaks count="6" manualBreakCount="6">
    <brk id="83" max="7" man="1"/>
    <brk id="154" max="7" man="1"/>
    <brk id="229" max="7" man="1"/>
    <brk id="311" max="7" man="1"/>
    <brk id="379" max="7" man="1"/>
    <brk id="45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5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00390625" style="40" customWidth="1"/>
    <col min="2" max="2" width="7.625" style="40" customWidth="1"/>
    <col min="3" max="3" width="22.00390625" style="40" customWidth="1"/>
    <col min="4" max="4" width="10.25390625" style="178" customWidth="1"/>
    <col min="5" max="5" width="11.75390625" style="178" customWidth="1"/>
    <col min="6" max="6" width="11.625" style="178" customWidth="1"/>
    <col min="7" max="7" width="10.25390625" style="178" customWidth="1"/>
    <col min="8" max="8" width="15.75390625" style="178" customWidth="1"/>
    <col min="9" max="9" width="16.125" style="40" customWidth="1"/>
    <col min="10" max="10" width="10.875" style="40" customWidth="1"/>
    <col min="11" max="11" width="12.25390625" style="40" customWidth="1"/>
    <col min="12" max="12" width="11.25390625" style="141" customWidth="1"/>
    <col min="15" max="16" width="11.75390625" style="0" bestFit="1" customWidth="1"/>
  </cols>
  <sheetData>
    <row r="1" spans="1:12" ht="12.75">
      <c r="A1" s="139"/>
      <c r="B1" s="139"/>
      <c r="C1" s="139"/>
      <c r="D1" s="139"/>
      <c r="E1" s="139"/>
      <c r="F1" s="139"/>
      <c r="G1" s="139"/>
      <c r="H1" s="139"/>
      <c r="I1" s="1559" t="s">
        <v>1096</v>
      </c>
      <c r="J1" s="1559"/>
      <c r="K1" s="1559"/>
      <c r="L1" s="1559"/>
    </row>
    <row r="2" spans="1:12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4.2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559" t="s">
        <v>793</v>
      </c>
      <c r="L3" s="1559"/>
    </row>
    <row r="4" spans="1:12" s="18" customFormat="1" ht="21" customHeight="1">
      <c r="A4" s="142"/>
      <c r="B4" s="1575" t="s">
        <v>185</v>
      </c>
      <c r="C4" s="143"/>
      <c r="D4" s="1560" t="s">
        <v>302</v>
      </c>
      <c r="E4" s="1563" t="s">
        <v>202</v>
      </c>
      <c r="F4" s="1563" t="s">
        <v>203</v>
      </c>
      <c r="G4" s="1566" t="s">
        <v>98</v>
      </c>
      <c r="H4" s="1563" t="s">
        <v>204</v>
      </c>
      <c r="I4" s="1580" t="s">
        <v>206</v>
      </c>
      <c r="J4" s="1578" t="s">
        <v>716</v>
      </c>
      <c r="K4" s="1579"/>
      <c r="L4" s="144"/>
    </row>
    <row r="5" spans="1:12" s="18" customFormat="1" ht="23.25" customHeight="1">
      <c r="A5" s="145" t="s">
        <v>31</v>
      </c>
      <c r="B5" s="1576"/>
      <c r="C5" s="146" t="s">
        <v>32</v>
      </c>
      <c r="D5" s="1561"/>
      <c r="E5" s="1564"/>
      <c r="F5" s="1564"/>
      <c r="G5" s="1567"/>
      <c r="H5" s="1564"/>
      <c r="I5" s="1581"/>
      <c r="J5" s="1583" t="s">
        <v>718</v>
      </c>
      <c r="K5" s="1572" t="s">
        <v>723</v>
      </c>
      <c r="L5" s="147" t="s">
        <v>17</v>
      </c>
    </row>
    <row r="6" spans="1:12" s="18" customFormat="1" ht="14.25" customHeight="1">
      <c r="A6" s="145" t="s">
        <v>33</v>
      </c>
      <c r="B6" s="1576"/>
      <c r="C6" s="146" t="s">
        <v>34</v>
      </c>
      <c r="D6" s="1561"/>
      <c r="E6" s="1564"/>
      <c r="F6" s="1564"/>
      <c r="G6" s="1567"/>
      <c r="H6" s="1564"/>
      <c r="I6" s="1581"/>
      <c r="J6" s="1561"/>
      <c r="K6" s="1564"/>
      <c r="L6" s="147"/>
    </row>
    <row r="7" spans="1:12" s="18" customFormat="1" ht="19.5" customHeight="1" thickBot="1">
      <c r="A7" s="148"/>
      <c r="B7" s="1577"/>
      <c r="C7" s="149"/>
      <c r="D7" s="1562"/>
      <c r="E7" s="1565"/>
      <c r="F7" s="1565"/>
      <c r="G7" s="1568"/>
      <c r="H7" s="1565"/>
      <c r="I7" s="1582"/>
      <c r="J7" s="1562"/>
      <c r="K7" s="1565"/>
      <c r="L7" s="150"/>
    </row>
    <row r="8" spans="1:12" ht="15" customHeight="1">
      <c r="A8" s="151" t="s">
        <v>3</v>
      </c>
      <c r="B8" s="398"/>
      <c r="C8" s="1569" t="s">
        <v>154</v>
      </c>
      <c r="D8" s="1570"/>
      <c r="E8" s="1571"/>
      <c r="F8" s="152"/>
      <c r="G8" s="152"/>
      <c r="H8" s="152"/>
      <c r="I8" s="152"/>
      <c r="J8" s="152"/>
      <c r="K8" s="152"/>
      <c r="L8" s="153"/>
    </row>
    <row r="9" spans="1:12" s="411" customFormat="1" ht="15" customHeight="1">
      <c r="A9" s="406"/>
      <c r="B9" s="407" t="s">
        <v>106</v>
      </c>
      <c r="C9" s="1573" t="s">
        <v>183</v>
      </c>
      <c r="D9" s="1574"/>
      <c r="E9" s="408"/>
      <c r="F9" s="409"/>
      <c r="G9" s="409"/>
      <c r="H9" s="409"/>
      <c r="I9" s="409"/>
      <c r="J9" s="409"/>
      <c r="K9" s="409"/>
      <c r="L9" s="410"/>
    </row>
    <row r="10" spans="1:12" s="411" customFormat="1" ht="15" customHeight="1">
      <c r="A10" s="406"/>
      <c r="B10" s="412"/>
      <c r="C10" s="58" t="s">
        <v>144</v>
      </c>
      <c r="D10" s="409">
        <v>5677000</v>
      </c>
      <c r="E10" s="409"/>
      <c r="F10" s="409">
        <v>40771000</v>
      </c>
      <c r="G10" s="409">
        <v>40771000</v>
      </c>
      <c r="H10" s="409">
        <v>0</v>
      </c>
      <c r="I10" s="409"/>
      <c r="J10" s="409">
        <v>73238000</v>
      </c>
      <c r="K10" s="409">
        <v>6808182</v>
      </c>
      <c r="L10" s="410">
        <f>SUM(D10:F10)+H10+I10+J10+K10</f>
        <v>126494182</v>
      </c>
    </row>
    <row r="11" spans="1:12" s="411" customFormat="1" ht="15" customHeight="1">
      <c r="A11" s="406"/>
      <c r="B11" s="412"/>
      <c r="C11" s="58" t="s">
        <v>145</v>
      </c>
      <c r="D11" s="409">
        <v>5277000</v>
      </c>
      <c r="E11" s="409"/>
      <c r="F11" s="409">
        <v>45347340</v>
      </c>
      <c r="G11" s="409">
        <v>44066500</v>
      </c>
      <c r="H11" s="409">
        <v>0</v>
      </c>
      <c r="I11" s="409"/>
      <c r="J11" s="409">
        <v>77288094</v>
      </c>
      <c r="K11" s="409">
        <v>6808182</v>
      </c>
      <c r="L11" s="410">
        <f aca="true" t="shared" si="0" ref="L11:L37">SUM(D11:F11)+H11+I11+J11+K11</f>
        <v>134720616</v>
      </c>
    </row>
    <row r="12" spans="1:16" s="411" customFormat="1" ht="15" customHeight="1">
      <c r="A12" s="406"/>
      <c r="B12" s="412"/>
      <c r="C12" s="58" t="s">
        <v>146</v>
      </c>
      <c r="D12" s="409">
        <f>62245336-D16</f>
        <v>5386296</v>
      </c>
      <c r="E12" s="409"/>
      <c r="F12" s="409">
        <f>82267493-F20</f>
        <v>45244268</v>
      </c>
      <c r="G12" s="409">
        <v>44072600</v>
      </c>
      <c r="H12" s="409"/>
      <c r="I12" s="409"/>
      <c r="J12" s="409">
        <f>150527659-J16</f>
        <v>77288094</v>
      </c>
      <c r="K12" s="409">
        <v>6808182</v>
      </c>
      <c r="L12" s="410">
        <f t="shared" si="0"/>
        <v>134726840</v>
      </c>
      <c r="N12" s="798"/>
      <c r="P12" s="798"/>
    </row>
    <row r="13" spans="1:16" s="411" customFormat="1" ht="15" customHeight="1">
      <c r="A13" s="406"/>
      <c r="B13" s="407" t="s">
        <v>107</v>
      </c>
      <c r="C13" s="413" t="s">
        <v>184</v>
      </c>
      <c r="D13" s="409"/>
      <c r="E13" s="409"/>
      <c r="F13" s="409"/>
      <c r="G13" s="409"/>
      <c r="H13" s="409"/>
      <c r="I13" s="409"/>
      <c r="J13" s="409"/>
      <c r="K13" s="409"/>
      <c r="L13" s="410"/>
      <c r="O13" s="798"/>
      <c r="P13" s="798"/>
    </row>
    <row r="14" spans="1:12" s="411" customFormat="1" ht="15" customHeight="1">
      <c r="A14" s="406"/>
      <c r="B14" s="407"/>
      <c r="C14" s="58" t="s">
        <v>144</v>
      </c>
      <c r="D14" s="409">
        <v>56000000</v>
      </c>
      <c r="E14" s="409"/>
      <c r="F14" s="409"/>
      <c r="G14" s="409"/>
      <c r="H14" s="409">
        <v>800000</v>
      </c>
      <c r="I14" s="409">
        <v>800000</v>
      </c>
      <c r="J14" s="409">
        <v>72602000</v>
      </c>
      <c r="K14" s="409"/>
      <c r="L14" s="410">
        <f t="shared" si="0"/>
        <v>130202000</v>
      </c>
    </row>
    <row r="15" spans="1:12" s="411" customFormat="1" ht="15" customHeight="1">
      <c r="A15" s="406"/>
      <c r="B15" s="407"/>
      <c r="C15" s="58" t="s">
        <v>145</v>
      </c>
      <c r="D15" s="409">
        <v>56000000</v>
      </c>
      <c r="E15" s="409"/>
      <c r="F15" s="409"/>
      <c r="G15" s="409"/>
      <c r="H15" s="409">
        <v>800000</v>
      </c>
      <c r="I15" s="409">
        <v>800000</v>
      </c>
      <c r="J15" s="409">
        <v>73239565</v>
      </c>
      <c r="K15" s="409"/>
      <c r="L15" s="410">
        <f t="shared" si="0"/>
        <v>130839565</v>
      </c>
    </row>
    <row r="16" spans="1:18" s="411" customFormat="1" ht="15" customHeight="1">
      <c r="A16" s="406"/>
      <c r="B16" s="407"/>
      <c r="C16" s="58" t="s">
        <v>146</v>
      </c>
      <c r="D16" s="409">
        <v>56859040</v>
      </c>
      <c r="E16" s="409"/>
      <c r="F16" s="409"/>
      <c r="G16" s="409"/>
      <c r="H16" s="409">
        <v>800000</v>
      </c>
      <c r="I16" s="409">
        <v>800000</v>
      </c>
      <c r="J16" s="409">
        <v>73239565</v>
      </c>
      <c r="K16" s="409"/>
      <c r="L16" s="410">
        <f t="shared" si="0"/>
        <v>131698605</v>
      </c>
      <c r="R16" s="798"/>
    </row>
    <row r="17" spans="1:18" s="411" customFormat="1" ht="15" customHeight="1">
      <c r="A17" s="406"/>
      <c r="B17" s="407" t="s">
        <v>107</v>
      </c>
      <c r="C17" s="1250" t="s">
        <v>878</v>
      </c>
      <c r="D17" s="1249"/>
      <c r="E17" s="409"/>
      <c r="F17" s="409"/>
      <c r="G17" s="409"/>
      <c r="H17" s="409"/>
      <c r="I17" s="409"/>
      <c r="J17" s="409"/>
      <c r="K17" s="409"/>
      <c r="L17" s="410"/>
      <c r="R17" s="798"/>
    </row>
    <row r="18" spans="1:18" s="411" customFormat="1" ht="15" customHeight="1">
      <c r="A18" s="406"/>
      <c r="B18" s="407"/>
      <c r="C18" s="58" t="s">
        <v>144</v>
      </c>
      <c r="D18" s="1249"/>
      <c r="E18" s="409">
        <v>0</v>
      </c>
      <c r="F18" s="409">
        <v>0</v>
      </c>
      <c r="G18" s="409"/>
      <c r="H18" s="409"/>
      <c r="I18" s="409"/>
      <c r="J18" s="409"/>
      <c r="K18" s="409"/>
      <c r="L18" s="410">
        <v>0</v>
      </c>
      <c r="R18" s="798"/>
    </row>
    <row r="19" spans="1:18" s="411" customFormat="1" ht="15" customHeight="1">
      <c r="A19" s="406"/>
      <c r="B19" s="407"/>
      <c r="C19" s="58" t="s">
        <v>145</v>
      </c>
      <c r="D19" s="1249"/>
      <c r="E19" s="409">
        <v>2655855</v>
      </c>
      <c r="F19" s="409">
        <v>37341120</v>
      </c>
      <c r="G19" s="409"/>
      <c r="H19" s="409"/>
      <c r="I19" s="409"/>
      <c r="J19" s="409"/>
      <c r="K19" s="409"/>
      <c r="L19" s="410">
        <f>SUM(D19:K19)</f>
        <v>39996975</v>
      </c>
      <c r="R19" s="798"/>
    </row>
    <row r="20" spans="1:18" s="411" customFormat="1" ht="15" customHeight="1">
      <c r="A20" s="406"/>
      <c r="B20" s="407"/>
      <c r="C20" s="58" t="s">
        <v>146</v>
      </c>
      <c r="D20" s="1249"/>
      <c r="E20" s="409">
        <v>2655855</v>
      </c>
      <c r="F20" s="409">
        <v>37023225</v>
      </c>
      <c r="G20" s="409"/>
      <c r="H20" s="409"/>
      <c r="I20" s="409"/>
      <c r="J20" s="409"/>
      <c r="K20" s="409"/>
      <c r="L20" s="410">
        <f>SUM(D20:K20)</f>
        <v>39679080</v>
      </c>
      <c r="R20" s="798"/>
    </row>
    <row r="21" spans="1:12" ht="15" customHeight="1">
      <c r="A21" s="151" t="s">
        <v>4</v>
      </c>
      <c r="B21" s="398"/>
      <c r="C21" s="1556" t="s">
        <v>155</v>
      </c>
      <c r="D21" s="1558"/>
      <c r="E21" s="154"/>
      <c r="F21" s="154"/>
      <c r="G21" s="154"/>
      <c r="H21" s="154"/>
      <c r="I21" s="154"/>
      <c r="J21" s="154"/>
      <c r="K21" s="154"/>
      <c r="L21" s="410"/>
    </row>
    <row r="22" spans="1:12" ht="12.75" customHeight="1">
      <c r="A22" s="151"/>
      <c r="B22" s="399" t="s">
        <v>106</v>
      </c>
      <c r="C22" s="53" t="s">
        <v>144</v>
      </c>
      <c r="D22" s="154">
        <v>0</v>
      </c>
      <c r="E22" s="154"/>
      <c r="F22" s="154">
        <v>2417000</v>
      </c>
      <c r="G22" s="154"/>
      <c r="H22" s="154"/>
      <c r="I22" s="154"/>
      <c r="J22" s="154">
        <v>231444000</v>
      </c>
      <c r="K22" s="154">
        <v>9107614</v>
      </c>
      <c r="L22" s="410">
        <f t="shared" si="0"/>
        <v>242968614</v>
      </c>
    </row>
    <row r="23" spans="1:12" ht="12" customHeight="1">
      <c r="A23" s="151"/>
      <c r="B23" s="399"/>
      <c r="C23" s="53" t="s">
        <v>145</v>
      </c>
      <c r="D23" s="154">
        <v>78000</v>
      </c>
      <c r="E23" s="154">
        <v>82000</v>
      </c>
      <c r="F23" s="154">
        <v>9505882</v>
      </c>
      <c r="G23" s="154"/>
      <c r="H23" s="154"/>
      <c r="I23" s="154"/>
      <c r="J23" s="154">
        <v>235631228</v>
      </c>
      <c r="K23" s="154">
        <v>9107614</v>
      </c>
      <c r="L23" s="410">
        <f t="shared" si="0"/>
        <v>254404724</v>
      </c>
    </row>
    <row r="24" spans="1:12" ht="11.25" customHeight="1">
      <c r="A24" s="151"/>
      <c r="B24" s="399"/>
      <c r="C24" s="53" t="s">
        <v>146</v>
      </c>
      <c r="D24" s="154">
        <v>129113</v>
      </c>
      <c r="E24" s="154">
        <v>82000</v>
      </c>
      <c r="F24" s="154">
        <v>8888693</v>
      </c>
      <c r="G24" s="154"/>
      <c r="H24" s="154"/>
      <c r="I24" s="154"/>
      <c r="J24" s="154">
        <v>235631228</v>
      </c>
      <c r="K24" s="154">
        <v>9107614</v>
      </c>
      <c r="L24" s="410">
        <f t="shared" si="0"/>
        <v>253838648</v>
      </c>
    </row>
    <row r="25" spans="1:12" ht="15" customHeight="1">
      <c r="A25" s="151" t="s">
        <v>5</v>
      </c>
      <c r="B25" s="399"/>
      <c r="C25" s="1556" t="s">
        <v>59</v>
      </c>
      <c r="D25" s="1557"/>
      <c r="E25" s="1558"/>
      <c r="F25" s="154"/>
      <c r="G25" s="154"/>
      <c r="H25" s="154"/>
      <c r="I25" s="154"/>
      <c r="J25" s="154"/>
      <c r="K25" s="154"/>
      <c r="L25" s="410"/>
    </row>
    <row r="26" spans="1:12" s="411" customFormat="1" ht="15" customHeight="1">
      <c r="A26" s="406"/>
      <c r="B26" s="412" t="s">
        <v>107</v>
      </c>
      <c r="C26" s="1573" t="s">
        <v>721</v>
      </c>
      <c r="D26" s="1574"/>
      <c r="E26" s="409"/>
      <c r="F26" s="409"/>
      <c r="G26" s="409"/>
      <c r="H26" s="409"/>
      <c r="I26" s="409"/>
      <c r="J26" s="409"/>
      <c r="K26" s="409"/>
      <c r="L26" s="410">
        <f t="shared" si="0"/>
        <v>0</v>
      </c>
    </row>
    <row r="27" spans="1:12" s="411" customFormat="1" ht="12" customHeight="1">
      <c r="A27" s="406"/>
      <c r="B27" s="412"/>
      <c r="C27" s="58" t="s">
        <v>144</v>
      </c>
      <c r="D27" s="409">
        <v>3100000</v>
      </c>
      <c r="E27" s="409"/>
      <c r="F27" s="409">
        <v>834000</v>
      </c>
      <c r="G27" s="409"/>
      <c r="H27" s="409"/>
      <c r="I27" s="409"/>
      <c r="J27" s="409">
        <v>21741000</v>
      </c>
      <c r="K27" s="409">
        <v>1643170</v>
      </c>
      <c r="L27" s="410">
        <f t="shared" si="0"/>
        <v>27318170</v>
      </c>
    </row>
    <row r="28" spans="1:14" s="411" customFormat="1" ht="12" customHeight="1">
      <c r="A28" s="406"/>
      <c r="B28" s="412"/>
      <c r="C28" s="58" t="s">
        <v>145</v>
      </c>
      <c r="D28" s="409">
        <v>3466426</v>
      </c>
      <c r="E28" s="409">
        <v>750000</v>
      </c>
      <c r="F28" s="409">
        <v>720000</v>
      </c>
      <c r="G28" s="409"/>
      <c r="H28" s="409"/>
      <c r="I28" s="409">
        <v>98385</v>
      </c>
      <c r="J28" s="409">
        <v>20443814</v>
      </c>
      <c r="K28" s="409">
        <v>1643170</v>
      </c>
      <c r="L28" s="410">
        <f t="shared" si="0"/>
        <v>27121795</v>
      </c>
      <c r="N28" s="798"/>
    </row>
    <row r="29" spans="1:15" s="411" customFormat="1" ht="12.75" customHeight="1">
      <c r="A29" s="406"/>
      <c r="B29" s="412"/>
      <c r="C29" s="58" t="s">
        <v>146</v>
      </c>
      <c r="D29" s="409">
        <f>4434931-D33</f>
        <v>3541426</v>
      </c>
      <c r="E29" s="409">
        <v>750000</v>
      </c>
      <c r="F29" s="409">
        <v>720000</v>
      </c>
      <c r="G29" s="409"/>
      <c r="H29" s="409"/>
      <c r="I29" s="409">
        <v>98385</v>
      </c>
      <c r="J29" s="409">
        <f>27641544-J33</f>
        <v>20443814</v>
      </c>
      <c r="K29" s="409">
        <v>1643170</v>
      </c>
      <c r="L29" s="410">
        <f t="shared" si="0"/>
        <v>27196795</v>
      </c>
      <c r="O29" s="798"/>
    </row>
    <row r="30" spans="1:15" s="411" customFormat="1" ht="15" customHeight="1">
      <c r="A30" s="406"/>
      <c r="B30" s="412" t="s">
        <v>107</v>
      </c>
      <c r="C30" s="1134" t="s">
        <v>722</v>
      </c>
      <c r="D30" s="409"/>
      <c r="E30" s="409"/>
      <c r="F30" s="409"/>
      <c r="G30" s="409"/>
      <c r="H30" s="409"/>
      <c r="I30" s="409"/>
      <c r="J30" s="409"/>
      <c r="K30" s="409"/>
      <c r="L30" s="410"/>
      <c r="O30" s="798"/>
    </row>
    <row r="31" spans="1:12" s="411" customFormat="1" ht="12.75" customHeight="1">
      <c r="A31" s="406"/>
      <c r="B31" s="412"/>
      <c r="C31" s="58" t="s">
        <v>144</v>
      </c>
      <c r="D31" s="409">
        <v>2500000</v>
      </c>
      <c r="E31" s="409"/>
      <c r="F31" s="409"/>
      <c r="G31" s="409"/>
      <c r="H31" s="409"/>
      <c r="I31" s="409"/>
      <c r="J31" s="409">
        <v>31520730</v>
      </c>
      <c r="K31" s="409">
        <v>450693</v>
      </c>
      <c r="L31" s="410">
        <f t="shared" si="0"/>
        <v>34471423</v>
      </c>
    </row>
    <row r="32" spans="1:12" s="411" customFormat="1" ht="12.75" customHeight="1">
      <c r="A32" s="406"/>
      <c r="B32" s="412"/>
      <c r="C32" s="58" t="s">
        <v>145</v>
      </c>
      <c r="D32" s="409">
        <v>893000</v>
      </c>
      <c r="E32" s="409"/>
      <c r="F32" s="409"/>
      <c r="G32" s="409"/>
      <c r="H32" s="409"/>
      <c r="I32" s="409"/>
      <c r="J32" s="409">
        <v>7197730</v>
      </c>
      <c r="K32" s="409">
        <v>450693</v>
      </c>
      <c r="L32" s="410">
        <f t="shared" si="0"/>
        <v>8541423</v>
      </c>
    </row>
    <row r="33" spans="1:12" s="411" customFormat="1" ht="12.75" customHeight="1">
      <c r="A33" s="406"/>
      <c r="B33" s="412"/>
      <c r="C33" s="58" t="s">
        <v>146</v>
      </c>
      <c r="D33" s="409">
        <v>893505</v>
      </c>
      <c r="E33" s="409"/>
      <c r="F33" s="409"/>
      <c r="G33" s="409"/>
      <c r="H33" s="409"/>
      <c r="I33" s="409"/>
      <c r="J33" s="409">
        <v>7197730</v>
      </c>
      <c r="K33" s="409">
        <v>450693</v>
      </c>
      <c r="L33" s="410">
        <f t="shared" si="0"/>
        <v>8541928</v>
      </c>
    </row>
    <row r="34" spans="1:12" ht="15" customHeight="1">
      <c r="A34" s="151" t="s">
        <v>6</v>
      </c>
      <c r="B34" s="399"/>
      <c r="C34" s="1556" t="s">
        <v>58</v>
      </c>
      <c r="D34" s="1557"/>
      <c r="E34" s="1558"/>
      <c r="F34" s="154"/>
      <c r="G34" s="154"/>
      <c r="H34" s="154"/>
      <c r="I34" s="154"/>
      <c r="J34" s="154"/>
      <c r="K34" s="154"/>
      <c r="L34" s="410"/>
    </row>
    <row r="35" spans="1:17" ht="15" customHeight="1">
      <c r="A35" s="151"/>
      <c r="B35" s="399" t="s">
        <v>106</v>
      </c>
      <c r="C35" s="53" t="s">
        <v>144</v>
      </c>
      <c r="D35" s="154">
        <v>1185000</v>
      </c>
      <c r="E35" s="154"/>
      <c r="F35" s="154"/>
      <c r="G35" s="154"/>
      <c r="H35" s="154"/>
      <c r="I35" s="154"/>
      <c r="J35" s="154">
        <v>40558000</v>
      </c>
      <c r="K35" s="154">
        <v>2470595</v>
      </c>
      <c r="L35" s="410">
        <f t="shared" si="0"/>
        <v>44213595</v>
      </c>
      <c r="Q35" s="799"/>
    </row>
    <row r="36" spans="1:12" ht="15" customHeight="1">
      <c r="A36" s="151"/>
      <c r="B36" s="399"/>
      <c r="C36" s="53" t="s">
        <v>145</v>
      </c>
      <c r="D36" s="154">
        <v>1445000</v>
      </c>
      <c r="E36" s="154"/>
      <c r="F36" s="154"/>
      <c r="G36" s="154"/>
      <c r="H36" s="154"/>
      <c r="I36" s="154"/>
      <c r="J36" s="154">
        <v>40139310</v>
      </c>
      <c r="K36" s="154">
        <v>2470595</v>
      </c>
      <c r="L36" s="410">
        <f t="shared" si="0"/>
        <v>44054905</v>
      </c>
    </row>
    <row r="37" spans="1:12" ht="15" customHeight="1" thickBot="1">
      <c r="A37" s="151"/>
      <c r="B37" s="399"/>
      <c r="C37" s="53" t="s">
        <v>146</v>
      </c>
      <c r="D37" s="154">
        <v>1733656</v>
      </c>
      <c r="E37" s="154"/>
      <c r="F37" s="154"/>
      <c r="G37" s="154"/>
      <c r="H37" s="154"/>
      <c r="I37" s="154"/>
      <c r="J37" s="154">
        <v>40139310</v>
      </c>
      <c r="K37" s="154">
        <v>2470595</v>
      </c>
      <c r="L37" s="410">
        <f t="shared" si="0"/>
        <v>44343561</v>
      </c>
    </row>
    <row r="38" spans="1:12" ht="16.5" customHeight="1" thickBot="1">
      <c r="A38" s="418"/>
      <c r="B38" s="414"/>
      <c r="C38" s="415" t="s">
        <v>717</v>
      </c>
      <c r="D38" s="416"/>
      <c r="E38" s="416"/>
      <c r="F38" s="416"/>
      <c r="G38" s="416"/>
      <c r="H38" s="416"/>
      <c r="I38" s="416"/>
      <c r="J38" s="416"/>
      <c r="K38" s="416"/>
      <c r="L38" s="417"/>
    </row>
    <row r="39" spans="1:12" ht="14.25" customHeight="1">
      <c r="A39" s="156"/>
      <c r="B39" s="400"/>
      <c r="C39" s="157" t="s">
        <v>144</v>
      </c>
      <c r="D39" s="158">
        <f aca="true" t="shared" si="1" ref="D39:L39">D10+D14+D22+D27+D31+D35</f>
        <v>68462000</v>
      </c>
      <c r="E39" s="158">
        <f t="shared" si="1"/>
        <v>0</v>
      </c>
      <c r="F39" s="158">
        <f t="shared" si="1"/>
        <v>44022000</v>
      </c>
      <c r="G39" s="158">
        <f t="shared" si="1"/>
        <v>40771000</v>
      </c>
      <c r="H39" s="158">
        <f t="shared" si="1"/>
        <v>800000</v>
      </c>
      <c r="I39" s="158">
        <f t="shared" si="1"/>
        <v>800000</v>
      </c>
      <c r="J39" s="158">
        <f t="shared" si="1"/>
        <v>471103730</v>
      </c>
      <c r="K39" s="158">
        <f t="shared" si="1"/>
        <v>20480254</v>
      </c>
      <c r="L39" s="158">
        <f t="shared" si="1"/>
        <v>605667984</v>
      </c>
    </row>
    <row r="40" spans="1:12" ht="14.25" customHeight="1">
      <c r="A40" s="159"/>
      <c r="B40" s="401"/>
      <c r="C40" s="157" t="s">
        <v>145</v>
      </c>
      <c r="D40" s="160">
        <f>D11+D15+D23+D28+D32+D36+D19</f>
        <v>67159426</v>
      </c>
      <c r="E40" s="160">
        <f aca="true" t="shared" si="2" ref="E40:K40">E11+E15+E23+E28+E32+E36+E19</f>
        <v>3487855</v>
      </c>
      <c r="F40" s="160">
        <f t="shared" si="2"/>
        <v>92914342</v>
      </c>
      <c r="G40" s="160">
        <f t="shared" si="2"/>
        <v>44066500</v>
      </c>
      <c r="H40" s="160">
        <f t="shared" si="2"/>
        <v>800000</v>
      </c>
      <c r="I40" s="160">
        <f t="shared" si="2"/>
        <v>898385</v>
      </c>
      <c r="J40" s="160">
        <f t="shared" si="2"/>
        <v>453939741</v>
      </c>
      <c r="K40" s="160">
        <f t="shared" si="2"/>
        <v>20480254</v>
      </c>
      <c r="L40" s="160">
        <f>L11+L15+L23+L28+L32+L36+L19</f>
        <v>639680003</v>
      </c>
    </row>
    <row r="41" spans="1:16" ht="14.25" customHeight="1" thickBot="1">
      <c r="A41" s="156"/>
      <c r="B41" s="400"/>
      <c r="C41" s="136" t="s">
        <v>146</v>
      </c>
      <c r="D41" s="158">
        <f>D12+D16+D24+D29+D33+D37+D20</f>
        <v>68543036</v>
      </c>
      <c r="E41" s="158">
        <f aca="true" t="shared" si="3" ref="E41:K41">E12+E16+E24+E29+E33+E37+E20</f>
        <v>3487855</v>
      </c>
      <c r="F41" s="158">
        <f t="shared" si="3"/>
        <v>91876186</v>
      </c>
      <c r="G41" s="158">
        <f t="shared" si="3"/>
        <v>44072600</v>
      </c>
      <c r="H41" s="158">
        <f t="shared" si="3"/>
        <v>800000</v>
      </c>
      <c r="I41" s="158">
        <f t="shared" si="3"/>
        <v>898385</v>
      </c>
      <c r="J41" s="158">
        <f t="shared" si="3"/>
        <v>453939741</v>
      </c>
      <c r="K41" s="158">
        <f t="shared" si="3"/>
        <v>20480254</v>
      </c>
      <c r="L41" s="158">
        <f>L12+L16+L24+L29+L33+L37+L20</f>
        <v>640025457</v>
      </c>
      <c r="P41" s="799"/>
    </row>
    <row r="42" spans="1:12" s="18" customFormat="1" ht="12.75" customHeight="1" thickBot="1" thickTop="1">
      <c r="A42" s="161" t="s">
        <v>3</v>
      </c>
      <c r="B42" s="402"/>
      <c r="C42" s="162" t="s">
        <v>127</v>
      </c>
      <c r="D42" s="163"/>
      <c r="E42" s="163"/>
      <c r="F42" s="163"/>
      <c r="G42" s="163"/>
      <c r="H42" s="163"/>
      <c r="I42" s="164"/>
      <c r="J42" s="164"/>
      <c r="K42" s="164"/>
      <c r="L42" s="165"/>
    </row>
    <row r="43" spans="1:14" ht="12.75">
      <c r="A43" s="166"/>
      <c r="B43" s="403"/>
      <c r="C43" s="90" t="s">
        <v>144</v>
      </c>
      <c r="D43" s="167">
        <v>4075000</v>
      </c>
      <c r="E43" s="167"/>
      <c r="F43" s="167">
        <v>5116000</v>
      </c>
      <c r="G43" s="167"/>
      <c r="H43" s="167"/>
      <c r="I43" s="168"/>
      <c r="J43" s="168">
        <v>242476000</v>
      </c>
      <c r="K43" s="168">
        <v>26084773</v>
      </c>
      <c r="L43" s="169">
        <f>SUM(D43:K43)</f>
        <v>277751773</v>
      </c>
      <c r="N43" s="799"/>
    </row>
    <row r="44" spans="1:12" ht="12.75">
      <c r="A44" s="170"/>
      <c r="B44" s="404"/>
      <c r="C44" s="53" t="s">
        <v>145</v>
      </c>
      <c r="D44" s="171">
        <v>4803000</v>
      </c>
      <c r="E44" s="171"/>
      <c r="F44" s="171">
        <v>5116000</v>
      </c>
      <c r="G44" s="171"/>
      <c r="H44" s="171"/>
      <c r="I44" s="172"/>
      <c r="J44" s="172">
        <v>243563000</v>
      </c>
      <c r="K44" s="172">
        <v>26084773</v>
      </c>
      <c r="L44" s="173">
        <f>SUM(D44:K44)</f>
        <v>279566773</v>
      </c>
    </row>
    <row r="45" spans="1:12" ht="13.5" thickBot="1">
      <c r="A45" s="174"/>
      <c r="B45" s="405"/>
      <c r="C45" s="92" t="s">
        <v>146</v>
      </c>
      <c r="D45" s="175">
        <f>814800+4342252</f>
        <v>5157052</v>
      </c>
      <c r="E45" s="175"/>
      <c r="F45" s="175">
        <v>5067802</v>
      </c>
      <c r="G45" s="175"/>
      <c r="H45" s="175"/>
      <c r="I45" s="176"/>
      <c r="J45" s="176">
        <v>243563000</v>
      </c>
      <c r="K45" s="176">
        <v>26084773</v>
      </c>
      <c r="L45" s="177">
        <f>SUM(D45:K45)</f>
        <v>279872627</v>
      </c>
    </row>
    <row r="47" ht="12.75">
      <c r="J47" s="726"/>
    </row>
    <row r="48" ht="12.75">
      <c r="G48" s="737"/>
    </row>
    <row r="49" spans="6:10" ht="12.75">
      <c r="F49" s="737"/>
      <c r="J49" s="726"/>
    </row>
    <row r="50" ht="12.75">
      <c r="J50" s="726"/>
    </row>
    <row r="52" ht="12.75">
      <c r="D52" s="737"/>
    </row>
    <row r="53" ht="12.75">
      <c r="J53" s="726"/>
    </row>
  </sheetData>
  <sheetProtection/>
  <mergeCells count="18">
    <mergeCell ref="I1:L1"/>
    <mergeCell ref="C25:E25"/>
    <mergeCell ref="C9:D9"/>
    <mergeCell ref="C26:D26"/>
    <mergeCell ref="B4:B7"/>
    <mergeCell ref="J4:K4"/>
    <mergeCell ref="I4:I7"/>
    <mergeCell ref="J5:J7"/>
    <mergeCell ref="C34:E34"/>
    <mergeCell ref="K3:L3"/>
    <mergeCell ref="D4:D7"/>
    <mergeCell ref="F4:F7"/>
    <mergeCell ref="G4:G7"/>
    <mergeCell ref="C21:D21"/>
    <mergeCell ref="C8:E8"/>
    <mergeCell ref="H4:H7"/>
    <mergeCell ref="E4:E7"/>
    <mergeCell ref="K5:K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604"/>
  <sheetViews>
    <sheetView view="pageBreakPreview" zoomScaleNormal="114" zoomScaleSheetLayoutView="100" workbookViewId="0" topLeftCell="A1">
      <selection activeCell="I366" sqref="I366"/>
    </sheetView>
  </sheetViews>
  <sheetFormatPr defaultColWidth="9.00390625" defaultRowHeight="12.75" customHeight="1"/>
  <cols>
    <col min="1" max="1" width="4.00390625" style="181" customWidth="1"/>
    <col min="2" max="2" width="3.375" style="182" customWidth="1"/>
    <col min="3" max="3" width="6.00390625" style="183" customWidth="1"/>
    <col min="4" max="4" width="32.75390625" style="182" customWidth="1"/>
    <col min="5" max="5" width="11.125" style="184" customWidth="1"/>
    <col min="6" max="6" width="10.75390625" style="184" customWidth="1"/>
    <col min="7" max="7" width="11.375" style="182" customWidth="1"/>
    <col min="8" max="9" width="10.75390625" style="184" customWidth="1"/>
    <col min="10" max="10" width="10.00390625" style="184" customWidth="1"/>
    <col min="11" max="11" width="10.75390625" style="184" customWidth="1"/>
    <col min="12" max="12" width="12.125" style="314" customWidth="1"/>
    <col min="13" max="13" width="12.25390625" style="184" customWidth="1"/>
    <col min="14" max="16" width="10.75390625" style="184" customWidth="1"/>
    <col min="17" max="17" width="13.75390625" style="314" customWidth="1"/>
    <col min="18" max="18" width="7.625" style="478" bestFit="1" customWidth="1"/>
    <col min="19" max="16384" width="9.125" style="15" customWidth="1"/>
  </cols>
  <sheetData>
    <row r="1" spans="12:18" ht="12.75" customHeight="1">
      <c r="L1" s="185"/>
      <c r="M1" s="1640" t="s">
        <v>1097</v>
      </c>
      <c r="N1" s="1640"/>
      <c r="O1" s="1640"/>
      <c r="P1" s="1640"/>
      <c r="Q1" s="1640"/>
      <c r="R1" s="1640"/>
    </row>
    <row r="2" spans="12:18" ht="12.75" customHeight="1">
      <c r="L2" s="185"/>
      <c r="M2" s="186"/>
      <c r="N2" s="186"/>
      <c r="O2" s="186"/>
      <c r="P2" s="186"/>
      <c r="Q2" s="185"/>
      <c r="R2" s="463"/>
    </row>
    <row r="3" spans="12:18" ht="5.25" customHeight="1">
      <c r="L3" s="185"/>
      <c r="M3" s="186"/>
      <c r="N3" s="186"/>
      <c r="O3" s="186"/>
      <c r="P3" s="186"/>
      <c r="Q3" s="185"/>
      <c r="R3" s="463"/>
    </row>
    <row r="4" spans="12:18" ht="12.75" customHeight="1" thickBot="1">
      <c r="L4" s="185"/>
      <c r="M4" s="186"/>
      <c r="N4" s="186"/>
      <c r="O4" s="186"/>
      <c r="P4" s="186"/>
      <c r="Q4" s="978" t="s">
        <v>875</v>
      </c>
      <c r="R4" s="464"/>
    </row>
    <row r="5" spans="1:18" s="315" customFormat="1" ht="32.25" customHeight="1">
      <c r="A5" s="1624" t="s">
        <v>32</v>
      </c>
      <c r="B5" s="1625"/>
      <c r="C5" s="1575" t="s">
        <v>186</v>
      </c>
      <c r="D5" s="32" t="s">
        <v>35</v>
      </c>
      <c r="E5" s="32" t="s">
        <v>36</v>
      </c>
      <c r="F5" s="34" t="s">
        <v>150</v>
      </c>
      <c r="G5" s="32" t="s">
        <v>37</v>
      </c>
      <c r="H5" s="504" t="s">
        <v>38</v>
      </c>
      <c r="I5" s="1641" t="s">
        <v>86</v>
      </c>
      <c r="J5" s="1642"/>
      <c r="K5" s="1643"/>
      <c r="L5" s="32" t="s">
        <v>15</v>
      </c>
      <c r="M5" s="32" t="s">
        <v>39</v>
      </c>
      <c r="N5" s="1613" t="s">
        <v>30</v>
      </c>
      <c r="O5" s="1614"/>
      <c r="P5" s="1615"/>
      <c r="Q5" s="32" t="s">
        <v>22</v>
      </c>
      <c r="R5" s="465" t="s">
        <v>40</v>
      </c>
    </row>
    <row r="6" spans="1:18" s="315" customFormat="1" ht="32.25" customHeight="1">
      <c r="A6" s="1626" t="s">
        <v>41</v>
      </c>
      <c r="B6" s="1627"/>
      <c r="C6" s="1576"/>
      <c r="D6" s="36" t="s">
        <v>42</v>
      </c>
      <c r="E6" s="36" t="s">
        <v>87</v>
      </c>
      <c r="F6" s="35" t="s">
        <v>114</v>
      </c>
      <c r="G6" s="36" t="s">
        <v>43</v>
      </c>
      <c r="H6" s="505" t="s">
        <v>44</v>
      </c>
      <c r="I6" s="1636" t="s">
        <v>194</v>
      </c>
      <c r="J6" s="1608" t="s">
        <v>195</v>
      </c>
      <c r="K6" s="1636" t="s">
        <v>149</v>
      </c>
      <c r="L6" s="35" t="s">
        <v>45</v>
      </c>
      <c r="M6" s="36" t="s">
        <v>46</v>
      </c>
      <c r="N6" s="1608" t="s">
        <v>194</v>
      </c>
      <c r="O6" s="1608" t="s">
        <v>195</v>
      </c>
      <c r="P6" s="1608" t="s">
        <v>149</v>
      </c>
      <c r="Q6" s="36" t="s">
        <v>2</v>
      </c>
      <c r="R6" s="466" t="s">
        <v>47</v>
      </c>
    </row>
    <row r="7" spans="1:18" s="315" customFormat="1" ht="21" customHeight="1" thickBot="1">
      <c r="A7" s="1628" t="s">
        <v>48</v>
      </c>
      <c r="B7" s="1629"/>
      <c r="C7" s="1577"/>
      <c r="D7" s="33"/>
      <c r="E7" s="33"/>
      <c r="F7" s="37" t="s">
        <v>148</v>
      </c>
      <c r="G7" s="33" t="s">
        <v>53</v>
      </c>
      <c r="H7" s="506" t="s">
        <v>88</v>
      </c>
      <c r="I7" s="1616"/>
      <c r="J7" s="1609"/>
      <c r="K7" s="1609"/>
      <c r="L7" s="33" t="s">
        <v>2</v>
      </c>
      <c r="M7" s="33" t="s">
        <v>49</v>
      </c>
      <c r="N7" s="1616"/>
      <c r="O7" s="1609"/>
      <c r="P7" s="1609"/>
      <c r="Q7" s="33"/>
      <c r="R7" s="467"/>
    </row>
    <row r="8" spans="1:18" ht="11.25" customHeight="1">
      <c r="A8" s="193" t="s">
        <v>3</v>
      </c>
      <c r="B8" s="194"/>
      <c r="C8" s="195"/>
      <c r="D8" s="196" t="s">
        <v>154</v>
      </c>
      <c r="E8" s="349"/>
      <c r="F8" s="349"/>
      <c r="G8" s="194"/>
      <c r="H8" s="349"/>
      <c r="I8" s="349"/>
      <c r="J8" s="349"/>
      <c r="K8" s="349"/>
      <c r="L8" s="284"/>
      <c r="M8" s="350"/>
      <c r="N8" s="350"/>
      <c r="O8" s="350"/>
      <c r="P8" s="350"/>
      <c r="Q8" s="200"/>
      <c r="R8" s="358"/>
    </row>
    <row r="9" spans="1:18" ht="11.25" customHeight="1">
      <c r="A9" s="193"/>
      <c r="B9" s="194"/>
      <c r="C9" s="195"/>
      <c r="D9" s="155" t="s">
        <v>144</v>
      </c>
      <c r="E9" s="194">
        <f>E13+E17</f>
        <v>151360000</v>
      </c>
      <c r="F9" s="194">
        <f aca="true" t="shared" si="0" ref="F9:K9">F13+F17</f>
        <v>35233000</v>
      </c>
      <c r="G9" s="194">
        <f t="shared" si="0"/>
        <v>63819300</v>
      </c>
      <c r="H9" s="194">
        <f t="shared" si="0"/>
        <v>180000</v>
      </c>
      <c r="I9" s="194">
        <f t="shared" si="0"/>
        <v>0</v>
      </c>
      <c r="J9" s="194">
        <f t="shared" si="0"/>
        <v>6103882</v>
      </c>
      <c r="K9" s="194">
        <f t="shared" si="0"/>
        <v>0</v>
      </c>
      <c r="L9" s="220">
        <f>SUM(E9:K9)</f>
        <v>256696182</v>
      </c>
      <c r="M9" s="194">
        <f>M13+M17</f>
        <v>0</v>
      </c>
      <c r="N9" s="194">
        <f aca="true" t="shared" si="1" ref="N9:R11">N13+N17</f>
        <v>0</v>
      </c>
      <c r="O9" s="194">
        <f t="shared" si="1"/>
        <v>0</v>
      </c>
      <c r="P9" s="194">
        <f t="shared" si="1"/>
        <v>0</v>
      </c>
      <c r="Q9" s="200">
        <f t="shared" si="1"/>
        <v>256696182</v>
      </c>
      <c r="R9" s="358">
        <f t="shared" si="1"/>
        <v>56.25</v>
      </c>
    </row>
    <row r="10" spans="1:18" ht="11.25" customHeight="1">
      <c r="A10" s="193"/>
      <c r="B10" s="194"/>
      <c r="C10" s="195"/>
      <c r="D10" s="155" t="s">
        <v>145</v>
      </c>
      <c r="E10" s="194">
        <f>E14+E18+E22</f>
        <v>175676005</v>
      </c>
      <c r="F10" s="194">
        <f aca="true" t="shared" si="2" ref="F10:K10">F14+F18+F22</f>
        <v>41387115</v>
      </c>
      <c r="G10" s="194">
        <f t="shared" si="2"/>
        <v>79554299</v>
      </c>
      <c r="H10" s="194">
        <f t="shared" si="2"/>
        <v>180000</v>
      </c>
      <c r="I10" s="194">
        <f t="shared" si="2"/>
        <v>0</v>
      </c>
      <c r="J10" s="194">
        <f t="shared" si="2"/>
        <v>6103882</v>
      </c>
      <c r="K10" s="194">
        <f t="shared" si="2"/>
        <v>0</v>
      </c>
      <c r="L10" s="220">
        <f>SUM(E10:K10)</f>
        <v>302901301</v>
      </c>
      <c r="M10" s="194">
        <f>M14+M18+M22</f>
        <v>2655855</v>
      </c>
      <c r="N10" s="194">
        <f t="shared" si="1"/>
        <v>0</v>
      </c>
      <c r="O10" s="194">
        <f t="shared" si="1"/>
        <v>0</v>
      </c>
      <c r="P10" s="194">
        <f t="shared" si="1"/>
        <v>0</v>
      </c>
      <c r="Q10" s="200">
        <f>Q14+Q18+Q22</f>
        <v>305557156</v>
      </c>
      <c r="R10" s="358">
        <f>R14+R18+R22</f>
        <v>58.5</v>
      </c>
    </row>
    <row r="11" spans="1:18" ht="11.25" customHeight="1">
      <c r="A11" s="193"/>
      <c r="B11" s="194"/>
      <c r="C11" s="195"/>
      <c r="D11" s="155" t="s">
        <v>146</v>
      </c>
      <c r="E11" s="194">
        <f>E15+E19+E23</f>
        <v>156894989</v>
      </c>
      <c r="F11" s="194">
        <f aca="true" t="shared" si="3" ref="F11:K11">F15+F19+F23</f>
        <v>36903466</v>
      </c>
      <c r="G11" s="194">
        <f t="shared" si="3"/>
        <v>63595169</v>
      </c>
      <c r="H11" s="194">
        <f t="shared" si="3"/>
        <v>180000</v>
      </c>
      <c r="I11" s="194">
        <f t="shared" si="3"/>
        <v>0</v>
      </c>
      <c r="J11" s="194">
        <f t="shared" si="3"/>
        <v>6103882</v>
      </c>
      <c r="K11" s="194">
        <f t="shared" si="3"/>
        <v>0</v>
      </c>
      <c r="L11" s="220">
        <f>SUM(E11:K11)</f>
        <v>263677506</v>
      </c>
      <c r="M11" s="194">
        <f>M15+M19+M23</f>
        <v>2655855</v>
      </c>
      <c r="N11" s="194">
        <f t="shared" si="1"/>
        <v>0</v>
      </c>
      <c r="O11" s="194">
        <f t="shared" si="1"/>
        <v>0</v>
      </c>
      <c r="P11" s="194">
        <f t="shared" si="1"/>
        <v>0</v>
      </c>
      <c r="Q11" s="200">
        <f>Q15+Q19+Q23</f>
        <v>266333361</v>
      </c>
      <c r="R11" s="358">
        <f>R15+R19+R23</f>
        <v>56</v>
      </c>
    </row>
    <row r="12" spans="1:18" s="20" customFormat="1" ht="12.75" customHeight="1">
      <c r="A12" s="377"/>
      <c r="B12" s="378" t="s">
        <v>3</v>
      </c>
      <c r="C12" s="379" t="s">
        <v>106</v>
      </c>
      <c r="D12" s="372" t="s">
        <v>169</v>
      </c>
      <c r="E12" s="380"/>
      <c r="F12" s="381"/>
      <c r="G12" s="380"/>
      <c r="H12" s="381"/>
      <c r="I12" s="381"/>
      <c r="J12" s="381"/>
      <c r="K12" s="381"/>
      <c r="L12" s="374"/>
      <c r="M12" s="381"/>
      <c r="N12" s="381"/>
      <c r="O12" s="381"/>
      <c r="P12" s="381"/>
      <c r="Q12" s="382"/>
      <c r="R12" s="384"/>
    </row>
    <row r="13" spans="1:18" s="20" customFormat="1" ht="10.5" customHeight="1">
      <c r="A13" s="377"/>
      <c r="B13" s="378"/>
      <c r="C13" s="379"/>
      <c r="D13" s="375" t="s">
        <v>144</v>
      </c>
      <c r="E13" s="380">
        <v>82787000</v>
      </c>
      <c r="F13" s="381">
        <v>19184000</v>
      </c>
      <c r="G13" s="380">
        <v>18419300</v>
      </c>
      <c r="H13" s="381"/>
      <c r="I13" s="381"/>
      <c r="J13" s="381">
        <v>6103882</v>
      </c>
      <c r="K13" s="381"/>
      <c r="L13" s="373">
        <f>SUM(E13:K13)</f>
        <v>126494182</v>
      </c>
      <c r="M13" s="381"/>
      <c r="N13" s="381"/>
      <c r="O13" s="381"/>
      <c r="P13" s="381"/>
      <c r="Q13" s="380">
        <f>SUM(L13:P13)</f>
        <v>126494182</v>
      </c>
      <c r="R13" s="384">
        <v>32.5</v>
      </c>
    </row>
    <row r="14" spans="1:18" s="20" customFormat="1" ht="10.5" customHeight="1">
      <c r="A14" s="377"/>
      <c r="B14" s="378"/>
      <c r="C14" s="379"/>
      <c r="D14" s="375" t="s">
        <v>145</v>
      </c>
      <c r="E14" s="392">
        <v>87688644</v>
      </c>
      <c r="F14" s="392">
        <v>20286801</v>
      </c>
      <c r="G14" s="392">
        <v>20641289</v>
      </c>
      <c r="H14" s="392"/>
      <c r="I14" s="392"/>
      <c r="J14" s="392">
        <v>6103882</v>
      </c>
      <c r="K14" s="381"/>
      <c r="L14" s="373">
        <f>SUM(E14:K14)</f>
        <v>134720616</v>
      </c>
      <c r="M14" s="381"/>
      <c r="N14" s="381"/>
      <c r="O14" s="381"/>
      <c r="P14" s="381"/>
      <c r="Q14" s="380">
        <f aca="true" t="shared" si="4" ref="Q14:Q39">SUM(L14:P14)</f>
        <v>134720616</v>
      </c>
      <c r="R14" s="384">
        <v>32.5</v>
      </c>
    </row>
    <row r="15" spans="1:18" s="20" customFormat="1" ht="10.5" customHeight="1">
      <c r="A15" s="377"/>
      <c r="B15" s="378"/>
      <c r="C15" s="379"/>
      <c r="D15" s="375" t="s">
        <v>146</v>
      </c>
      <c r="E15" s="380">
        <f>156894989-E19-E23</f>
        <v>86072197</v>
      </c>
      <c r="F15" s="381">
        <f>36903466-F19-F23</f>
        <v>20172947</v>
      </c>
      <c r="G15" s="380">
        <f>63595169-G19-G23</f>
        <v>18165463</v>
      </c>
      <c r="H15" s="381"/>
      <c r="I15" s="381"/>
      <c r="J15" s="381">
        <v>6103882</v>
      </c>
      <c r="K15" s="381"/>
      <c r="L15" s="373">
        <f>SUM(E15:K15)</f>
        <v>130514489</v>
      </c>
      <c r="M15" s="381"/>
      <c r="N15" s="381"/>
      <c r="O15" s="381"/>
      <c r="P15" s="381"/>
      <c r="Q15" s="380">
        <f t="shared" si="4"/>
        <v>130514489</v>
      </c>
      <c r="R15" s="384">
        <v>30.25</v>
      </c>
    </row>
    <row r="16" spans="1:18" s="20" customFormat="1" ht="11.25" customHeight="1">
      <c r="A16" s="377"/>
      <c r="B16" s="378" t="s">
        <v>4</v>
      </c>
      <c r="C16" s="379" t="s">
        <v>107</v>
      </c>
      <c r="D16" s="383" t="s">
        <v>147</v>
      </c>
      <c r="E16" s="380"/>
      <c r="F16" s="381"/>
      <c r="G16" s="380"/>
      <c r="H16" s="381"/>
      <c r="I16" s="381"/>
      <c r="J16" s="381"/>
      <c r="K16" s="381"/>
      <c r="L16" s="373"/>
      <c r="M16" s="381"/>
      <c r="N16" s="381"/>
      <c r="O16" s="381"/>
      <c r="P16" s="381"/>
      <c r="Q16" s="380"/>
      <c r="R16" s="384"/>
    </row>
    <row r="17" spans="1:18" s="20" customFormat="1" ht="11.25" customHeight="1">
      <c r="A17" s="377"/>
      <c r="B17" s="378"/>
      <c r="C17" s="379"/>
      <c r="D17" s="375" t="s">
        <v>144</v>
      </c>
      <c r="E17" s="380">
        <v>68573000</v>
      </c>
      <c r="F17" s="381">
        <v>16049000</v>
      </c>
      <c r="G17" s="380">
        <v>45400000</v>
      </c>
      <c r="H17" s="381">
        <v>180000</v>
      </c>
      <c r="I17" s="381"/>
      <c r="J17" s="381"/>
      <c r="K17" s="381"/>
      <c r="L17" s="373">
        <f>SUM(E17:K17)</f>
        <v>130202000</v>
      </c>
      <c r="M17" s="381"/>
      <c r="N17" s="381"/>
      <c r="O17" s="381"/>
      <c r="P17" s="381"/>
      <c r="Q17" s="380">
        <f t="shared" si="4"/>
        <v>130202000</v>
      </c>
      <c r="R17" s="384">
        <v>23.75</v>
      </c>
    </row>
    <row r="18" spans="1:18" s="20" customFormat="1" ht="11.25" customHeight="1">
      <c r="A18" s="377"/>
      <c r="B18" s="378"/>
      <c r="C18" s="379"/>
      <c r="D18" s="375" t="s">
        <v>145</v>
      </c>
      <c r="E18" s="380">
        <v>69139861</v>
      </c>
      <c r="F18" s="381">
        <v>16119704</v>
      </c>
      <c r="G18" s="380">
        <v>45400000</v>
      </c>
      <c r="H18" s="381">
        <v>180000</v>
      </c>
      <c r="I18" s="381"/>
      <c r="J18" s="381"/>
      <c r="K18" s="381"/>
      <c r="L18" s="373">
        <f>SUM(E18:K18)</f>
        <v>130839565</v>
      </c>
      <c r="M18" s="381"/>
      <c r="N18" s="381"/>
      <c r="O18" s="381"/>
      <c r="P18" s="381"/>
      <c r="Q18" s="380">
        <f t="shared" si="4"/>
        <v>130839565</v>
      </c>
      <c r="R18" s="384">
        <v>24.25</v>
      </c>
    </row>
    <row r="19" spans="1:18" s="20" customFormat="1" ht="11.25" customHeight="1">
      <c r="A19" s="377"/>
      <c r="B19" s="378"/>
      <c r="C19" s="379"/>
      <c r="D19" s="375" t="s">
        <v>146</v>
      </c>
      <c r="E19" s="380">
        <v>67822882</v>
      </c>
      <c r="F19" s="381">
        <v>16119704</v>
      </c>
      <c r="G19" s="380">
        <v>40711832</v>
      </c>
      <c r="H19" s="381">
        <v>180000</v>
      </c>
      <c r="I19" s="381"/>
      <c r="J19" s="381"/>
      <c r="K19" s="381"/>
      <c r="L19" s="373">
        <f>SUM(E19:K19)</f>
        <v>124834418</v>
      </c>
      <c r="M19" s="381"/>
      <c r="N19" s="381"/>
      <c r="O19" s="381"/>
      <c r="P19" s="381"/>
      <c r="Q19" s="380">
        <f t="shared" si="4"/>
        <v>124834418</v>
      </c>
      <c r="R19" s="384">
        <v>24</v>
      </c>
    </row>
    <row r="20" spans="1:18" s="20" customFormat="1" ht="27.75" customHeight="1">
      <c r="A20" s="377"/>
      <c r="B20" s="378" t="s">
        <v>5</v>
      </c>
      <c r="C20" s="379" t="s">
        <v>107</v>
      </c>
      <c r="D20" s="1321" t="s">
        <v>878</v>
      </c>
      <c r="E20" s="380"/>
      <c r="F20" s="381"/>
      <c r="G20" s="380"/>
      <c r="H20" s="381"/>
      <c r="I20" s="381"/>
      <c r="J20" s="381"/>
      <c r="K20" s="381"/>
      <c r="L20" s="373"/>
      <c r="M20" s="381"/>
      <c r="N20" s="381"/>
      <c r="O20" s="381"/>
      <c r="P20" s="381"/>
      <c r="Q20" s="380"/>
      <c r="R20" s="384"/>
    </row>
    <row r="21" spans="1:18" s="20" customFormat="1" ht="11.25" customHeight="1">
      <c r="A21" s="377"/>
      <c r="B21" s="378"/>
      <c r="C21" s="379"/>
      <c r="D21" s="375" t="s">
        <v>144</v>
      </c>
      <c r="E21" s="380">
        <v>0</v>
      </c>
      <c r="F21" s="381">
        <v>0</v>
      </c>
      <c r="G21" s="380">
        <v>0</v>
      </c>
      <c r="H21" s="381"/>
      <c r="I21" s="381"/>
      <c r="J21" s="381"/>
      <c r="K21" s="381"/>
      <c r="L21" s="373">
        <f>SUM(E21:K21)</f>
        <v>0</v>
      </c>
      <c r="M21" s="381">
        <v>0</v>
      </c>
      <c r="N21" s="381"/>
      <c r="O21" s="381"/>
      <c r="P21" s="381"/>
      <c r="Q21" s="380">
        <f>SUM(L21:P21)</f>
        <v>0</v>
      </c>
      <c r="R21" s="384">
        <v>0</v>
      </c>
    </row>
    <row r="22" spans="1:18" s="20" customFormat="1" ht="11.25" customHeight="1">
      <c r="A22" s="377"/>
      <c r="B22" s="378"/>
      <c r="C22" s="379"/>
      <c r="D22" s="375" t="s">
        <v>145</v>
      </c>
      <c r="E22" s="380">
        <v>18847500</v>
      </c>
      <c r="F22" s="381">
        <v>4980610</v>
      </c>
      <c r="G22" s="380">
        <v>13513010</v>
      </c>
      <c r="H22" s="381"/>
      <c r="I22" s="381"/>
      <c r="J22" s="381"/>
      <c r="K22" s="381"/>
      <c r="L22" s="373">
        <f>SUM(E22:K22)</f>
        <v>37341120</v>
      </c>
      <c r="M22" s="381">
        <v>2655855</v>
      </c>
      <c r="N22" s="381"/>
      <c r="O22" s="381"/>
      <c r="P22" s="381"/>
      <c r="Q22" s="380">
        <f>SUM(L22:P22)</f>
        <v>39996975</v>
      </c>
      <c r="R22" s="384">
        <v>1.75</v>
      </c>
    </row>
    <row r="23" spans="1:18" s="20" customFormat="1" ht="11.25" customHeight="1">
      <c r="A23" s="377"/>
      <c r="B23" s="378"/>
      <c r="C23" s="379"/>
      <c r="D23" s="375" t="s">
        <v>146</v>
      </c>
      <c r="E23" s="380">
        <v>2999910</v>
      </c>
      <c r="F23" s="381">
        <v>610815</v>
      </c>
      <c r="G23" s="380">
        <v>4717874</v>
      </c>
      <c r="H23" s="381"/>
      <c r="I23" s="381"/>
      <c r="J23" s="381"/>
      <c r="K23" s="381"/>
      <c r="L23" s="373">
        <f>SUM(E23:K23)</f>
        <v>8328599</v>
      </c>
      <c r="M23" s="381">
        <v>2655855</v>
      </c>
      <c r="N23" s="381"/>
      <c r="O23" s="381"/>
      <c r="P23" s="381"/>
      <c r="Q23" s="380">
        <f>SUM(L23:P23)</f>
        <v>10984454</v>
      </c>
      <c r="R23" s="384">
        <v>1.75</v>
      </c>
    </row>
    <row r="24" spans="1:18" ht="11.25" customHeight="1">
      <c r="A24" s="193" t="s">
        <v>4</v>
      </c>
      <c r="B24" s="199"/>
      <c r="C24" s="195" t="s">
        <v>106</v>
      </c>
      <c r="D24" s="196" t="s">
        <v>155</v>
      </c>
      <c r="E24" s="198"/>
      <c r="F24" s="198"/>
      <c r="G24" s="194"/>
      <c r="H24" s="198"/>
      <c r="I24" s="198"/>
      <c r="J24" s="198"/>
      <c r="K24" s="198"/>
      <c r="L24" s="220"/>
      <c r="M24" s="198"/>
      <c r="N24" s="198"/>
      <c r="O24" s="198"/>
      <c r="P24" s="198"/>
      <c r="Q24" s="200"/>
      <c r="R24" s="357"/>
    </row>
    <row r="25" spans="1:18" ht="11.25" customHeight="1">
      <c r="A25" s="193"/>
      <c r="B25" s="199"/>
      <c r="C25" s="195"/>
      <c r="D25" s="155" t="s">
        <v>144</v>
      </c>
      <c r="E25" s="198">
        <v>181271000</v>
      </c>
      <c r="F25" s="198">
        <v>40482221</v>
      </c>
      <c r="G25" s="194">
        <v>14707772</v>
      </c>
      <c r="H25" s="198"/>
      <c r="I25" s="198"/>
      <c r="J25" s="198">
        <v>6507621</v>
      </c>
      <c r="K25" s="198"/>
      <c r="L25" s="220">
        <f>SUM(E25:K25)</f>
        <v>242968614</v>
      </c>
      <c r="M25" s="198">
        <v>0</v>
      </c>
      <c r="N25" s="198"/>
      <c r="O25" s="198"/>
      <c r="P25" s="198"/>
      <c r="Q25" s="200">
        <f t="shared" si="4"/>
        <v>242968614</v>
      </c>
      <c r="R25" s="357">
        <v>55</v>
      </c>
    </row>
    <row r="26" spans="1:18" ht="11.25" customHeight="1">
      <c r="A26" s="193"/>
      <c r="B26" s="199"/>
      <c r="C26" s="195"/>
      <c r="D26" s="155" t="s">
        <v>145</v>
      </c>
      <c r="E26" s="198">
        <v>186557882</v>
      </c>
      <c r="F26" s="198">
        <v>44760879</v>
      </c>
      <c r="G26" s="194">
        <v>16496342</v>
      </c>
      <c r="H26" s="198"/>
      <c r="I26" s="198"/>
      <c r="J26" s="198">
        <v>6507621</v>
      </c>
      <c r="K26" s="198"/>
      <c r="L26" s="220">
        <f>SUM(E26:K26)</f>
        <v>254322724</v>
      </c>
      <c r="M26" s="198">
        <v>82000</v>
      </c>
      <c r="N26" s="198"/>
      <c r="O26" s="198"/>
      <c r="P26" s="198"/>
      <c r="Q26" s="200">
        <f t="shared" si="4"/>
        <v>254404724</v>
      </c>
      <c r="R26" s="357">
        <v>55</v>
      </c>
    </row>
    <row r="27" spans="1:18" ht="11.25" customHeight="1">
      <c r="A27" s="193"/>
      <c r="B27" s="199"/>
      <c r="C27" s="195"/>
      <c r="D27" s="155" t="s">
        <v>146</v>
      </c>
      <c r="E27" s="198">
        <v>185420682</v>
      </c>
      <c r="F27" s="198">
        <v>44211130</v>
      </c>
      <c r="G27" s="194">
        <v>16441772</v>
      </c>
      <c r="H27" s="198"/>
      <c r="I27" s="198"/>
      <c r="J27" s="198">
        <v>6507621</v>
      </c>
      <c r="K27" s="198"/>
      <c r="L27" s="220">
        <f>SUM(E27:K27)</f>
        <v>252581205</v>
      </c>
      <c r="M27" s="198">
        <v>82000</v>
      </c>
      <c r="N27" s="198"/>
      <c r="O27" s="198"/>
      <c r="P27" s="198"/>
      <c r="Q27" s="200">
        <f t="shared" si="4"/>
        <v>252663205</v>
      </c>
      <c r="R27" s="357">
        <v>62</v>
      </c>
    </row>
    <row r="28" spans="1:18" ht="11.25" customHeight="1">
      <c r="A28" s="193" t="s">
        <v>5</v>
      </c>
      <c r="B28" s="199"/>
      <c r="C28" s="195"/>
      <c r="D28" s="196" t="s">
        <v>59</v>
      </c>
      <c r="E28" s="198"/>
      <c r="F28" s="198"/>
      <c r="G28" s="198"/>
      <c r="H28" s="198"/>
      <c r="I28" s="198"/>
      <c r="J28" s="198"/>
      <c r="K28" s="198"/>
      <c r="L28" s="220"/>
      <c r="M28" s="198"/>
      <c r="N28" s="198"/>
      <c r="O28" s="198"/>
      <c r="P28" s="198"/>
      <c r="Q28" s="200"/>
      <c r="R28" s="357"/>
    </row>
    <row r="29" spans="1:18" ht="11.25" customHeight="1">
      <c r="A29" s="193"/>
      <c r="B29" s="199"/>
      <c r="C29" s="195"/>
      <c r="D29" s="155" t="s">
        <v>144</v>
      </c>
      <c r="E29" s="198">
        <f aca="true" t="shared" si="5" ref="E29:J29">E33+E37</f>
        <v>35953000</v>
      </c>
      <c r="F29" s="198">
        <f t="shared" si="5"/>
        <v>8081043</v>
      </c>
      <c r="G29" s="198">
        <f t="shared" si="5"/>
        <v>16464816</v>
      </c>
      <c r="H29" s="198"/>
      <c r="I29" s="198"/>
      <c r="J29" s="198">
        <f t="shared" si="5"/>
        <v>1290734</v>
      </c>
      <c r="K29" s="198">
        <f>K33+K37</f>
        <v>0</v>
      </c>
      <c r="L29" s="272">
        <f>L33+L37</f>
        <v>61789593</v>
      </c>
      <c r="M29" s="198">
        <f>M33+M37</f>
        <v>0</v>
      </c>
      <c r="N29" s="198"/>
      <c r="O29" s="198"/>
      <c r="P29" s="198"/>
      <c r="Q29" s="200">
        <f t="shared" si="4"/>
        <v>61789593</v>
      </c>
      <c r="R29" s="357">
        <f>R33+R37</f>
        <v>11</v>
      </c>
    </row>
    <row r="30" spans="1:18" ht="11.25" customHeight="1">
      <c r="A30" s="193"/>
      <c r="B30" s="199"/>
      <c r="C30" s="195"/>
      <c r="D30" s="155" t="s">
        <v>145</v>
      </c>
      <c r="E30" s="198">
        <f aca="true" t="shared" si="6" ref="E30:M30">E34+E38</f>
        <v>20755248</v>
      </c>
      <c r="F30" s="198">
        <f t="shared" si="6"/>
        <v>4778567</v>
      </c>
      <c r="G30" s="198">
        <f t="shared" si="6"/>
        <v>7990284</v>
      </c>
      <c r="H30" s="198"/>
      <c r="I30" s="198"/>
      <c r="J30" s="198">
        <f>J34</f>
        <v>1290734</v>
      </c>
      <c r="K30" s="198">
        <f t="shared" si="6"/>
        <v>0</v>
      </c>
      <c r="L30" s="272">
        <f t="shared" si="6"/>
        <v>34814833</v>
      </c>
      <c r="M30" s="198">
        <f t="shared" si="6"/>
        <v>848385</v>
      </c>
      <c r="N30" s="198"/>
      <c r="O30" s="198"/>
      <c r="P30" s="198"/>
      <c r="Q30" s="200">
        <f t="shared" si="4"/>
        <v>35663218</v>
      </c>
      <c r="R30" s="357">
        <f>R34+R38</f>
        <v>5</v>
      </c>
    </row>
    <row r="31" spans="1:18" ht="11.25" customHeight="1">
      <c r="A31" s="193"/>
      <c r="B31" s="199"/>
      <c r="C31" s="195"/>
      <c r="D31" s="155" t="s">
        <v>146</v>
      </c>
      <c r="E31" s="198">
        <f>E35+E39</f>
        <v>20064597</v>
      </c>
      <c r="F31" s="198">
        <f aca="true" t="shared" si="7" ref="F31:K31">F35+F39</f>
        <v>4595835</v>
      </c>
      <c r="G31" s="198">
        <f t="shared" si="7"/>
        <v>7462761</v>
      </c>
      <c r="H31" s="198"/>
      <c r="I31" s="198"/>
      <c r="J31" s="198">
        <f t="shared" si="7"/>
        <v>1290734</v>
      </c>
      <c r="K31" s="198">
        <f t="shared" si="7"/>
        <v>0</v>
      </c>
      <c r="L31" s="272">
        <f>L35+L39</f>
        <v>33413927</v>
      </c>
      <c r="M31" s="198">
        <f>M35</f>
        <v>848385</v>
      </c>
      <c r="N31" s="198"/>
      <c r="O31" s="198"/>
      <c r="P31" s="198"/>
      <c r="Q31" s="200">
        <f t="shared" si="4"/>
        <v>34262312</v>
      </c>
      <c r="R31" s="357">
        <f>R35+R39</f>
        <v>8</v>
      </c>
    </row>
    <row r="32" spans="1:18" s="20" customFormat="1" ht="11.25" customHeight="1">
      <c r="A32" s="377"/>
      <c r="B32" s="378" t="s">
        <v>3</v>
      </c>
      <c r="C32" s="379" t="s">
        <v>107</v>
      </c>
      <c r="D32" s="372" t="s">
        <v>740</v>
      </c>
      <c r="E32" s="381"/>
      <c r="F32" s="381"/>
      <c r="G32" s="380"/>
      <c r="H32" s="381"/>
      <c r="I32" s="381"/>
      <c r="J32" s="381"/>
      <c r="K32" s="381"/>
      <c r="L32" s="374"/>
      <c r="M32" s="381"/>
      <c r="N32" s="381"/>
      <c r="O32" s="381"/>
      <c r="P32" s="381"/>
      <c r="Q32" s="382"/>
      <c r="R32" s="384"/>
    </row>
    <row r="33" spans="1:18" s="20" customFormat="1" ht="11.25" customHeight="1">
      <c r="A33" s="377"/>
      <c r="B33" s="378"/>
      <c r="C33" s="379"/>
      <c r="D33" s="375" t="s">
        <v>144</v>
      </c>
      <c r="E33" s="381">
        <v>16227000</v>
      </c>
      <c r="F33" s="381">
        <v>3701043</v>
      </c>
      <c r="G33" s="380">
        <v>6099393</v>
      </c>
      <c r="H33" s="381"/>
      <c r="I33" s="381"/>
      <c r="J33" s="381">
        <v>1290734</v>
      </c>
      <c r="K33" s="381"/>
      <c r="L33" s="373">
        <f>SUM(E33:K33)</f>
        <v>27318170</v>
      </c>
      <c r="M33" s="381">
        <v>0</v>
      </c>
      <c r="N33" s="381"/>
      <c r="O33" s="381"/>
      <c r="P33" s="381"/>
      <c r="Q33" s="380">
        <f t="shared" si="4"/>
        <v>27318170</v>
      </c>
      <c r="R33" s="384">
        <v>5</v>
      </c>
    </row>
    <row r="34" spans="1:18" s="20" customFormat="1" ht="11.25" customHeight="1">
      <c r="A34" s="377"/>
      <c r="B34" s="378"/>
      <c r="C34" s="379"/>
      <c r="D34" s="375" t="s">
        <v>145</v>
      </c>
      <c r="E34" s="381">
        <v>14929248</v>
      </c>
      <c r="F34" s="381">
        <v>3448567</v>
      </c>
      <c r="G34" s="380">
        <v>6604861</v>
      </c>
      <c r="H34" s="381"/>
      <c r="I34" s="381"/>
      <c r="J34" s="381">
        <v>1290734</v>
      </c>
      <c r="K34" s="381"/>
      <c r="L34" s="373">
        <f>SUM(E34:K34)</f>
        <v>26273410</v>
      </c>
      <c r="M34" s="381">
        <v>848385</v>
      </c>
      <c r="N34" s="381"/>
      <c r="O34" s="381"/>
      <c r="P34" s="381"/>
      <c r="Q34" s="380">
        <f t="shared" si="4"/>
        <v>27121795</v>
      </c>
      <c r="R34" s="384">
        <v>5</v>
      </c>
    </row>
    <row r="35" spans="1:18" s="20" customFormat="1" ht="11.25" customHeight="1">
      <c r="A35" s="377"/>
      <c r="B35" s="378"/>
      <c r="C35" s="379"/>
      <c r="D35" s="375" t="s">
        <v>146</v>
      </c>
      <c r="E35" s="381">
        <f>20064597-E39</f>
        <v>14311761</v>
      </c>
      <c r="F35" s="381">
        <f>4595835-F39</f>
        <v>3271047</v>
      </c>
      <c r="G35" s="380">
        <f>7462761-G39</f>
        <v>6174798</v>
      </c>
      <c r="H35" s="381"/>
      <c r="I35" s="381"/>
      <c r="J35" s="381">
        <v>1290734</v>
      </c>
      <c r="K35" s="381"/>
      <c r="L35" s="373">
        <f>SUM(E35:K35)</f>
        <v>25048340</v>
      </c>
      <c r="M35" s="381">
        <v>848385</v>
      </c>
      <c r="N35" s="381"/>
      <c r="O35" s="381"/>
      <c r="P35" s="381"/>
      <c r="Q35" s="380">
        <f t="shared" si="4"/>
        <v>25896725</v>
      </c>
      <c r="R35" s="384">
        <v>5</v>
      </c>
    </row>
    <row r="36" spans="1:18" s="20" customFormat="1" ht="11.25" customHeight="1">
      <c r="A36" s="377"/>
      <c r="B36" s="378" t="s">
        <v>4</v>
      </c>
      <c r="C36" s="379" t="s">
        <v>107</v>
      </c>
      <c r="D36" s="383" t="s">
        <v>741</v>
      </c>
      <c r="E36" s="381"/>
      <c r="F36" s="381"/>
      <c r="G36" s="380"/>
      <c r="H36" s="381"/>
      <c r="I36" s="381"/>
      <c r="J36" s="381"/>
      <c r="K36" s="381"/>
      <c r="L36" s="373"/>
      <c r="M36" s="381"/>
      <c r="N36" s="381"/>
      <c r="O36" s="381"/>
      <c r="P36" s="381"/>
      <c r="Q36" s="380"/>
      <c r="R36" s="384"/>
    </row>
    <row r="37" spans="1:18" s="20" customFormat="1" ht="11.25" customHeight="1">
      <c r="A37" s="377"/>
      <c r="B37" s="378"/>
      <c r="C37" s="379"/>
      <c r="D37" s="375" t="s">
        <v>144</v>
      </c>
      <c r="E37" s="381">
        <v>19726000</v>
      </c>
      <c r="F37" s="381">
        <v>4380000</v>
      </c>
      <c r="G37" s="380">
        <v>10365423</v>
      </c>
      <c r="H37" s="381"/>
      <c r="I37" s="381"/>
      <c r="J37" s="381"/>
      <c r="K37" s="381"/>
      <c r="L37" s="373">
        <f>SUM(E37:K37)</f>
        <v>34471423</v>
      </c>
      <c r="M37" s="381"/>
      <c r="N37" s="381"/>
      <c r="O37" s="381"/>
      <c r="P37" s="381"/>
      <c r="Q37" s="380">
        <f t="shared" si="4"/>
        <v>34471423</v>
      </c>
      <c r="R37" s="384">
        <v>6</v>
      </c>
    </row>
    <row r="38" spans="1:18" s="20" customFormat="1" ht="11.25" customHeight="1">
      <c r="A38" s="377"/>
      <c r="B38" s="378"/>
      <c r="C38" s="379"/>
      <c r="D38" s="375" t="s">
        <v>145</v>
      </c>
      <c r="E38" s="381">
        <v>5826000</v>
      </c>
      <c r="F38" s="381">
        <v>1330000</v>
      </c>
      <c r="G38" s="380">
        <v>1385423</v>
      </c>
      <c r="H38" s="381"/>
      <c r="I38" s="381"/>
      <c r="J38" s="381"/>
      <c r="K38" s="381"/>
      <c r="L38" s="373">
        <f>SUM(E38:K38)</f>
        <v>8541423</v>
      </c>
      <c r="M38" s="381"/>
      <c r="N38" s="381"/>
      <c r="O38" s="381"/>
      <c r="P38" s="381"/>
      <c r="Q38" s="380">
        <f t="shared" si="4"/>
        <v>8541423</v>
      </c>
      <c r="R38" s="384">
        <v>0</v>
      </c>
    </row>
    <row r="39" spans="1:18" s="20" customFormat="1" ht="11.25" customHeight="1">
      <c r="A39" s="377"/>
      <c r="B39" s="378"/>
      <c r="C39" s="379"/>
      <c r="D39" s="375" t="s">
        <v>146</v>
      </c>
      <c r="E39" s="381">
        <v>5752836</v>
      </c>
      <c r="F39" s="381">
        <v>1324788</v>
      </c>
      <c r="G39" s="380">
        <v>1287963</v>
      </c>
      <c r="H39" s="381"/>
      <c r="I39" s="381"/>
      <c r="J39" s="381"/>
      <c r="K39" s="381"/>
      <c r="L39" s="373">
        <f>SUM(E39:K39)</f>
        <v>8365587</v>
      </c>
      <c r="M39" s="381"/>
      <c r="N39" s="381"/>
      <c r="O39" s="381"/>
      <c r="P39" s="381"/>
      <c r="Q39" s="380">
        <f t="shared" si="4"/>
        <v>8365587</v>
      </c>
      <c r="R39" s="384">
        <v>3</v>
      </c>
    </row>
    <row r="40" spans="1:18" ht="11.25" customHeight="1">
      <c r="A40" s="193" t="s">
        <v>6</v>
      </c>
      <c r="B40" s="199"/>
      <c r="C40" s="195" t="s">
        <v>106</v>
      </c>
      <c r="D40" s="196" t="s">
        <v>58</v>
      </c>
      <c r="E40" s="198"/>
      <c r="F40" s="198"/>
      <c r="G40" s="198"/>
      <c r="H40" s="198"/>
      <c r="I40" s="198"/>
      <c r="J40" s="198"/>
      <c r="K40" s="198"/>
      <c r="L40" s="220"/>
      <c r="M40" s="198"/>
      <c r="N40" s="198"/>
      <c r="O40" s="198"/>
      <c r="P40" s="197"/>
      <c r="Q40" s="243"/>
      <c r="R40" s="446"/>
    </row>
    <row r="41" spans="1:18" ht="11.25" customHeight="1">
      <c r="A41" s="193"/>
      <c r="B41" s="199"/>
      <c r="C41" s="195"/>
      <c r="D41" s="155" t="s">
        <v>144</v>
      </c>
      <c r="E41" s="198">
        <v>21360000</v>
      </c>
      <c r="F41" s="198">
        <v>4774000</v>
      </c>
      <c r="G41" s="198">
        <v>16762379</v>
      </c>
      <c r="H41" s="198"/>
      <c r="I41" s="198"/>
      <c r="J41" s="198">
        <v>1317216</v>
      </c>
      <c r="K41" s="198"/>
      <c r="L41" s="272">
        <f>SUM(E41:K41)</f>
        <v>44213595</v>
      </c>
      <c r="M41" s="198"/>
      <c r="N41" s="198"/>
      <c r="O41" s="198"/>
      <c r="P41" s="198"/>
      <c r="Q41" s="272">
        <f>SUM(L41:P41)</f>
        <v>44213595</v>
      </c>
      <c r="R41" s="357">
        <v>8</v>
      </c>
    </row>
    <row r="42" spans="1:18" ht="11.25" customHeight="1">
      <c r="A42" s="193"/>
      <c r="B42" s="199"/>
      <c r="C42" s="195"/>
      <c r="D42" s="155" t="s">
        <v>145</v>
      </c>
      <c r="E42" s="198">
        <v>21360000</v>
      </c>
      <c r="F42" s="198">
        <v>4774000</v>
      </c>
      <c r="G42" s="198">
        <v>16603689</v>
      </c>
      <c r="H42" s="198"/>
      <c r="I42" s="198"/>
      <c r="J42" s="198">
        <v>1317216</v>
      </c>
      <c r="K42" s="198"/>
      <c r="L42" s="272">
        <f>SUM(E42:K42)</f>
        <v>44054905</v>
      </c>
      <c r="M42" s="198"/>
      <c r="N42" s="198"/>
      <c r="O42" s="198"/>
      <c r="P42" s="198"/>
      <c r="Q42" s="272">
        <f>SUM(L42:P42)</f>
        <v>44054905</v>
      </c>
      <c r="R42" s="357">
        <v>8</v>
      </c>
    </row>
    <row r="43" spans="1:18" ht="11.25" customHeight="1" thickBot="1">
      <c r="A43" s="193"/>
      <c r="B43" s="199"/>
      <c r="C43" s="195"/>
      <c r="D43" s="155" t="s">
        <v>146</v>
      </c>
      <c r="E43" s="198">
        <v>21226147</v>
      </c>
      <c r="F43" s="198">
        <v>4729489</v>
      </c>
      <c r="G43" s="198">
        <v>15394058</v>
      </c>
      <c r="H43" s="198"/>
      <c r="I43" s="198"/>
      <c r="J43" s="198">
        <v>1317216</v>
      </c>
      <c r="K43" s="198"/>
      <c r="L43" s="272">
        <f>SUM(E43:K43)</f>
        <v>42666910</v>
      </c>
      <c r="M43" s="198"/>
      <c r="N43" s="198"/>
      <c r="O43" s="198"/>
      <c r="P43" s="198"/>
      <c r="Q43" s="220">
        <f>SUM(L43:P43)</f>
        <v>42666910</v>
      </c>
      <c r="R43" s="446">
        <v>8</v>
      </c>
    </row>
    <row r="44" spans="1:18" s="16" customFormat="1" ht="12.75" customHeight="1" thickBot="1" thickTop="1">
      <c r="A44" s="1620" t="s">
        <v>742</v>
      </c>
      <c r="B44" s="1621"/>
      <c r="C44" s="1621"/>
      <c r="D44" s="162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468"/>
    </row>
    <row r="45" spans="1:18" s="16" customFormat="1" ht="12.75" customHeight="1">
      <c r="A45" s="214"/>
      <c r="B45" s="187"/>
      <c r="C45" s="215"/>
      <c r="D45" s="365" t="s">
        <v>144</v>
      </c>
      <c r="E45" s="216">
        <f>E9+E25+E29+E41</f>
        <v>389944000</v>
      </c>
      <c r="F45" s="216">
        <f aca="true" t="shared" si="8" ref="F45:R45">F9+F25+F29+F41</f>
        <v>88570264</v>
      </c>
      <c r="G45" s="216">
        <f t="shared" si="8"/>
        <v>111754267</v>
      </c>
      <c r="H45" s="216">
        <f t="shared" si="8"/>
        <v>180000</v>
      </c>
      <c r="I45" s="216">
        <f t="shared" si="8"/>
        <v>0</v>
      </c>
      <c r="J45" s="216">
        <f t="shared" si="8"/>
        <v>15219453</v>
      </c>
      <c r="K45" s="216">
        <f t="shared" si="8"/>
        <v>0</v>
      </c>
      <c r="L45" s="216">
        <f t="shared" si="8"/>
        <v>605667984</v>
      </c>
      <c r="M45" s="216">
        <f t="shared" si="8"/>
        <v>0</v>
      </c>
      <c r="N45" s="216">
        <f t="shared" si="8"/>
        <v>0</v>
      </c>
      <c r="O45" s="216">
        <f t="shared" si="8"/>
        <v>0</v>
      </c>
      <c r="P45" s="216">
        <f t="shared" si="8"/>
        <v>0</v>
      </c>
      <c r="Q45" s="216">
        <f t="shared" si="8"/>
        <v>605667984</v>
      </c>
      <c r="R45" s="359">
        <f t="shared" si="8"/>
        <v>130.25</v>
      </c>
    </row>
    <row r="46" spans="1:18" s="16" customFormat="1" ht="12.75" customHeight="1">
      <c r="A46" s="217"/>
      <c r="B46" s="218"/>
      <c r="C46" s="219"/>
      <c r="D46" s="368" t="s">
        <v>145</v>
      </c>
      <c r="E46" s="220">
        <f>E10+E26+E30+E42</f>
        <v>404349135</v>
      </c>
      <c r="F46" s="220">
        <f aca="true" t="shared" si="9" ref="F46:R46">F10+F26+F30+F42</f>
        <v>95700561</v>
      </c>
      <c r="G46" s="220">
        <f t="shared" si="9"/>
        <v>120644614</v>
      </c>
      <c r="H46" s="220">
        <f t="shared" si="9"/>
        <v>180000</v>
      </c>
      <c r="I46" s="220">
        <f t="shared" si="9"/>
        <v>0</v>
      </c>
      <c r="J46" s="220">
        <f t="shared" si="9"/>
        <v>15219453</v>
      </c>
      <c r="K46" s="220">
        <f t="shared" si="9"/>
        <v>0</v>
      </c>
      <c r="L46" s="220">
        <f t="shared" si="9"/>
        <v>636093763</v>
      </c>
      <c r="M46" s="220">
        <f t="shared" si="9"/>
        <v>3586240</v>
      </c>
      <c r="N46" s="220">
        <f t="shared" si="9"/>
        <v>0</v>
      </c>
      <c r="O46" s="220">
        <f t="shared" si="9"/>
        <v>0</v>
      </c>
      <c r="P46" s="220">
        <f t="shared" si="9"/>
        <v>0</v>
      </c>
      <c r="Q46" s="220">
        <f t="shared" si="9"/>
        <v>639680003</v>
      </c>
      <c r="R46" s="446">
        <f t="shared" si="9"/>
        <v>126.5</v>
      </c>
    </row>
    <row r="47" spans="1:18" s="16" customFormat="1" ht="12.75" customHeight="1" thickBot="1">
      <c r="A47" s="301"/>
      <c r="B47" s="260"/>
      <c r="C47" s="302"/>
      <c r="D47" s="447" t="s">
        <v>146</v>
      </c>
      <c r="E47" s="222">
        <f>E11+E27+E31+E43</f>
        <v>383606415</v>
      </c>
      <c r="F47" s="222">
        <f aca="true" t="shared" si="10" ref="F47:Q47">F11+F27+F31+F43</f>
        <v>90439920</v>
      </c>
      <c r="G47" s="222">
        <f t="shared" si="10"/>
        <v>102893760</v>
      </c>
      <c r="H47" s="222">
        <f t="shared" si="10"/>
        <v>180000</v>
      </c>
      <c r="I47" s="222">
        <f t="shared" si="10"/>
        <v>0</v>
      </c>
      <c r="J47" s="222">
        <f t="shared" si="10"/>
        <v>15219453</v>
      </c>
      <c r="K47" s="222">
        <f t="shared" si="10"/>
        <v>0</v>
      </c>
      <c r="L47" s="222">
        <f t="shared" si="10"/>
        <v>592339548</v>
      </c>
      <c r="M47" s="222">
        <f t="shared" si="10"/>
        <v>3586240</v>
      </c>
      <c r="N47" s="222">
        <f t="shared" si="10"/>
        <v>0</v>
      </c>
      <c r="O47" s="222">
        <f t="shared" si="10"/>
        <v>0</v>
      </c>
      <c r="P47" s="222">
        <f t="shared" si="10"/>
        <v>0</v>
      </c>
      <c r="Q47" s="222">
        <f t="shared" si="10"/>
        <v>595925788</v>
      </c>
      <c r="R47" s="458">
        <f>R11+R27+R31+R43</f>
        <v>134</v>
      </c>
    </row>
    <row r="48" spans="1:18" s="22" customFormat="1" ht="11.25" customHeight="1">
      <c r="A48" s="1644" t="s">
        <v>153</v>
      </c>
      <c r="B48" s="1638"/>
      <c r="C48" s="1638"/>
      <c r="D48" s="1639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459"/>
    </row>
    <row r="49" spans="1:18" s="22" customFormat="1" ht="11.25" customHeight="1">
      <c r="A49" s="205"/>
      <c r="B49" s="218"/>
      <c r="C49" s="218"/>
      <c r="D49" s="363" t="s">
        <v>144</v>
      </c>
      <c r="E49" s="222">
        <f aca="true" t="shared" si="11" ref="E49:J49">E13+E25+E41</f>
        <v>285418000</v>
      </c>
      <c r="F49" s="222">
        <f t="shared" si="11"/>
        <v>64440221</v>
      </c>
      <c r="G49" s="222">
        <f t="shared" si="11"/>
        <v>49889451</v>
      </c>
      <c r="H49" s="222">
        <f t="shared" si="11"/>
        <v>0</v>
      </c>
      <c r="I49" s="222">
        <f t="shared" si="11"/>
        <v>0</v>
      </c>
      <c r="J49" s="222">
        <f t="shared" si="11"/>
        <v>13928719</v>
      </c>
      <c r="K49" s="222">
        <f aca="true" t="shared" si="12" ref="K49:R49">K13+K25+K41</f>
        <v>0</v>
      </c>
      <c r="L49" s="222">
        <f t="shared" si="12"/>
        <v>413676391</v>
      </c>
      <c r="M49" s="222">
        <f t="shared" si="12"/>
        <v>0</v>
      </c>
      <c r="N49" s="222">
        <f t="shared" si="12"/>
        <v>0</v>
      </c>
      <c r="O49" s="222">
        <f t="shared" si="12"/>
        <v>0</v>
      </c>
      <c r="P49" s="222">
        <f t="shared" si="12"/>
        <v>0</v>
      </c>
      <c r="Q49" s="222">
        <f t="shared" si="12"/>
        <v>413676391</v>
      </c>
      <c r="R49" s="458">
        <f t="shared" si="12"/>
        <v>95.5</v>
      </c>
    </row>
    <row r="50" spans="1:18" s="22" customFormat="1" ht="11.25" customHeight="1">
      <c r="A50" s="205"/>
      <c r="B50" s="218"/>
      <c r="C50" s="218"/>
      <c r="D50" s="363" t="s">
        <v>145</v>
      </c>
      <c r="E50" s="220">
        <f>E14+E26+E42</f>
        <v>295606526</v>
      </c>
      <c r="F50" s="220">
        <f aca="true" t="shared" si="13" ref="F50:K50">F14+F26+F42</f>
        <v>69821680</v>
      </c>
      <c r="G50" s="220">
        <f t="shared" si="13"/>
        <v>53741320</v>
      </c>
      <c r="H50" s="220">
        <f t="shared" si="13"/>
        <v>0</v>
      </c>
      <c r="I50" s="220">
        <f t="shared" si="13"/>
        <v>0</v>
      </c>
      <c r="J50" s="220">
        <f t="shared" si="13"/>
        <v>13928719</v>
      </c>
      <c r="K50" s="220">
        <f t="shared" si="13"/>
        <v>0</v>
      </c>
      <c r="L50" s="220">
        <f>L14+L26+L42</f>
        <v>433098245</v>
      </c>
      <c r="M50" s="220">
        <f>M13+M26+M42</f>
        <v>82000</v>
      </c>
      <c r="N50" s="220">
        <f>N13+N26+N42</f>
        <v>0</v>
      </c>
      <c r="O50" s="220">
        <f>O13+O26+O42</f>
        <v>0</v>
      </c>
      <c r="P50" s="220">
        <f>P13+P26+P42</f>
        <v>0</v>
      </c>
      <c r="Q50" s="220">
        <f>Q14+Q26+Q42</f>
        <v>433180245</v>
      </c>
      <c r="R50" s="446">
        <f>R14+R26+R42</f>
        <v>95.5</v>
      </c>
    </row>
    <row r="51" spans="1:18" s="22" customFormat="1" ht="11.25" customHeight="1" thickBot="1">
      <c r="A51" s="244"/>
      <c r="B51" s="260"/>
      <c r="C51" s="260"/>
      <c r="D51" s="365" t="s">
        <v>146</v>
      </c>
      <c r="E51" s="222">
        <f>E15+E27+E43</f>
        <v>292719026</v>
      </c>
      <c r="F51" s="222">
        <f aca="true" t="shared" si="14" ref="F51:K51">F15+F27+F43</f>
        <v>69113566</v>
      </c>
      <c r="G51" s="222">
        <f t="shared" si="14"/>
        <v>50001293</v>
      </c>
      <c r="H51" s="222">
        <f t="shared" si="14"/>
        <v>0</v>
      </c>
      <c r="I51" s="222">
        <f t="shared" si="14"/>
        <v>0</v>
      </c>
      <c r="J51" s="222">
        <f t="shared" si="14"/>
        <v>13928719</v>
      </c>
      <c r="K51" s="222">
        <f t="shared" si="14"/>
        <v>0</v>
      </c>
      <c r="L51" s="222">
        <f>L15+L27+L43</f>
        <v>425762604</v>
      </c>
      <c r="M51" s="222">
        <f>M15+M27+M43</f>
        <v>82000</v>
      </c>
      <c r="N51" s="222">
        <f>N15+N27+N43</f>
        <v>0</v>
      </c>
      <c r="O51" s="222">
        <f>O15+O27+O43</f>
        <v>0</v>
      </c>
      <c r="P51" s="222">
        <f>P15+P27+P43</f>
        <v>0</v>
      </c>
      <c r="Q51" s="222">
        <f>Q15+Q27+Q43</f>
        <v>425844604</v>
      </c>
      <c r="R51" s="458">
        <f>R15+R27+R43</f>
        <v>100.25</v>
      </c>
    </row>
    <row r="52" spans="1:18" s="22" customFormat="1" ht="10.5" customHeight="1">
      <c r="A52" s="1637" t="s">
        <v>151</v>
      </c>
      <c r="B52" s="1638"/>
      <c r="C52" s="1638"/>
      <c r="D52" s="1639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459"/>
    </row>
    <row r="53" spans="1:18" s="22" customFormat="1" ht="10.5" customHeight="1">
      <c r="A53" s="217"/>
      <c r="B53" s="218"/>
      <c r="C53" s="219"/>
      <c r="D53" s="368" t="s">
        <v>144</v>
      </c>
      <c r="E53" s="220">
        <f>E17+E29</f>
        <v>104526000</v>
      </c>
      <c r="F53" s="220">
        <f aca="true" t="shared" si="15" ref="F53:R53">F17+F29</f>
        <v>24130043</v>
      </c>
      <c r="G53" s="220">
        <f t="shared" si="15"/>
        <v>61864816</v>
      </c>
      <c r="H53" s="220">
        <f t="shared" si="15"/>
        <v>180000</v>
      </c>
      <c r="I53" s="220">
        <f t="shared" si="15"/>
        <v>0</v>
      </c>
      <c r="J53" s="220">
        <f t="shared" si="15"/>
        <v>1290734</v>
      </c>
      <c r="K53" s="220">
        <f t="shared" si="15"/>
        <v>0</v>
      </c>
      <c r="L53" s="220">
        <f>SUM(E53:K53)</f>
        <v>191991593</v>
      </c>
      <c r="M53" s="220">
        <f t="shared" si="15"/>
        <v>0</v>
      </c>
      <c r="N53" s="220">
        <f t="shared" si="15"/>
        <v>0</v>
      </c>
      <c r="O53" s="220">
        <f t="shared" si="15"/>
        <v>0</v>
      </c>
      <c r="P53" s="220">
        <f t="shared" si="15"/>
        <v>0</v>
      </c>
      <c r="Q53" s="220">
        <f t="shared" si="15"/>
        <v>191991593</v>
      </c>
      <c r="R53" s="446">
        <f t="shared" si="15"/>
        <v>34.75</v>
      </c>
    </row>
    <row r="54" spans="1:18" s="22" customFormat="1" ht="10.5" customHeight="1">
      <c r="A54" s="217"/>
      <c r="B54" s="218"/>
      <c r="C54" s="219"/>
      <c r="D54" s="368" t="s">
        <v>145</v>
      </c>
      <c r="E54" s="220">
        <f>E18+E30+E22</f>
        <v>108742609</v>
      </c>
      <c r="F54" s="220">
        <f aca="true" t="shared" si="16" ref="F54:K54">F18+F30+F22</f>
        <v>25878881</v>
      </c>
      <c r="G54" s="220">
        <f t="shared" si="16"/>
        <v>66903294</v>
      </c>
      <c r="H54" s="220">
        <f t="shared" si="16"/>
        <v>180000</v>
      </c>
      <c r="I54" s="220">
        <f t="shared" si="16"/>
        <v>0</v>
      </c>
      <c r="J54" s="220">
        <f t="shared" si="16"/>
        <v>1290734</v>
      </c>
      <c r="K54" s="220">
        <f t="shared" si="16"/>
        <v>0</v>
      </c>
      <c r="L54" s="220">
        <f>SUM(E54:K54)</f>
        <v>202995518</v>
      </c>
      <c r="M54" s="220">
        <f>M18+M30+M22</f>
        <v>3504240</v>
      </c>
      <c r="N54" s="220">
        <f aca="true" t="shared" si="17" ref="N54:P55">N18+N30</f>
        <v>0</v>
      </c>
      <c r="O54" s="220">
        <f t="shared" si="17"/>
        <v>0</v>
      </c>
      <c r="P54" s="220">
        <f t="shared" si="17"/>
        <v>0</v>
      </c>
      <c r="Q54" s="220">
        <f>SUM(L54:P54)</f>
        <v>206499758</v>
      </c>
      <c r="R54" s="446">
        <f>R18+R30</f>
        <v>29.25</v>
      </c>
    </row>
    <row r="55" spans="1:18" s="22" customFormat="1" ht="10.5" customHeight="1" thickBot="1">
      <c r="A55" s="455"/>
      <c r="B55" s="452"/>
      <c r="C55" s="456"/>
      <c r="D55" s="453" t="s">
        <v>146</v>
      </c>
      <c r="E55" s="252">
        <f>E19+E31+E23</f>
        <v>90887389</v>
      </c>
      <c r="F55" s="252">
        <f aca="true" t="shared" si="18" ref="F55:K55">F19+F31+F23</f>
        <v>21326354</v>
      </c>
      <c r="G55" s="252">
        <f t="shared" si="18"/>
        <v>52892467</v>
      </c>
      <c r="H55" s="252">
        <f t="shared" si="18"/>
        <v>180000</v>
      </c>
      <c r="I55" s="252">
        <f t="shared" si="18"/>
        <v>0</v>
      </c>
      <c r="J55" s="252">
        <f t="shared" si="18"/>
        <v>1290734</v>
      </c>
      <c r="K55" s="252">
        <f t="shared" si="18"/>
        <v>0</v>
      </c>
      <c r="L55" s="252">
        <f>SUM(E55:J55)</f>
        <v>166576944</v>
      </c>
      <c r="M55" s="252">
        <f>M19+M31+M23</f>
        <v>3504240</v>
      </c>
      <c r="N55" s="252">
        <f t="shared" si="17"/>
        <v>0</v>
      </c>
      <c r="O55" s="252">
        <f t="shared" si="17"/>
        <v>0</v>
      </c>
      <c r="P55" s="252">
        <f t="shared" si="17"/>
        <v>0</v>
      </c>
      <c r="Q55" s="252">
        <f>SUM(L55:P55)</f>
        <v>170081184</v>
      </c>
      <c r="R55" s="454">
        <f>R19+R31+R23</f>
        <v>33.75</v>
      </c>
    </row>
    <row r="56" spans="1:18" ht="12.75" customHeight="1" thickTop="1">
      <c r="A56" s="228" t="s">
        <v>7</v>
      </c>
      <c r="B56" s="229"/>
      <c r="C56" s="230"/>
      <c r="D56" s="231" t="s">
        <v>128</v>
      </c>
      <c r="E56" s="285"/>
      <c r="F56" s="285"/>
      <c r="G56" s="222"/>
      <c r="H56" s="285"/>
      <c r="I56" s="285"/>
      <c r="J56" s="285"/>
      <c r="K56" s="285"/>
      <c r="L56" s="285"/>
      <c r="M56" s="285"/>
      <c r="N56" s="285"/>
      <c r="O56" s="285"/>
      <c r="P56" s="285"/>
      <c r="Q56" s="222"/>
      <c r="R56" s="469"/>
    </row>
    <row r="57" spans="1:18" ht="12.75" customHeight="1">
      <c r="A57" s="205"/>
      <c r="B57" s="232"/>
      <c r="C57" s="233"/>
      <c r="D57" s="157" t="s">
        <v>144</v>
      </c>
      <c r="E57" s="220">
        <f aca="true" t="shared" si="19" ref="E57:K58">E61+E73+E77+E81+E93</f>
        <v>169848000</v>
      </c>
      <c r="F57" s="220">
        <f t="shared" si="19"/>
        <v>41119000</v>
      </c>
      <c r="G57" s="220">
        <f t="shared" si="19"/>
        <v>40000000</v>
      </c>
      <c r="H57" s="220">
        <f t="shared" si="19"/>
        <v>700000</v>
      </c>
      <c r="I57" s="220">
        <f t="shared" si="19"/>
        <v>0</v>
      </c>
      <c r="J57" s="220">
        <f t="shared" si="19"/>
        <v>26084773</v>
      </c>
      <c r="K57" s="220">
        <f t="shared" si="19"/>
        <v>0</v>
      </c>
      <c r="L57" s="220">
        <f>SUM(E57:K57)</f>
        <v>277751773</v>
      </c>
      <c r="M57" s="220">
        <f>M61+M73+M77+M81+M93</f>
        <v>0</v>
      </c>
      <c r="N57" s="220">
        <f>N61+N65+N77+N81</f>
        <v>0</v>
      </c>
      <c r="O57" s="220"/>
      <c r="P57" s="220">
        <f>P61+P65+P77+P81</f>
        <v>0</v>
      </c>
      <c r="Q57" s="220">
        <f>SUM(L57:P57)</f>
        <v>277751773</v>
      </c>
      <c r="R57" s="446">
        <f>R61+R73+R77+R81+R93</f>
        <v>45</v>
      </c>
    </row>
    <row r="58" spans="1:18" ht="12.75" customHeight="1">
      <c r="A58" s="205"/>
      <c r="B58" s="232"/>
      <c r="C58" s="233"/>
      <c r="D58" s="155" t="s">
        <v>145</v>
      </c>
      <c r="E58" s="220">
        <f t="shared" si="19"/>
        <v>169889000</v>
      </c>
      <c r="F58" s="220">
        <f t="shared" si="19"/>
        <v>41165000</v>
      </c>
      <c r="G58" s="220">
        <f t="shared" si="19"/>
        <v>41728000</v>
      </c>
      <c r="H58" s="220">
        <f t="shared" si="19"/>
        <v>700000</v>
      </c>
      <c r="I58" s="220">
        <f t="shared" si="19"/>
        <v>0</v>
      </c>
      <c r="J58" s="220">
        <f t="shared" si="19"/>
        <v>26084773</v>
      </c>
      <c r="K58" s="220">
        <f t="shared" si="19"/>
        <v>0</v>
      </c>
      <c r="L58" s="220">
        <f>SUM(E58:K58)</f>
        <v>279566773</v>
      </c>
      <c r="M58" s="220">
        <f>M62+M74+M78+M82+M94</f>
        <v>0</v>
      </c>
      <c r="N58" s="220">
        <f>N62+N66+N78+N82</f>
        <v>0</v>
      </c>
      <c r="O58" s="220"/>
      <c r="P58" s="220">
        <f>P62+P66+P78+P82</f>
        <v>0</v>
      </c>
      <c r="Q58" s="220">
        <f>SUM(L58:P58)</f>
        <v>279566773</v>
      </c>
      <c r="R58" s="446">
        <f>R62+R74+R78+R82+R94</f>
        <v>45</v>
      </c>
    </row>
    <row r="59" spans="1:18" ht="12.75" customHeight="1">
      <c r="A59" s="205"/>
      <c r="B59" s="232"/>
      <c r="C59" s="233"/>
      <c r="D59" s="155" t="s">
        <v>146</v>
      </c>
      <c r="E59" s="220">
        <f>E63+E75+E79+E83+E95</f>
        <v>150721098</v>
      </c>
      <c r="F59" s="220">
        <f aca="true" t="shared" si="20" ref="F59:K59">F63+F75+F79+F83+F95</f>
        <v>36829327</v>
      </c>
      <c r="G59" s="220">
        <f t="shared" si="20"/>
        <v>33829870</v>
      </c>
      <c r="H59" s="220">
        <f t="shared" si="20"/>
        <v>0</v>
      </c>
      <c r="I59" s="220">
        <f t="shared" si="20"/>
        <v>0</v>
      </c>
      <c r="J59" s="220">
        <f t="shared" si="20"/>
        <v>26084773</v>
      </c>
      <c r="K59" s="220">
        <f t="shared" si="20"/>
        <v>0</v>
      </c>
      <c r="L59" s="220">
        <f>SUM(E59:K59)</f>
        <v>247465068</v>
      </c>
      <c r="M59" s="220">
        <f>M63+M75+M79+M83+M95</f>
        <v>0</v>
      </c>
      <c r="N59" s="220">
        <f>N63+N67+N79+N83</f>
        <v>0</v>
      </c>
      <c r="O59" s="220"/>
      <c r="P59" s="220">
        <f>P63+P67+P79+P83</f>
        <v>0</v>
      </c>
      <c r="Q59" s="220">
        <f>SUM(L59:P59)</f>
        <v>247465068</v>
      </c>
      <c r="R59" s="446">
        <f>R63+R75+R79+R83+R95</f>
        <v>42</v>
      </c>
    </row>
    <row r="60" spans="1:18" ht="11.25" customHeight="1">
      <c r="A60" s="234"/>
      <c r="B60" s="157" t="s">
        <v>157</v>
      </c>
      <c r="C60" s="207"/>
      <c r="D60" s="235" t="s">
        <v>65</v>
      </c>
      <c r="E60" s="197"/>
      <c r="F60" s="197"/>
      <c r="G60" s="197"/>
      <c r="H60" s="197"/>
      <c r="I60" s="197"/>
      <c r="J60" s="197"/>
      <c r="K60" s="197"/>
      <c r="L60" s="220"/>
      <c r="M60" s="197"/>
      <c r="N60" s="197"/>
      <c r="O60" s="197"/>
      <c r="P60" s="197"/>
      <c r="Q60" s="220"/>
      <c r="R60" s="446"/>
    </row>
    <row r="61" spans="1:18" ht="11.25" customHeight="1">
      <c r="A61" s="234"/>
      <c r="B61" s="206"/>
      <c r="C61" s="207"/>
      <c r="D61" s="155" t="s">
        <v>144</v>
      </c>
      <c r="E61" s="197">
        <f aca="true" t="shared" si="21" ref="E61:K61">E65+E69</f>
        <v>155222000</v>
      </c>
      <c r="F61" s="197">
        <f t="shared" si="21"/>
        <v>37712000</v>
      </c>
      <c r="G61" s="197">
        <f t="shared" si="21"/>
        <v>30700000</v>
      </c>
      <c r="H61" s="197">
        <f t="shared" si="21"/>
        <v>0</v>
      </c>
      <c r="I61" s="197">
        <f t="shared" si="21"/>
        <v>0</v>
      </c>
      <c r="J61" s="197">
        <f t="shared" si="21"/>
        <v>26084773</v>
      </c>
      <c r="K61" s="197">
        <f t="shared" si="21"/>
        <v>0</v>
      </c>
      <c r="L61" s="220">
        <f>SUM(E61:K61)</f>
        <v>249718773</v>
      </c>
      <c r="M61" s="197"/>
      <c r="N61" s="197"/>
      <c r="O61" s="197"/>
      <c r="P61" s="197"/>
      <c r="Q61" s="220">
        <f>SUM(L61:P61)</f>
        <v>249718773</v>
      </c>
      <c r="R61" s="470">
        <f>R65+R69</f>
        <v>40.599999999999994</v>
      </c>
    </row>
    <row r="62" spans="1:18" ht="11.25" customHeight="1">
      <c r="A62" s="234"/>
      <c r="B62" s="206"/>
      <c r="C62" s="207"/>
      <c r="D62" s="155" t="s">
        <v>145</v>
      </c>
      <c r="E62" s="197">
        <f>E66+E70</f>
        <v>155263000</v>
      </c>
      <c r="F62" s="197">
        <f aca="true" t="shared" si="22" ref="E62:K63">F66+F70</f>
        <v>37758000</v>
      </c>
      <c r="G62" s="197">
        <f t="shared" si="22"/>
        <v>34528000</v>
      </c>
      <c r="H62" s="197">
        <f t="shared" si="22"/>
        <v>0</v>
      </c>
      <c r="I62" s="197">
        <f t="shared" si="22"/>
        <v>0</v>
      </c>
      <c r="J62" s="197">
        <f>J66+J70</f>
        <v>26084773</v>
      </c>
      <c r="K62" s="197">
        <f t="shared" si="22"/>
        <v>0</v>
      </c>
      <c r="L62" s="220">
        <f>SUM(E62:K62)</f>
        <v>253633773</v>
      </c>
      <c r="M62" s="197"/>
      <c r="N62" s="197"/>
      <c r="O62" s="197"/>
      <c r="P62" s="197"/>
      <c r="Q62" s="220">
        <f>SUM(L62:P62)</f>
        <v>253633773</v>
      </c>
      <c r="R62" s="470">
        <f>R66+R70</f>
        <v>40.599999999999994</v>
      </c>
    </row>
    <row r="63" spans="1:18" ht="11.25" customHeight="1">
      <c r="A63" s="234"/>
      <c r="B63" s="206"/>
      <c r="C63" s="207"/>
      <c r="D63" s="155" t="s">
        <v>146</v>
      </c>
      <c r="E63" s="197">
        <f t="shared" si="22"/>
        <v>136857664</v>
      </c>
      <c r="F63" s="197">
        <f t="shared" si="22"/>
        <v>33610018</v>
      </c>
      <c r="G63" s="197">
        <f t="shared" si="22"/>
        <v>29061036</v>
      </c>
      <c r="H63" s="197">
        <f t="shared" si="22"/>
        <v>0</v>
      </c>
      <c r="I63" s="197">
        <f t="shared" si="22"/>
        <v>0</v>
      </c>
      <c r="J63" s="197">
        <f>J67+J71</f>
        <v>26084773</v>
      </c>
      <c r="K63" s="197">
        <f t="shared" si="22"/>
        <v>0</v>
      </c>
      <c r="L63" s="220">
        <f>SUM(E63:K63)</f>
        <v>225613491</v>
      </c>
      <c r="M63" s="197"/>
      <c r="N63" s="197"/>
      <c r="O63" s="197"/>
      <c r="P63" s="197"/>
      <c r="Q63" s="220">
        <f>SUM(L63:P63)</f>
        <v>225613491</v>
      </c>
      <c r="R63" s="470">
        <f>R67+R71</f>
        <v>37.599999999999994</v>
      </c>
    </row>
    <row r="64" spans="1:18" s="20" customFormat="1" ht="11.25" customHeight="1">
      <c r="A64" s="369"/>
      <c r="B64" s="370"/>
      <c r="C64" s="371" t="s">
        <v>106</v>
      </c>
      <c r="D64" s="372" t="s">
        <v>169</v>
      </c>
      <c r="E64" s="373"/>
      <c r="F64" s="373"/>
      <c r="G64" s="373"/>
      <c r="H64" s="373"/>
      <c r="I64" s="373"/>
      <c r="J64" s="373"/>
      <c r="K64" s="373"/>
      <c r="L64" s="374"/>
      <c r="M64" s="373"/>
      <c r="N64" s="373"/>
      <c r="O64" s="373"/>
      <c r="P64" s="373"/>
      <c r="Q64" s="374"/>
      <c r="R64" s="471"/>
    </row>
    <row r="65" spans="1:18" s="20" customFormat="1" ht="11.25" customHeight="1">
      <c r="A65" s="369"/>
      <c r="B65" s="370"/>
      <c r="C65" s="371"/>
      <c r="D65" s="375" t="s">
        <v>144</v>
      </c>
      <c r="E65" s="373">
        <v>105131000</v>
      </c>
      <c r="F65" s="373">
        <v>26294000</v>
      </c>
      <c r="G65" s="373">
        <v>24500000</v>
      </c>
      <c r="H65" s="373"/>
      <c r="I65" s="373"/>
      <c r="J65" s="373">
        <v>26084773</v>
      </c>
      <c r="K65" s="373"/>
      <c r="L65" s="374">
        <f>SUM(E65:K65)</f>
        <v>182009773</v>
      </c>
      <c r="M65" s="373"/>
      <c r="N65" s="373"/>
      <c r="O65" s="373"/>
      <c r="P65" s="373"/>
      <c r="Q65" s="374">
        <f>SUM(L65:P65)</f>
        <v>182009773</v>
      </c>
      <c r="R65" s="472">
        <v>28.4</v>
      </c>
    </row>
    <row r="66" spans="1:18" s="20" customFormat="1" ht="11.25" customHeight="1">
      <c r="A66" s="369"/>
      <c r="B66" s="370"/>
      <c r="C66" s="371"/>
      <c r="D66" s="375" t="s">
        <v>145</v>
      </c>
      <c r="E66" s="373">
        <v>105172000</v>
      </c>
      <c r="F66" s="373">
        <v>26340000</v>
      </c>
      <c r="G66" s="373">
        <v>28328000</v>
      </c>
      <c r="H66" s="373"/>
      <c r="I66" s="373"/>
      <c r="J66" s="373">
        <v>26084773</v>
      </c>
      <c r="K66" s="373"/>
      <c r="L66" s="374">
        <f aca="true" t="shared" si="23" ref="L66:L75">SUM(E66:K66)</f>
        <v>185924773</v>
      </c>
      <c r="M66" s="373"/>
      <c r="N66" s="373"/>
      <c r="O66" s="373"/>
      <c r="P66" s="373"/>
      <c r="Q66" s="374">
        <f>SUM(L66:P66)</f>
        <v>185924773</v>
      </c>
      <c r="R66" s="472">
        <v>28.4</v>
      </c>
    </row>
    <row r="67" spans="1:18" s="20" customFormat="1" ht="11.25" customHeight="1">
      <c r="A67" s="369"/>
      <c r="B67" s="370"/>
      <c r="C67" s="371"/>
      <c r="D67" s="376" t="s">
        <v>146</v>
      </c>
      <c r="E67" s="373">
        <f>40950+85733743+4881497</f>
        <v>90656190</v>
      </c>
      <c r="F67" s="373">
        <f>45900+21773641+1073930</f>
        <v>22893471</v>
      </c>
      <c r="G67" s="373">
        <v>25270522</v>
      </c>
      <c r="H67" s="373"/>
      <c r="I67" s="373"/>
      <c r="J67" s="373">
        <v>26084773</v>
      </c>
      <c r="K67" s="373"/>
      <c r="L67" s="374">
        <f>SUM(E67:K67)</f>
        <v>164904956</v>
      </c>
      <c r="M67" s="373"/>
      <c r="N67" s="373"/>
      <c r="O67" s="373"/>
      <c r="P67" s="373"/>
      <c r="Q67" s="374">
        <f>SUM(L67:P67)</f>
        <v>164904956</v>
      </c>
      <c r="R67" s="472">
        <v>26.4</v>
      </c>
    </row>
    <row r="68" spans="1:18" s="20" customFormat="1" ht="11.25" customHeight="1">
      <c r="A68" s="369"/>
      <c r="B68" s="370"/>
      <c r="C68" s="371" t="s">
        <v>168</v>
      </c>
      <c r="D68" s="370" t="s">
        <v>165</v>
      </c>
      <c r="E68" s="373"/>
      <c r="F68" s="373"/>
      <c r="G68" s="373"/>
      <c r="H68" s="373"/>
      <c r="I68" s="373"/>
      <c r="J68" s="373"/>
      <c r="K68" s="373"/>
      <c r="L68" s="374"/>
      <c r="M68" s="373"/>
      <c r="N68" s="373"/>
      <c r="O68" s="373"/>
      <c r="P68" s="373"/>
      <c r="Q68" s="374"/>
      <c r="R68" s="472"/>
    </row>
    <row r="69" spans="1:18" s="20" customFormat="1" ht="11.25" customHeight="1">
      <c r="A69" s="369"/>
      <c r="B69" s="370"/>
      <c r="C69" s="371"/>
      <c r="D69" s="375" t="s">
        <v>144</v>
      </c>
      <c r="E69" s="373">
        <v>50091000</v>
      </c>
      <c r="F69" s="373">
        <v>11418000</v>
      </c>
      <c r="G69" s="373">
        <v>6200000</v>
      </c>
      <c r="H69" s="373"/>
      <c r="I69" s="373"/>
      <c r="J69" s="373"/>
      <c r="K69" s="373"/>
      <c r="L69" s="374">
        <f t="shared" si="23"/>
        <v>67709000</v>
      </c>
      <c r="M69" s="373"/>
      <c r="N69" s="373"/>
      <c r="O69" s="373"/>
      <c r="P69" s="373"/>
      <c r="Q69" s="374">
        <f>SUM(L69:P69)</f>
        <v>67709000</v>
      </c>
      <c r="R69" s="472">
        <v>12.2</v>
      </c>
    </row>
    <row r="70" spans="1:18" s="20" customFormat="1" ht="11.25" customHeight="1">
      <c r="A70" s="369"/>
      <c r="B70" s="370"/>
      <c r="C70" s="371"/>
      <c r="D70" s="375" t="s">
        <v>145</v>
      </c>
      <c r="E70" s="373">
        <v>50091000</v>
      </c>
      <c r="F70" s="373">
        <v>11418000</v>
      </c>
      <c r="G70" s="373">
        <v>6200000</v>
      </c>
      <c r="H70" s="373"/>
      <c r="I70" s="373"/>
      <c r="J70" s="373"/>
      <c r="K70" s="373"/>
      <c r="L70" s="374">
        <f t="shared" si="23"/>
        <v>67709000</v>
      </c>
      <c r="M70" s="373"/>
      <c r="N70" s="373"/>
      <c r="O70" s="373"/>
      <c r="P70" s="373"/>
      <c r="Q70" s="374">
        <f aca="true" t="shared" si="24" ref="Q70:Q75">SUM(L70:P70)</f>
        <v>67709000</v>
      </c>
      <c r="R70" s="472">
        <v>12.2</v>
      </c>
    </row>
    <row r="71" spans="1:18" s="20" customFormat="1" ht="11.25" customHeight="1">
      <c r="A71" s="369"/>
      <c r="B71" s="370"/>
      <c r="C71" s="371"/>
      <c r="D71" s="375" t="s">
        <v>146</v>
      </c>
      <c r="E71" s="373">
        <v>46201474</v>
      </c>
      <c r="F71" s="373">
        <v>10716547</v>
      </c>
      <c r="G71" s="373">
        <v>3790514</v>
      </c>
      <c r="H71" s="373"/>
      <c r="I71" s="373"/>
      <c r="J71" s="373"/>
      <c r="K71" s="373"/>
      <c r="L71" s="374">
        <f t="shared" si="23"/>
        <v>60708535</v>
      </c>
      <c r="M71" s="373"/>
      <c r="N71" s="373"/>
      <c r="O71" s="373"/>
      <c r="P71" s="373"/>
      <c r="Q71" s="374">
        <f t="shared" si="24"/>
        <v>60708535</v>
      </c>
      <c r="R71" s="472">
        <v>11.2</v>
      </c>
    </row>
    <row r="72" spans="1:18" ht="11.25" customHeight="1">
      <c r="A72" s="234"/>
      <c r="B72" s="157" t="s">
        <v>158</v>
      </c>
      <c r="C72" s="207" t="s">
        <v>106</v>
      </c>
      <c r="D72" s="360" t="s">
        <v>156</v>
      </c>
      <c r="E72" s="197"/>
      <c r="F72" s="197"/>
      <c r="G72" s="197"/>
      <c r="H72" s="197"/>
      <c r="I72" s="197"/>
      <c r="J72" s="197"/>
      <c r="K72" s="197"/>
      <c r="L72" s="220"/>
      <c r="M72" s="197"/>
      <c r="N72" s="197"/>
      <c r="O72" s="197"/>
      <c r="P72" s="197"/>
      <c r="Q72" s="220"/>
      <c r="R72" s="446"/>
    </row>
    <row r="73" spans="1:18" ht="11.25" customHeight="1">
      <c r="A73" s="234"/>
      <c r="B73" s="206"/>
      <c r="C73" s="207"/>
      <c r="D73" s="155" t="s">
        <v>144</v>
      </c>
      <c r="E73" s="197">
        <v>1519000</v>
      </c>
      <c r="F73" s="197">
        <v>338000</v>
      </c>
      <c r="G73" s="197"/>
      <c r="H73" s="197"/>
      <c r="I73" s="197"/>
      <c r="J73" s="197"/>
      <c r="K73" s="197"/>
      <c r="L73" s="220">
        <f t="shared" si="23"/>
        <v>1857000</v>
      </c>
      <c r="M73" s="197"/>
      <c r="N73" s="197"/>
      <c r="O73" s="197"/>
      <c r="P73" s="197"/>
      <c r="Q73" s="220">
        <f t="shared" si="24"/>
        <v>1857000</v>
      </c>
      <c r="R73" s="446">
        <v>0.2</v>
      </c>
    </row>
    <row r="74" spans="1:18" ht="11.25" customHeight="1">
      <c r="A74" s="234"/>
      <c r="B74" s="206"/>
      <c r="C74" s="207"/>
      <c r="D74" s="155" t="s">
        <v>145</v>
      </c>
      <c r="E74" s="197">
        <v>1519000</v>
      </c>
      <c r="F74" s="197">
        <v>338000</v>
      </c>
      <c r="G74" s="197"/>
      <c r="H74" s="197"/>
      <c r="I74" s="197"/>
      <c r="J74" s="197"/>
      <c r="K74" s="197"/>
      <c r="L74" s="220">
        <f t="shared" si="23"/>
        <v>1857000</v>
      </c>
      <c r="M74" s="197"/>
      <c r="N74" s="197"/>
      <c r="O74" s="197"/>
      <c r="P74" s="197"/>
      <c r="Q74" s="220">
        <f t="shared" si="24"/>
        <v>1857000</v>
      </c>
      <c r="R74" s="446">
        <v>0.2</v>
      </c>
    </row>
    <row r="75" spans="1:18" ht="11.25" customHeight="1">
      <c r="A75" s="234"/>
      <c r="B75" s="206"/>
      <c r="C75" s="207"/>
      <c r="D75" s="155" t="s">
        <v>146</v>
      </c>
      <c r="E75" s="197">
        <v>1491282</v>
      </c>
      <c r="F75" s="197">
        <v>337263</v>
      </c>
      <c r="G75" s="197"/>
      <c r="H75" s="197"/>
      <c r="I75" s="197"/>
      <c r="J75" s="197"/>
      <c r="K75" s="197"/>
      <c r="L75" s="220">
        <f t="shared" si="23"/>
        <v>1828545</v>
      </c>
      <c r="M75" s="197"/>
      <c r="N75" s="197"/>
      <c r="O75" s="197"/>
      <c r="P75" s="197"/>
      <c r="Q75" s="220">
        <f t="shared" si="24"/>
        <v>1828545</v>
      </c>
      <c r="R75" s="446">
        <v>0.2</v>
      </c>
    </row>
    <row r="76" spans="1:18" ht="11.25" customHeight="1">
      <c r="A76" s="234"/>
      <c r="B76" s="157" t="s">
        <v>159</v>
      </c>
      <c r="C76" s="207" t="s">
        <v>107</v>
      </c>
      <c r="D76" s="235" t="s">
        <v>66</v>
      </c>
      <c r="E76" s="197"/>
      <c r="F76" s="197"/>
      <c r="G76" s="197"/>
      <c r="H76" s="197"/>
      <c r="I76" s="197"/>
      <c r="J76" s="197"/>
      <c r="K76" s="197"/>
      <c r="L76" s="220"/>
      <c r="M76" s="197"/>
      <c r="N76" s="197"/>
      <c r="O76" s="197"/>
      <c r="P76" s="197"/>
      <c r="Q76" s="220"/>
      <c r="R76" s="446"/>
    </row>
    <row r="77" spans="1:18" ht="11.25" customHeight="1">
      <c r="A77" s="234"/>
      <c r="B77" s="206"/>
      <c r="C77" s="207"/>
      <c r="D77" s="155" t="s">
        <v>144</v>
      </c>
      <c r="E77" s="197">
        <v>13107000</v>
      </c>
      <c r="F77" s="197">
        <v>3069000</v>
      </c>
      <c r="G77" s="197">
        <v>1000000</v>
      </c>
      <c r="H77" s="197"/>
      <c r="I77" s="197"/>
      <c r="J77" s="197"/>
      <c r="K77" s="197"/>
      <c r="L77" s="220">
        <f>SUM(E77:K77)</f>
        <v>17176000</v>
      </c>
      <c r="M77" s="197"/>
      <c r="N77" s="197"/>
      <c r="O77" s="197"/>
      <c r="P77" s="197"/>
      <c r="Q77" s="220">
        <f>SUM(L77:P77)</f>
        <v>17176000</v>
      </c>
      <c r="R77" s="446">
        <v>4.2</v>
      </c>
    </row>
    <row r="78" spans="1:18" ht="11.25" customHeight="1">
      <c r="A78" s="234"/>
      <c r="B78" s="206"/>
      <c r="C78" s="207"/>
      <c r="D78" s="155" t="s">
        <v>145</v>
      </c>
      <c r="E78" s="197">
        <v>13107000</v>
      </c>
      <c r="F78" s="197">
        <v>3069000</v>
      </c>
      <c r="G78" s="197">
        <v>1000000</v>
      </c>
      <c r="H78" s="197"/>
      <c r="I78" s="197"/>
      <c r="J78" s="197"/>
      <c r="K78" s="197"/>
      <c r="L78" s="220">
        <f>SUM(E78:K78)</f>
        <v>17176000</v>
      </c>
      <c r="M78" s="197"/>
      <c r="N78" s="197"/>
      <c r="O78" s="197"/>
      <c r="P78" s="197"/>
      <c r="Q78" s="220">
        <f>SUM(L78:P78)</f>
        <v>17176000</v>
      </c>
      <c r="R78" s="446">
        <v>4.2</v>
      </c>
    </row>
    <row r="79" spans="1:18" ht="11.25" customHeight="1">
      <c r="A79" s="234"/>
      <c r="B79" s="206"/>
      <c r="C79" s="207"/>
      <c r="D79" s="155" t="s">
        <v>146</v>
      </c>
      <c r="E79" s="197">
        <v>12372152</v>
      </c>
      <c r="F79" s="197">
        <v>2882046</v>
      </c>
      <c r="G79" s="197">
        <v>359650</v>
      </c>
      <c r="H79" s="197"/>
      <c r="I79" s="197"/>
      <c r="J79" s="197"/>
      <c r="K79" s="197"/>
      <c r="L79" s="220">
        <f>SUM(E79:K79)</f>
        <v>15613848</v>
      </c>
      <c r="M79" s="197"/>
      <c r="N79" s="197"/>
      <c r="O79" s="197"/>
      <c r="P79" s="197"/>
      <c r="Q79" s="220">
        <f>SUM(L79:P79)</f>
        <v>15613848</v>
      </c>
      <c r="R79" s="446">
        <v>4.2</v>
      </c>
    </row>
    <row r="80" spans="1:18" s="16" customFormat="1" ht="11.25" customHeight="1">
      <c r="A80" s="361"/>
      <c r="B80" s="218">
        <v>2</v>
      </c>
      <c r="C80" s="258"/>
      <c r="D80" s="362" t="s">
        <v>160</v>
      </c>
      <c r="E80" s="284"/>
      <c r="F80" s="284"/>
      <c r="G80" s="220"/>
      <c r="H80" s="284"/>
      <c r="I80" s="284"/>
      <c r="J80" s="284"/>
      <c r="K80" s="284"/>
      <c r="L80" s="284"/>
      <c r="M80" s="284"/>
      <c r="N80" s="284"/>
      <c r="O80" s="284"/>
      <c r="P80" s="284"/>
      <c r="Q80" s="220"/>
      <c r="R80" s="446"/>
    </row>
    <row r="81" spans="1:18" s="16" customFormat="1" ht="11.25" customHeight="1">
      <c r="A81" s="361"/>
      <c r="B81" s="218"/>
      <c r="C81" s="258"/>
      <c r="D81" s="363" t="s">
        <v>144</v>
      </c>
      <c r="E81" s="220">
        <f>E85+E89</f>
        <v>0</v>
      </c>
      <c r="F81" s="220">
        <f aca="true" t="shared" si="25" ref="F81:K81">F85+F89</f>
        <v>0</v>
      </c>
      <c r="G81" s="220">
        <f t="shared" si="25"/>
        <v>0</v>
      </c>
      <c r="H81" s="220">
        <f t="shared" si="25"/>
        <v>700000</v>
      </c>
      <c r="I81" s="220">
        <f t="shared" si="25"/>
        <v>0</v>
      </c>
      <c r="J81" s="220">
        <f t="shared" si="25"/>
        <v>0</v>
      </c>
      <c r="K81" s="220">
        <f t="shared" si="25"/>
        <v>0</v>
      </c>
      <c r="L81" s="220">
        <f>SUM(E81:K81)</f>
        <v>700000</v>
      </c>
      <c r="M81" s="220"/>
      <c r="N81" s="220"/>
      <c r="O81" s="220"/>
      <c r="P81" s="220"/>
      <c r="Q81" s="220">
        <f>SUM(L81:P81)</f>
        <v>700000</v>
      </c>
      <c r="R81" s="446"/>
    </row>
    <row r="82" spans="1:18" s="16" customFormat="1" ht="11.25" customHeight="1">
      <c r="A82" s="361"/>
      <c r="B82" s="218"/>
      <c r="C82" s="258"/>
      <c r="D82" s="363" t="s">
        <v>145</v>
      </c>
      <c r="E82" s="220">
        <f aca="true" t="shared" si="26" ref="E82:K83">E86+E90</f>
        <v>0</v>
      </c>
      <c r="F82" s="220">
        <f t="shared" si="26"/>
        <v>0</v>
      </c>
      <c r="G82" s="220">
        <f t="shared" si="26"/>
        <v>0</v>
      </c>
      <c r="H82" s="220">
        <f t="shared" si="26"/>
        <v>700000</v>
      </c>
      <c r="I82" s="220">
        <f t="shared" si="26"/>
        <v>0</v>
      </c>
      <c r="J82" s="220">
        <f t="shared" si="26"/>
        <v>0</v>
      </c>
      <c r="K82" s="220">
        <f t="shared" si="26"/>
        <v>0</v>
      </c>
      <c r="L82" s="220">
        <f>SUM(E82:K82)</f>
        <v>700000</v>
      </c>
      <c r="M82" s="220"/>
      <c r="N82" s="220"/>
      <c r="O82" s="220"/>
      <c r="P82" s="220"/>
      <c r="Q82" s="220">
        <f>SUM(L82:P82)</f>
        <v>700000</v>
      </c>
      <c r="R82" s="446"/>
    </row>
    <row r="83" spans="1:18" s="16" customFormat="1" ht="11.25" customHeight="1">
      <c r="A83" s="364"/>
      <c r="B83" s="190"/>
      <c r="C83" s="249"/>
      <c r="D83" s="365" t="s">
        <v>146</v>
      </c>
      <c r="E83" s="220">
        <f t="shared" si="26"/>
        <v>0</v>
      </c>
      <c r="F83" s="220">
        <f t="shared" si="26"/>
        <v>0</v>
      </c>
      <c r="G83" s="220">
        <f t="shared" si="26"/>
        <v>0</v>
      </c>
      <c r="H83" s="220">
        <f t="shared" si="26"/>
        <v>0</v>
      </c>
      <c r="I83" s="220">
        <f t="shared" si="26"/>
        <v>0</v>
      </c>
      <c r="J83" s="220">
        <f t="shared" si="26"/>
        <v>0</v>
      </c>
      <c r="K83" s="220">
        <f t="shared" si="26"/>
        <v>0</v>
      </c>
      <c r="L83" s="270">
        <f>SUM(E83:K83)</f>
        <v>0</v>
      </c>
      <c r="M83" s="222"/>
      <c r="N83" s="222"/>
      <c r="O83" s="222"/>
      <c r="P83" s="222"/>
      <c r="Q83" s="270">
        <f>SUM(L83:P83)</f>
        <v>0</v>
      </c>
      <c r="R83" s="458"/>
    </row>
    <row r="84" spans="1:18" ht="10.5" customHeight="1">
      <c r="A84" s="205"/>
      <c r="B84" s="157" t="s">
        <v>161</v>
      </c>
      <c r="C84" s="207" t="s">
        <v>106</v>
      </c>
      <c r="D84" s="235" t="s">
        <v>196</v>
      </c>
      <c r="E84" s="197"/>
      <c r="F84" s="197"/>
      <c r="G84" s="197"/>
      <c r="H84" s="197"/>
      <c r="I84" s="197"/>
      <c r="J84" s="197"/>
      <c r="K84" s="197"/>
      <c r="L84" s="220"/>
      <c r="M84" s="197"/>
      <c r="N84" s="197"/>
      <c r="O84" s="197"/>
      <c r="P84" s="197"/>
      <c r="Q84" s="220"/>
      <c r="R84" s="472"/>
    </row>
    <row r="85" spans="1:18" ht="10.5" customHeight="1">
      <c r="A85" s="205"/>
      <c r="B85" s="206"/>
      <c r="C85" s="207"/>
      <c r="D85" s="157" t="s">
        <v>144</v>
      </c>
      <c r="E85" s="197"/>
      <c r="F85" s="197"/>
      <c r="G85" s="197"/>
      <c r="H85" s="197">
        <v>600000</v>
      </c>
      <c r="I85" s="197"/>
      <c r="J85" s="197"/>
      <c r="K85" s="197"/>
      <c r="L85" s="220">
        <f>SUM(E85:K85)</f>
        <v>600000</v>
      </c>
      <c r="M85" s="197"/>
      <c r="N85" s="197"/>
      <c r="O85" s="197"/>
      <c r="P85" s="197"/>
      <c r="Q85" s="220">
        <f>SUM(L85:P85)</f>
        <v>600000</v>
      </c>
      <c r="R85" s="472"/>
    </row>
    <row r="86" spans="1:18" ht="10.5" customHeight="1">
      <c r="A86" s="205"/>
      <c r="B86" s="206"/>
      <c r="C86" s="207"/>
      <c r="D86" s="157" t="s">
        <v>145</v>
      </c>
      <c r="E86" s="197"/>
      <c r="F86" s="197"/>
      <c r="G86" s="197"/>
      <c r="H86" s="197">
        <v>600000</v>
      </c>
      <c r="I86" s="197"/>
      <c r="J86" s="197"/>
      <c r="K86" s="197"/>
      <c r="L86" s="220">
        <f>SUM(E86:K86)</f>
        <v>600000</v>
      </c>
      <c r="M86" s="197"/>
      <c r="N86" s="197"/>
      <c r="O86" s="197"/>
      <c r="P86" s="197"/>
      <c r="Q86" s="220">
        <f>SUM(L86:P86)</f>
        <v>600000</v>
      </c>
      <c r="R86" s="472"/>
    </row>
    <row r="87" spans="1:18" ht="10.5" customHeight="1">
      <c r="A87" s="205"/>
      <c r="B87" s="206"/>
      <c r="C87" s="207"/>
      <c r="D87" s="157" t="s">
        <v>146</v>
      </c>
      <c r="E87" s="197"/>
      <c r="F87" s="197"/>
      <c r="G87" s="197"/>
      <c r="H87" s="197">
        <v>0</v>
      </c>
      <c r="I87" s="197"/>
      <c r="J87" s="197"/>
      <c r="K87" s="197"/>
      <c r="L87" s="220">
        <f>SUM(E87:K87)</f>
        <v>0</v>
      </c>
      <c r="M87" s="197"/>
      <c r="N87" s="197"/>
      <c r="O87" s="197"/>
      <c r="P87" s="197"/>
      <c r="Q87" s="220">
        <f>SUM(L87:P87)</f>
        <v>0</v>
      </c>
      <c r="R87" s="472"/>
    </row>
    <row r="88" spans="1:18" ht="11.25" customHeight="1">
      <c r="A88" s="225"/>
      <c r="B88" s="157" t="s">
        <v>162</v>
      </c>
      <c r="C88" s="207" t="s">
        <v>106</v>
      </c>
      <c r="D88" s="235" t="s">
        <v>56</v>
      </c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208"/>
      <c r="R88" s="470"/>
    </row>
    <row r="89" spans="1:18" ht="11.25" customHeight="1">
      <c r="A89" s="225"/>
      <c r="B89" s="206"/>
      <c r="C89" s="233"/>
      <c r="D89" s="157" t="s">
        <v>144</v>
      </c>
      <c r="E89" s="197"/>
      <c r="F89" s="197"/>
      <c r="G89" s="197"/>
      <c r="H89" s="197">
        <v>100000</v>
      </c>
      <c r="I89" s="197"/>
      <c r="J89" s="197"/>
      <c r="K89" s="197"/>
      <c r="L89" s="220">
        <f>SUM(E89:K89)</f>
        <v>100000</v>
      </c>
      <c r="M89" s="197"/>
      <c r="N89" s="197"/>
      <c r="O89" s="197"/>
      <c r="P89" s="197"/>
      <c r="Q89" s="243">
        <f>SUM(L89:P89)</f>
        <v>100000</v>
      </c>
      <c r="R89" s="470"/>
    </row>
    <row r="90" spans="1:18" ht="11.25" customHeight="1">
      <c r="A90" s="225"/>
      <c r="B90" s="206"/>
      <c r="C90" s="233"/>
      <c r="D90" s="157" t="s">
        <v>145</v>
      </c>
      <c r="E90" s="197"/>
      <c r="F90" s="197"/>
      <c r="G90" s="197"/>
      <c r="H90" s="197">
        <v>100000</v>
      </c>
      <c r="I90" s="197"/>
      <c r="J90" s="197"/>
      <c r="K90" s="197"/>
      <c r="L90" s="220">
        <f aca="true" t="shared" si="27" ref="L90:L102">SUM(E90:K90)</f>
        <v>100000</v>
      </c>
      <c r="M90" s="197"/>
      <c r="N90" s="197"/>
      <c r="O90" s="197"/>
      <c r="P90" s="197"/>
      <c r="Q90" s="243">
        <f aca="true" t="shared" si="28" ref="Q90:Q103">SUM(L90:P90)</f>
        <v>100000</v>
      </c>
      <c r="R90" s="470"/>
    </row>
    <row r="91" spans="1:18" ht="11.25" customHeight="1">
      <c r="A91" s="225"/>
      <c r="B91" s="206"/>
      <c r="C91" s="233"/>
      <c r="D91" s="157" t="s">
        <v>146</v>
      </c>
      <c r="E91" s="197"/>
      <c r="F91" s="197"/>
      <c r="G91" s="197"/>
      <c r="H91" s="197">
        <v>0</v>
      </c>
      <c r="I91" s="197"/>
      <c r="J91" s="197"/>
      <c r="K91" s="197"/>
      <c r="L91" s="220">
        <f t="shared" si="27"/>
        <v>0</v>
      </c>
      <c r="M91" s="197"/>
      <c r="N91" s="197"/>
      <c r="O91" s="197"/>
      <c r="P91" s="197"/>
      <c r="Q91" s="243">
        <f t="shared" si="28"/>
        <v>0</v>
      </c>
      <c r="R91" s="470"/>
    </row>
    <row r="92" spans="1:18" s="16" customFormat="1" ht="11.25" customHeight="1">
      <c r="A92" s="205"/>
      <c r="B92" s="367">
        <v>3</v>
      </c>
      <c r="C92" s="258"/>
      <c r="D92" s="243" t="s">
        <v>65</v>
      </c>
      <c r="E92" s="220"/>
      <c r="F92" s="220"/>
      <c r="G92" s="243"/>
      <c r="H92" s="220"/>
      <c r="I92" s="220"/>
      <c r="J92" s="220"/>
      <c r="K92" s="220"/>
      <c r="L92" s="220"/>
      <c r="M92" s="220"/>
      <c r="N92" s="220"/>
      <c r="O92" s="220"/>
      <c r="P92" s="220"/>
      <c r="Q92" s="243"/>
      <c r="R92" s="446"/>
    </row>
    <row r="93" spans="1:18" s="16" customFormat="1" ht="11.25" customHeight="1">
      <c r="A93" s="205"/>
      <c r="B93" s="367"/>
      <c r="C93" s="258"/>
      <c r="D93" s="368" t="s">
        <v>144</v>
      </c>
      <c r="E93" s="220">
        <f>E97+E101</f>
        <v>0</v>
      </c>
      <c r="F93" s="220">
        <f aca="true" t="shared" si="29" ref="F93:K93">F97+F101</f>
        <v>0</v>
      </c>
      <c r="G93" s="220">
        <f t="shared" si="29"/>
        <v>8300000</v>
      </c>
      <c r="H93" s="220">
        <f t="shared" si="29"/>
        <v>0</v>
      </c>
      <c r="I93" s="220">
        <f t="shared" si="29"/>
        <v>0</v>
      </c>
      <c r="J93" s="220">
        <f t="shared" si="29"/>
        <v>0</v>
      </c>
      <c r="K93" s="220">
        <f t="shared" si="29"/>
        <v>0</v>
      </c>
      <c r="L93" s="220">
        <f>SUM(E93:K93)</f>
        <v>8300000</v>
      </c>
      <c r="M93" s="220"/>
      <c r="N93" s="220"/>
      <c r="O93" s="220"/>
      <c r="P93" s="220"/>
      <c r="Q93" s="243">
        <f t="shared" si="28"/>
        <v>8300000</v>
      </c>
      <c r="R93" s="446"/>
    </row>
    <row r="94" spans="1:18" s="16" customFormat="1" ht="11.25" customHeight="1">
      <c r="A94" s="205"/>
      <c r="B94" s="367"/>
      <c r="C94" s="258"/>
      <c r="D94" s="368" t="s">
        <v>145</v>
      </c>
      <c r="E94" s="220">
        <f>E98+E102</f>
        <v>0</v>
      </c>
      <c r="F94" s="220">
        <f aca="true" t="shared" si="30" ref="F94:K94">F98+F102</f>
        <v>0</v>
      </c>
      <c r="G94" s="220">
        <f t="shared" si="30"/>
        <v>6200000</v>
      </c>
      <c r="H94" s="220">
        <f t="shared" si="30"/>
        <v>0</v>
      </c>
      <c r="I94" s="220">
        <f t="shared" si="30"/>
        <v>0</v>
      </c>
      <c r="J94" s="220">
        <f t="shared" si="30"/>
        <v>0</v>
      </c>
      <c r="K94" s="220">
        <f t="shared" si="30"/>
        <v>0</v>
      </c>
      <c r="L94" s="220">
        <f>SUM(E94:K94)</f>
        <v>6200000</v>
      </c>
      <c r="M94" s="220"/>
      <c r="N94" s="220"/>
      <c r="O94" s="220"/>
      <c r="P94" s="220"/>
      <c r="Q94" s="243">
        <f t="shared" si="28"/>
        <v>6200000</v>
      </c>
      <c r="R94" s="446"/>
    </row>
    <row r="95" spans="1:18" s="16" customFormat="1" ht="11.25" customHeight="1">
      <c r="A95" s="205"/>
      <c r="B95" s="367"/>
      <c r="C95" s="258"/>
      <c r="D95" s="368" t="s">
        <v>146</v>
      </c>
      <c r="E95" s="220">
        <f>E99+E103</f>
        <v>0</v>
      </c>
      <c r="F95" s="220">
        <f aca="true" t="shared" si="31" ref="F95:K95">F99+F103</f>
        <v>0</v>
      </c>
      <c r="G95" s="220">
        <f t="shared" si="31"/>
        <v>4409184</v>
      </c>
      <c r="H95" s="220">
        <f t="shared" si="31"/>
        <v>0</v>
      </c>
      <c r="I95" s="220">
        <f t="shared" si="31"/>
        <v>0</v>
      </c>
      <c r="J95" s="220">
        <f t="shared" si="31"/>
        <v>0</v>
      </c>
      <c r="K95" s="220">
        <f t="shared" si="31"/>
        <v>0</v>
      </c>
      <c r="L95" s="220">
        <f>SUM(E95:K95)</f>
        <v>4409184</v>
      </c>
      <c r="M95" s="220"/>
      <c r="N95" s="220"/>
      <c r="O95" s="220"/>
      <c r="P95" s="220"/>
      <c r="Q95" s="243">
        <f t="shared" si="28"/>
        <v>4409184</v>
      </c>
      <c r="R95" s="446"/>
    </row>
    <row r="96" spans="1:18" ht="14.25" customHeight="1">
      <c r="A96" s="205"/>
      <c r="B96" s="366" t="s">
        <v>163</v>
      </c>
      <c r="C96" s="207" t="s">
        <v>106</v>
      </c>
      <c r="D96" s="1589" t="s">
        <v>166</v>
      </c>
      <c r="E96" s="1590"/>
      <c r="F96" s="1591"/>
      <c r="G96" s="208"/>
      <c r="H96" s="197"/>
      <c r="I96" s="197"/>
      <c r="J96" s="197"/>
      <c r="K96" s="197"/>
      <c r="L96" s="220"/>
      <c r="M96" s="197"/>
      <c r="N96" s="197"/>
      <c r="O96" s="197"/>
      <c r="P96" s="197"/>
      <c r="Q96" s="243"/>
      <c r="R96" s="446"/>
    </row>
    <row r="97" spans="1:18" ht="11.25" customHeight="1">
      <c r="A97" s="205"/>
      <c r="B97" s="250"/>
      <c r="C97" s="207"/>
      <c r="D97" s="157" t="s">
        <v>144</v>
      </c>
      <c r="E97" s="197"/>
      <c r="F97" s="197"/>
      <c r="G97" s="208">
        <v>8000000</v>
      </c>
      <c r="H97" s="197"/>
      <c r="I97" s="197"/>
      <c r="J97" s="197"/>
      <c r="K97" s="197"/>
      <c r="L97" s="220">
        <f t="shared" si="27"/>
        <v>8000000</v>
      </c>
      <c r="M97" s="197"/>
      <c r="N97" s="197"/>
      <c r="O97" s="197"/>
      <c r="P97" s="197"/>
      <c r="Q97" s="243">
        <f t="shared" si="28"/>
        <v>8000000</v>
      </c>
      <c r="R97" s="446"/>
    </row>
    <row r="98" spans="1:18" ht="11.25" customHeight="1">
      <c r="A98" s="205"/>
      <c r="B98" s="250"/>
      <c r="C98" s="207"/>
      <c r="D98" s="157" t="s">
        <v>145</v>
      </c>
      <c r="E98" s="197"/>
      <c r="F98" s="197"/>
      <c r="G98" s="208">
        <v>5900000</v>
      </c>
      <c r="H98" s="197"/>
      <c r="I98" s="197"/>
      <c r="J98" s="197"/>
      <c r="K98" s="197"/>
      <c r="L98" s="220">
        <f t="shared" si="27"/>
        <v>5900000</v>
      </c>
      <c r="M98" s="197"/>
      <c r="N98" s="197"/>
      <c r="O98" s="197"/>
      <c r="P98" s="197"/>
      <c r="Q98" s="243">
        <f t="shared" si="28"/>
        <v>5900000</v>
      </c>
      <c r="R98" s="446"/>
    </row>
    <row r="99" spans="1:18" ht="11.25" customHeight="1">
      <c r="A99" s="205"/>
      <c r="B99" s="250"/>
      <c r="C99" s="207"/>
      <c r="D99" s="157" t="s">
        <v>146</v>
      </c>
      <c r="E99" s="197"/>
      <c r="F99" s="197"/>
      <c r="G99" s="208">
        <v>4409184</v>
      </c>
      <c r="H99" s="197"/>
      <c r="I99" s="197"/>
      <c r="J99" s="197"/>
      <c r="K99" s="197"/>
      <c r="L99" s="220">
        <f t="shared" si="27"/>
        <v>4409184</v>
      </c>
      <c r="M99" s="197"/>
      <c r="N99" s="197"/>
      <c r="O99" s="197"/>
      <c r="P99" s="197"/>
      <c r="Q99" s="243">
        <f t="shared" si="28"/>
        <v>4409184</v>
      </c>
      <c r="R99" s="446"/>
    </row>
    <row r="100" spans="1:18" ht="15.75" customHeight="1">
      <c r="A100" s="205"/>
      <c r="B100" s="366" t="s">
        <v>164</v>
      </c>
      <c r="C100" s="207" t="s">
        <v>106</v>
      </c>
      <c r="D100" s="1597" t="s">
        <v>744</v>
      </c>
      <c r="E100" s="1598"/>
      <c r="F100" s="1598"/>
      <c r="G100" s="1599"/>
      <c r="H100" s="197"/>
      <c r="I100" s="197"/>
      <c r="J100" s="197"/>
      <c r="K100" s="197"/>
      <c r="L100" s="220"/>
      <c r="M100" s="197"/>
      <c r="N100" s="197"/>
      <c r="O100" s="197"/>
      <c r="P100" s="197"/>
      <c r="Q100" s="243"/>
      <c r="R100" s="446"/>
    </row>
    <row r="101" spans="1:18" ht="9.75" customHeight="1">
      <c r="A101" s="205"/>
      <c r="B101" s="250"/>
      <c r="C101" s="207"/>
      <c r="D101" s="157" t="s">
        <v>144</v>
      </c>
      <c r="E101" s="197"/>
      <c r="F101" s="197"/>
      <c r="G101" s="197">
        <v>300000</v>
      </c>
      <c r="H101" s="197"/>
      <c r="I101" s="197"/>
      <c r="J101" s="197"/>
      <c r="K101" s="197"/>
      <c r="L101" s="220">
        <f t="shared" si="27"/>
        <v>300000</v>
      </c>
      <c r="M101" s="197"/>
      <c r="N101" s="197"/>
      <c r="O101" s="197"/>
      <c r="P101" s="197"/>
      <c r="Q101" s="243">
        <f t="shared" si="28"/>
        <v>300000</v>
      </c>
      <c r="R101" s="446"/>
    </row>
    <row r="102" spans="1:18" ht="9.75" customHeight="1">
      <c r="A102" s="205"/>
      <c r="B102" s="250"/>
      <c r="C102" s="207"/>
      <c r="D102" s="157" t="s">
        <v>145</v>
      </c>
      <c r="E102" s="197"/>
      <c r="F102" s="197"/>
      <c r="G102" s="197">
        <v>300000</v>
      </c>
      <c r="H102" s="197"/>
      <c r="I102" s="197"/>
      <c r="J102" s="197"/>
      <c r="K102" s="197"/>
      <c r="L102" s="220">
        <f t="shared" si="27"/>
        <v>300000</v>
      </c>
      <c r="M102" s="197"/>
      <c r="N102" s="197"/>
      <c r="O102" s="197"/>
      <c r="P102" s="197"/>
      <c r="Q102" s="243">
        <f t="shared" si="28"/>
        <v>300000</v>
      </c>
      <c r="R102" s="446"/>
    </row>
    <row r="103" spans="1:18" ht="9.75" customHeight="1" thickBot="1">
      <c r="A103" s="205"/>
      <c r="B103" s="250"/>
      <c r="C103" s="207"/>
      <c r="D103" s="157" t="s">
        <v>146</v>
      </c>
      <c r="E103" s="197"/>
      <c r="F103" s="197"/>
      <c r="G103" s="197"/>
      <c r="H103" s="197"/>
      <c r="I103" s="197"/>
      <c r="J103" s="197"/>
      <c r="K103" s="197"/>
      <c r="L103" s="220">
        <f>SUM(E103:K103)</f>
        <v>0</v>
      </c>
      <c r="M103" s="197"/>
      <c r="N103" s="197"/>
      <c r="O103" s="197"/>
      <c r="P103" s="197"/>
      <c r="Q103" s="243">
        <f t="shared" si="28"/>
        <v>0</v>
      </c>
      <c r="R103" s="446"/>
    </row>
    <row r="104" spans="1:18" s="16" customFormat="1" ht="14.25" customHeight="1" thickTop="1">
      <c r="A104" s="1610" t="s">
        <v>743</v>
      </c>
      <c r="B104" s="1611"/>
      <c r="C104" s="1611"/>
      <c r="D104" s="1611"/>
      <c r="E104" s="1611"/>
      <c r="F104" s="1612"/>
      <c r="G104" s="719"/>
      <c r="H104" s="353"/>
      <c r="I104" s="353"/>
      <c r="J104" s="353"/>
      <c r="K104" s="353"/>
      <c r="L104" s="353"/>
      <c r="M104" s="353"/>
      <c r="N104" s="353"/>
      <c r="O104" s="353"/>
      <c r="P104" s="353"/>
      <c r="Q104" s="253"/>
      <c r="R104" s="473"/>
    </row>
    <row r="105" spans="1:18" s="16" customFormat="1" ht="11.25" customHeight="1">
      <c r="A105" s="254"/>
      <c r="B105" s="255"/>
      <c r="C105" s="218"/>
      <c r="D105" s="363" t="s">
        <v>144</v>
      </c>
      <c r="E105" s="272">
        <f aca="true" t="shared" si="32" ref="E105:K107">E57</f>
        <v>169848000</v>
      </c>
      <c r="F105" s="272">
        <f t="shared" si="32"/>
        <v>41119000</v>
      </c>
      <c r="G105" s="272">
        <f t="shared" si="32"/>
        <v>40000000</v>
      </c>
      <c r="H105" s="272">
        <f t="shared" si="32"/>
        <v>700000</v>
      </c>
      <c r="I105" s="272">
        <f t="shared" si="32"/>
        <v>0</v>
      </c>
      <c r="J105" s="272">
        <f t="shared" si="32"/>
        <v>26084773</v>
      </c>
      <c r="K105" s="272">
        <f t="shared" si="32"/>
        <v>0</v>
      </c>
      <c r="L105" s="272">
        <f>SUM(E105:K105)</f>
        <v>277751773</v>
      </c>
      <c r="M105" s="272">
        <f aca="true" t="shared" si="33" ref="M105:P107">M57</f>
        <v>0</v>
      </c>
      <c r="N105" s="272">
        <f t="shared" si="33"/>
        <v>0</v>
      </c>
      <c r="O105" s="272">
        <f t="shared" si="33"/>
        <v>0</v>
      </c>
      <c r="P105" s="272">
        <f t="shared" si="33"/>
        <v>0</v>
      </c>
      <c r="Q105" s="272">
        <f>SUM(L105:P105)</f>
        <v>277751773</v>
      </c>
      <c r="R105" s="1144">
        <f>R57</f>
        <v>45</v>
      </c>
    </row>
    <row r="106" spans="1:18" s="16" customFormat="1" ht="11.25" customHeight="1">
      <c r="A106" s="254"/>
      <c r="B106" s="255"/>
      <c r="C106" s="343"/>
      <c r="D106" s="363" t="s">
        <v>145</v>
      </c>
      <c r="E106" s="272">
        <f t="shared" si="32"/>
        <v>169889000</v>
      </c>
      <c r="F106" s="272">
        <f t="shared" si="32"/>
        <v>41165000</v>
      </c>
      <c r="G106" s="272">
        <f t="shared" si="32"/>
        <v>41728000</v>
      </c>
      <c r="H106" s="272">
        <f t="shared" si="32"/>
        <v>700000</v>
      </c>
      <c r="I106" s="272">
        <f t="shared" si="32"/>
        <v>0</v>
      </c>
      <c r="J106" s="272">
        <f t="shared" si="32"/>
        <v>26084773</v>
      </c>
      <c r="K106" s="272">
        <f t="shared" si="32"/>
        <v>0</v>
      </c>
      <c r="L106" s="272">
        <f>SUM(E106:K106)</f>
        <v>279566773</v>
      </c>
      <c r="M106" s="272">
        <f t="shared" si="33"/>
        <v>0</v>
      </c>
      <c r="N106" s="272">
        <f t="shared" si="33"/>
        <v>0</v>
      </c>
      <c r="O106" s="272">
        <f t="shared" si="33"/>
        <v>0</v>
      </c>
      <c r="P106" s="272">
        <f t="shared" si="33"/>
        <v>0</v>
      </c>
      <c r="Q106" s="272">
        <f>SUM(L106:P106)</f>
        <v>279566773</v>
      </c>
      <c r="R106" s="1144">
        <f>R58</f>
        <v>45</v>
      </c>
    </row>
    <row r="107" spans="1:18" s="16" customFormat="1" ht="11.25" customHeight="1" thickBot="1">
      <c r="A107" s="301"/>
      <c r="B107" s="302"/>
      <c r="C107" s="260"/>
      <c r="D107" s="447" t="s">
        <v>146</v>
      </c>
      <c r="E107" s="248">
        <f t="shared" si="32"/>
        <v>150721098</v>
      </c>
      <c r="F107" s="248">
        <f t="shared" si="32"/>
        <v>36829327</v>
      </c>
      <c r="G107" s="248">
        <f t="shared" si="32"/>
        <v>33829870</v>
      </c>
      <c r="H107" s="248">
        <f t="shared" si="32"/>
        <v>0</v>
      </c>
      <c r="I107" s="248">
        <f t="shared" si="32"/>
        <v>0</v>
      </c>
      <c r="J107" s="248">
        <f t="shared" si="32"/>
        <v>26084773</v>
      </c>
      <c r="K107" s="248">
        <f t="shared" si="32"/>
        <v>0</v>
      </c>
      <c r="L107" s="248">
        <f>SUM(E107:K107)</f>
        <v>247465068</v>
      </c>
      <c r="M107" s="248">
        <f t="shared" si="33"/>
        <v>0</v>
      </c>
      <c r="N107" s="248">
        <f t="shared" si="33"/>
        <v>0</v>
      </c>
      <c r="O107" s="248">
        <f t="shared" si="33"/>
        <v>0</v>
      </c>
      <c r="P107" s="248">
        <f t="shared" si="33"/>
        <v>0</v>
      </c>
      <c r="Q107" s="248">
        <f>SUM(L107:P107)</f>
        <v>247465068</v>
      </c>
      <c r="R107" s="985">
        <f>R59</f>
        <v>42</v>
      </c>
    </row>
    <row r="108" spans="1:18" s="22" customFormat="1" ht="10.5" customHeight="1">
      <c r="A108" s="1584" t="s">
        <v>153</v>
      </c>
      <c r="B108" s="1585"/>
      <c r="C108" s="1585"/>
      <c r="D108" s="1585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57"/>
      <c r="R108" s="1223"/>
    </row>
    <row r="109" spans="1:18" s="22" customFormat="1" ht="10.5" customHeight="1">
      <c r="A109" s="205"/>
      <c r="B109" s="218"/>
      <c r="C109" s="218"/>
      <c r="D109" s="368" t="s">
        <v>144</v>
      </c>
      <c r="E109" s="220">
        <f>E65+E73+E97+E101+E85+E89</f>
        <v>106650000</v>
      </c>
      <c r="F109" s="220">
        <f aca="true" t="shared" si="34" ref="F109:K109">F65+F73+F97+F101+F85+F89</f>
        <v>26632000</v>
      </c>
      <c r="G109" s="220">
        <f t="shared" si="34"/>
        <v>32800000</v>
      </c>
      <c r="H109" s="220">
        <f t="shared" si="34"/>
        <v>700000</v>
      </c>
      <c r="I109" s="220">
        <f t="shared" si="34"/>
        <v>0</v>
      </c>
      <c r="J109" s="220">
        <f t="shared" si="34"/>
        <v>26084773</v>
      </c>
      <c r="K109" s="220">
        <f t="shared" si="34"/>
        <v>0</v>
      </c>
      <c r="L109" s="220">
        <f>SUM(E109:K109)</f>
        <v>192866773</v>
      </c>
      <c r="M109" s="220">
        <v>0</v>
      </c>
      <c r="N109" s="220">
        <v>0</v>
      </c>
      <c r="O109" s="220">
        <v>0</v>
      </c>
      <c r="P109" s="220">
        <v>0</v>
      </c>
      <c r="Q109" s="220">
        <f>SUM(L109:P109)</f>
        <v>192866773</v>
      </c>
      <c r="R109" s="982">
        <f>R65+R73+R97+R101+R85+R89</f>
        <v>28.599999999999998</v>
      </c>
    </row>
    <row r="110" spans="1:18" s="22" customFormat="1" ht="10.5" customHeight="1">
      <c r="A110" s="205"/>
      <c r="B110" s="218"/>
      <c r="C110" s="218"/>
      <c r="D110" s="368" t="s">
        <v>145</v>
      </c>
      <c r="E110" s="220">
        <f>E66+E74+E98+E102+E86+E90</f>
        <v>106691000</v>
      </c>
      <c r="F110" s="220">
        <f aca="true" t="shared" si="35" ref="F110:K110">F66+F74+F98+F102+F86+F90</f>
        <v>26678000</v>
      </c>
      <c r="G110" s="220">
        <f t="shared" si="35"/>
        <v>34528000</v>
      </c>
      <c r="H110" s="220">
        <f t="shared" si="35"/>
        <v>700000</v>
      </c>
      <c r="I110" s="220">
        <f t="shared" si="35"/>
        <v>0</v>
      </c>
      <c r="J110" s="220">
        <f t="shared" si="35"/>
        <v>26084773</v>
      </c>
      <c r="K110" s="220">
        <f t="shared" si="35"/>
        <v>0</v>
      </c>
      <c r="L110" s="220">
        <f>SUM(E110:K110)</f>
        <v>194681773</v>
      </c>
      <c r="M110" s="220">
        <v>0</v>
      </c>
      <c r="N110" s="220">
        <v>0</v>
      </c>
      <c r="O110" s="220">
        <v>0</v>
      </c>
      <c r="P110" s="220">
        <v>0</v>
      </c>
      <c r="Q110" s="220">
        <f>SUM(L110:P110)</f>
        <v>194681773</v>
      </c>
      <c r="R110" s="982">
        <f>R66+R74+R98+R102+R86+R90</f>
        <v>28.599999999999998</v>
      </c>
    </row>
    <row r="111" spans="1:18" s="22" customFormat="1" ht="10.5" customHeight="1" thickBot="1">
      <c r="A111" s="244"/>
      <c r="B111" s="260"/>
      <c r="C111" s="260"/>
      <c r="D111" s="447" t="s">
        <v>146</v>
      </c>
      <c r="E111" s="220">
        <f>E67+E75+E99+E103+E87+E91</f>
        <v>92147472</v>
      </c>
      <c r="F111" s="220">
        <f aca="true" t="shared" si="36" ref="F111:K111">F67+F75+F99+F103+F87+F91</f>
        <v>23230734</v>
      </c>
      <c r="G111" s="220">
        <f t="shared" si="36"/>
        <v>29679706</v>
      </c>
      <c r="H111" s="220">
        <f t="shared" si="36"/>
        <v>0</v>
      </c>
      <c r="I111" s="220">
        <f t="shared" si="36"/>
        <v>0</v>
      </c>
      <c r="J111" s="220">
        <f t="shared" si="36"/>
        <v>26084773</v>
      </c>
      <c r="K111" s="220">
        <f t="shared" si="36"/>
        <v>0</v>
      </c>
      <c r="L111" s="248">
        <f>SUM(E111:K111)</f>
        <v>171142685</v>
      </c>
      <c r="M111" s="248">
        <v>0</v>
      </c>
      <c r="N111" s="248">
        <v>0</v>
      </c>
      <c r="O111" s="248">
        <v>0</v>
      </c>
      <c r="P111" s="248">
        <v>0</v>
      </c>
      <c r="Q111" s="248">
        <f>SUM(L111:P111)</f>
        <v>171142685</v>
      </c>
      <c r="R111" s="982">
        <f>R67+R75+R99+R103+R87+R91</f>
        <v>26.599999999999998</v>
      </c>
    </row>
    <row r="112" spans="1:18" s="22" customFormat="1" ht="10.5" customHeight="1">
      <c r="A112" s="427"/>
      <c r="B112" s="428"/>
      <c r="C112" s="428"/>
      <c r="D112" s="428" t="s">
        <v>165</v>
      </c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1223"/>
    </row>
    <row r="113" spans="1:18" s="22" customFormat="1" ht="10.5" customHeight="1">
      <c r="A113" s="217"/>
      <c r="B113" s="218"/>
      <c r="C113" s="218"/>
      <c r="D113" s="368" t="s">
        <v>144</v>
      </c>
      <c r="E113" s="220">
        <f aca="true" t="shared" si="37" ref="E113:H115">E69</f>
        <v>50091000</v>
      </c>
      <c r="F113" s="220">
        <f t="shared" si="37"/>
        <v>11418000</v>
      </c>
      <c r="G113" s="220">
        <f t="shared" si="37"/>
        <v>6200000</v>
      </c>
      <c r="H113" s="220">
        <f t="shared" si="37"/>
        <v>0</v>
      </c>
      <c r="I113" s="220">
        <v>0</v>
      </c>
      <c r="J113" s="220">
        <v>0</v>
      </c>
      <c r="K113" s="220">
        <f>K69</f>
        <v>0</v>
      </c>
      <c r="L113" s="220">
        <f>SUM(E113:K113)</f>
        <v>67709000</v>
      </c>
      <c r="M113" s="220"/>
      <c r="N113" s="220"/>
      <c r="O113" s="220"/>
      <c r="P113" s="220"/>
      <c r="Q113" s="220">
        <f>SUM(L113:P113)</f>
        <v>67709000</v>
      </c>
      <c r="R113" s="982">
        <v>13.2</v>
      </c>
    </row>
    <row r="114" spans="1:18" s="22" customFormat="1" ht="10.5" customHeight="1">
      <c r="A114" s="217"/>
      <c r="B114" s="218"/>
      <c r="C114" s="218"/>
      <c r="D114" s="368" t="s">
        <v>145</v>
      </c>
      <c r="E114" s="220">
        <f t="shared" si="37"/>
        <v>50091000</v>
      </c>
      <c r="F114" s="220">
        <f t="shared" si="37"/>
        <v>11418000</v>
      </c>
      <c r="G114" s="220">
        <f t="shared" si="37"/>
        <v>6200000</v>
      </c>
      <c r="H114" s="220">
        <f t="shared" si="37"/>
        <v>0</v>
      </c>
      <c r="I114" s="220">
        <f>I70</f>
        <v>0</v>
      </c>
      <c r="J114" s="220">
        <f>J70</f>
        <v>0</v>
      </c>
      <c r="K114" s="220">
        <f>K70</f>
        <v>0</v>
      </c>
      <c r="L114" s="220">
        <f>SUM(E114:K114)</f>
        <v>67709000</v>
      </c>
      <c r="M114" s="220"/>
      <c r="N114" s="220"/>
      <c r="O114" s="220"/>
      <c r="P114" s="220"/>
      <c r="Q114" s="220">
        <f>SUM(L114:P114)</f>
        <v>67709000</v>
      </c>
      <c r="R114" s="982">
        <v>12.2</v>
      </c>
    </row>
    <row r="115" spans="1:18" s="22" customFormat="1" ht="11.25" customHeight="1" thickBot="1">
      <c r="A115" s="297"/>
      <c r="B115" s="192"/>
      <c r="C115" s="192"/>
      <c r="D115" s="449" t="s">
        <v>146</v>
      </c>
      <c r="E115" s="286">
        <f t="shared" si="37"/>
        <v>46201474</v>
      </c>
      <c r="F115" s="286">
        <f t="shared" si="37"/>
        <v>10716547</v>
      </c>
      <c r="G115" s="286">
        <f t="shared" si="37"/>
        <v>3790514</v>
      </c>
      <c r="H115" s="286">
        <f t="shared" si="37"/>
        <v>0</v>
      </c>
      <c r="I115" s="286">
        <f>I71</f>
        <v>0</v>
      </c>
      <c r="J115" s="286">
        <f>J71</f>
        <v>0</v>
      </c>
      <c r="K115" s="286">
        <f>K71</f>
        <v>0</v>
      </c>
      <c r="L115" s="286">
        <f>SUM(E115:K115)</f>
        <v>60708535</v>
      </c>
      <c r="M115" s="286"/>
      <c r="N115" s="286"/>
      <c r="O115" s="286"/>
      <c r="P115" s="286"/>
      <c r="Q115" s="286">
        <f>SUM(L115:P115)</f>
        <v>60708535</v>
      </c>
      <c r="R115" s="1224">
        <f>R71</f>
        <v>11.2</v>
      </c>
    </row>
    <row r="116" spans="1:18" s="22" customFormat="1" ht="10.5" customHeight="1">
      <c r="A116" s="1603" t="s">
        <v>152</v>
      </c>
      <c r="B116" s="1604"/>
      <c r="C116" s="1604"/>
      <c r="D116" s="1605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41"/>
      <c r="R116" s="1225"/>
    </row>
    <row r="117" spans="1:18" s="22" customFormat="1" ht="10.5" customHeight="1">
      <c r="A117" s="205"/>
      <c r="B117" s="218"/>
      <c r="C117" s="218"/>
      <c r="D117" s="368" t="s">
        <v>144</v>
      </c>
      <c r="E117" s="220">
        <f>E77</f>
        <v>13107000</v>
      </c>
      <c r="F117" s="220">
        <f>F77</f>
        <v>3069000</v>
      </c>
      <c r="G117" s="220">
        <f>G77</f>
        <v>1000000</v>
      </c>
      <c r="H117" s="220">
        <f>H77</f>
        <v>0</v>
      </c>
      <c r="I117" s="220">
        <f>I77</f>
        <v>0</v>
      </c>
      <c r="J117" s="220"/>
      <c r="K117" s="220">
        <f>K77</f>
        <v>0</v>
      </c>
      <c r="L117" s="220">
        <f>SUM(E117:K117)</f>
        <v>17176000</v>
      </c>
      <c r="M117" s="220">
        <f>M77</f>
        <v>0</v>
      </c>
      <c r="N117" s="220">
        <f>N77</f>
        <v>0</v>
      </c>
      <c r="O117" s="220">
        <v>0</v>
      </c>
      <c r="P117" s="220">
        <f>P77</f>
        <v>0</v>
      </c>
      <c r="Q117" s="220">
        <f>SUM(L117:P117)</f>
        <v>17176000</v>
      </c>
      <c r="R117" s="982">
        <f>R77</f>
        <v>4.2</v>
      </c>
    </row>
    <row r="118" spans="1:18" s="22" customFormat="1" ht="10.5" customHeight="1">
      <c r="A118" s="205"/>
      <c r="B118" s="218"/>
      <c r="C118" s="218"/>
      <c r="D118" s="368" t="s">
        <v>145</v>
      </c>
      <c r="E118" s="220">
        <f>E78</f>
        <v>13107000</v>
      </c>
      <c r="F118" s="220">
        <f aca="true" t="shared" si="38" ref="F118:K118">F78</f>
        <v>3069000</v>
      </c>
      <c r="G118" s="220">
        <f t="shared" si="38"/>
        <v>1000000</v>
      </c>
      <c r="H118" s="220">
        <f t="shared" si="38"/>
        <v>0</v>
      </c>
      <c r="I118" s="220">
        <f t="shared" si="38"/>
        <v>0</v>
      </c>
      <c r="J118" s="220">
        <f t="shared" si="38"/>
        <v>0</v>
      </c>
      <c r="K118" s="220">
        <f t="shared" si="38"/>
        <v>0</v>
      </c>
      <c r="L118" s="220">
        <f>SUM(E118:K118)</f>
        <v>17176000</v>
      </c>
      <c r="M118" s="220">
        <v>0</v>
      </c>
      <c r="N118" s="220">
        <v>0</v>
      </c>
      <c r="O118" s="220">
        <v>0</v>
      </c>
      <c r="P118" s="220">
        <v>0</v>
      </c>
      <c r="Q118" s="220">
        <f>SUM(L118:P118)</f>
        <v>17176000</v>
      </c>
      <c r="R118" s="982">
        <f>R78</f>
        <v>4.2</v>
      </c>
    </row>
    <row r="119" spans="1:18" s="22" customFormat="1" ht="10.5" customHeight="1" thickBot="1">
      <c r="A119" s="451"/>
      <c r="B119" s="452"/>
      <c r="C119" s="452"/>
      <c r="D119" s="453" t="s">
        <v>146</v>
      </c>
      <c r="E119" s="252">
        <f>E79</f>
        <v>12372152</v>
      </c>
      <c r="F119" s="252">
        <f aca="true" t="shared" si="39" ref="F119:K119">F79</f>
        <v>2882046</v>
      </c>
      <c r="G119" s="252">
        <f t="shared" si="39"/>
        <v>359650</v>
      </c>
      <c r="H119" s="252">
        <f t="shared" si="39"/>
        <v>0</v>
      </c>
      <c r="I119" s="252">
        <f t="shared" si="39"/>
        <v>0</v>
      </c>
      <c r="J119" s="252">
        <f t="shared" si="39"/>
        <v>0</v>
      </c>
      <c r="K119" s="252">
        <f t="shared" si="39"/>
        <v>0</v>
      </c>
      <c r="L119" s="252">
        <f>SUM(E119:K119)</f>
        <v>15613848</v>
      </c>
      <c r="M119" s="252">
        <v>0</v>
      </c>
      <c r="N119" s="252">
        <v>0</v>
      </c>
      <c r="O119" s="252">
        <v>0</v>
      </c>
      <c r="P119" s="252">
        <v>0</v>
      </c>
      <c r="Q119" s="252">
        <f>SUM(L119:P119)</f>
        <v>15613848</v>
      </c>
      <c r="R119" s="1226">
        <f>R79</f>
        <v>4.2</v>
      </c>
    </row>
    <row r="120" spans="1:18" s="16" customFormat="1" ht="12.75" customHeight="1" thickTop="1">
      <c r="A120" s="228">
        <v>6</v>
      </c>
      <c r="B120" s="190" t="s">
        <v>3</v>
      </c>
      <c r="C120" s="249" t="s">
        <v>106</v>
      </c>
      <c r="D120" s="212" t="s">
        <v>68</v>
      </c>
      <c r="E120" s="285"/>
      <c r="F120" s="285"/>
      <c r="G120" s="222"/>
      <c r="H120" s="285"/>
      <c r="I120" s="285"/>
      <c r="J120" s="285"/>
      <c r="K120" s="285"/>
      <c r="L120" s="285"/>
      <c r="M120" s="285"/>
      <c r="N120" s="285"/>
      <c r="O120" s="285"/>
      <c r="P120" s="285"/>
      <c r="Q120" s="212"/>
      <c r="R120" s="458"/>
    </row>
    <row r="121" spans="1:18" s="16" customFormat="1" ht="12.75" customHeight="1">
      <c r="A121" s="205"/>
      <c r="B121" s="218"/>
      <c r="C121" s="258"/>
      <c r="D121" s="157" t="s">
        <v>144</v>
      </c>
      <c r="E121" s="220"/>
      <c r="F121" s="220"/>
      <c r="G121" s="220">
        <v>2000000</v>
      </c>
      <c r="H121" s="220"/>
      <c r="I121" s="220"/>
      <c r="J121" s="220">
        <v>326000</v>
      </c>
      <c r="K121" s="220"/>
      <c r="L121" s="220">
        <f>SUM(G121:K121)</f>
        <v>2326000</v>
      </c>
      <c r="M121" s="220">
        <v>0</v>
      </c>
      <c r="N121" s="220"/>
      <c r="O121" s="220"/>
      <c r="P121" s="220"/>
      <c r="Q121" s="243">
        <f>SUM(L121:P121)</f>
        <v>2326000</v>
      </c>
      <c r="R121" s="446"/>
    </row>
    <row r="122" spans="1:18" s="16" customFormat="1" ht="12.75" customHeight="1">
      <c r="A122" s="205"/>
      <c r="B122" s="218"/>
      <c r="C122" s="258"/>
      <c r="D122" s="157" t="s">
        <v>145</v>
      </c>
      <c r="E122" s="220"/>
      <c r="F122" s="220"/>
      <c r="G122" s="220">
        <v>2003691</v>
      </c>
      <c r="H122" s="220"/>
      <c r="I122" s="220"/>
      <c r="J122" s="220">
        <v>326000</v>
      </c>
      <c r="K122" s="220"/>
      <c r="L122" s="220">
        <f>SUM(G122:K122)</f>
        <v>2329691</v>
      </c>
      <c r="M122" s="220">
        <v>102000000</v>
      </c>
      <c r="N122" s="220"/>
      <c r="O122" s="220"/>
      <c r="P122" s="220"/>
      <c r="Q122" s="243">
        <f>SUM(L122:P122)</f>
        <v>104329691</v>
      </c>
      <c r="R122" s="446"/>
    </row>
    <row r="123" spans="1:18" s="16" customFormat="1" ht="12.75" customHeight="1" thickBot="1">
      <c r="A123" s="228"/>
      <c r="B123" s="190"/>
      <c r="C123" s="249"/>
      <c r="D123" s="155" t="s">
        <v>146</v>
      </c>
      <c r="E123" s="222"/>
      <c r="F123" s="222"/>
      <c r="G123" s="222">
        <v>494432</v>
      </c>
      <c r="H123" s="222"/>
      <c r="I123" s="222"/>
      <c r="J123" s="222">
        <v>325522</v>
      </c>
      <c r="K123" s="222"/>
      <c r="L123" s="222">
        <f>G123+K123+J123</f>
        <v>819954</v>
      </c>
      <c r="M123" s="222">
        <v>0</v>
      </c>
      <c r="N123" s="222"/>
      <c r="O123" s="222"/>
      <c r="P123" s="222"/>
      <c r="Q123" s="287">
        <f>SUM(L123:P123)</f>
        <v>819954</v>
      </c>
      <c r="R123" s="450"/>
    </row>
    <row r="124" spans="1:18" s="16" customFormat="1" ht="10.5" customHeight="1">
      <c r="A124" s="238">
        <v>7</v>
      </c>
      <c r="B124" s="187" t="s">
        <v>3</v>
      </c>
      <c r="C124" s="242" t="s">
        <v>106</v>
      </c>
      <c r="D124" s="259" t="s">
        <v>90</v>
      </c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41"/>
      <c r="R124" s="359"/>
    </row>
    <row r="125" spans="1:18" s="16" customFormat="1" ht="10.5" customHeight="1">
      <c r="A125" s="205"/>
      <c r="B125" s="218"/>
      <c r="C125" s="258"/>
      <c r="D125" s="157" t="s">
        <v>144</v>
      </c>
      <c r="E125" s="220"/>
      <c r="F125" s="220"/>
      <c r="G125" s="220">
        <v>850000</v>
      </c>
      <c r="H125" s="220"/>
      <c r="I125" s="220"/>
      <c r="J125" s="220"/>
      <c r="K125" s="220"/>
      <c r="L125" s="220">
        <f>SUM(G125:K125)</f>
        <v>850000</v>
      </c>
      <c r="M125" s="220">
        <v>5000000</v>
      </c>
      <c r="N125" s="220"/>
      <c r="O125" s="220"/>
      <c r="P125" s="220"/>
      <c r="Q125" s="243">
        <f>SUM(L125:P125)</f>
        <v>5850000</v>
      </c>
      <c r="R125" s="446"/>
    </row>
    <row r="126" spans="1:18" s="16" customFormat="1" ht="10.5" customHeight="1">
      <c r="A126" s="205"/>
      <c r="B126" s="218"/>
      <c r="C126" s="258"/>
      <c r="D126" s="157" t="s">
        <v>145</v>
      </c>
      <c r="E126" s="220"/>
      <c r="F126" s="220"/>
      <c r="G126" s="220">
        <v>850000</v>
      </c>
      <c r="H126" s="220"/>
      <c r="I126" s="220"/>
      <c r="J126" s="220"/>
      <c r="K126" s="220"/>
      <c r="L126" s="220">
        <f>SUM(G126:K126)</f>
        <v>850000</v>
      </c>
      <c r="M126" s="220">
        <v>0</v>
      </c>
      <c r="N126" s="220"/>
      <c r="O126" s="220"/>
      <c r="P126" s="220"/>
      <c r="Q126" s="243">
        <f>SUM(L126:P126)</f>
        <v>850000</v>
      </c>
      <c r="R126" s="446"/>
    </row>
    <row r="127" spans="1:18" s="16" customFormat="1" ht="10.5" customHeight="1" thickBot="1">
      <c r="A127" s="244"/>
      <c r="B127" s="260"/>
      <c r="C127" s="261"/>
      <c r="D127" s="246" t="s">
        <v>146</v>
      </c>
      <c r="E127" s="248"/>
      <c r="F127" s="248"/>
      <c r="G127" s="248">
        <v>182859</v>
      </c>
      <c r="H127" s="248"/>
      <c r="I127" s="248"/>
      <c r="J127" s="248"/>
      <c r="K127" s="248"/>
      <c r="L127" s="248">
        <f>SUM(G127:K127)</f>
        <v>182859</v>
      </c>
      <c r="M127" s="248">
        <v>0</v>
      </c>
      <c r="N127" s="248"/>
      <c r="O127" s="248"/>
      <c r="P127" s="248"/>
      <c r="Q127" s="262">
        <f>SUM(L127:P127)</f>
        <v>182859</v>
      </c>
      <c r="R127" s="448"/>
    </row>
    <row r="128" spans="1:18" s="16" customFormat="1" ht="10.5" customHeight="1">
      <c r="A128" s="228">
        <v>8</v>
      </c>
      <c r="B128" s="190" t="s">
        <v>3</v>
      </c>
      <c r="C128" s="249" t="s">
        <v>106</v>
      </c>
      <c r="D128" s="231" t="s">
        <v>91</v>
      </c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12"/>
      <c r="R128" s="458"/>
    </row>
    <row r="129" spans="1:18" s="16" customFormat="1" ht="10.5" customHeight="1">
      <c r="A129" s="205"/>
      <c r="B129" s="218"/>
      <c r="C129" s="258"/>
      <c r="D129" s="157" t="s">
        <v>144</v>
      </c>
      <c r="E129" s="220"/>
      <c r="F129" s="220"/>
      <c r="G129" s="220">
        <v>400000</v>
      </c>
      <c r="H129" s="220"/>
      <c r="I129" s="220"/>
      <c r="J129" s="220"/>
      <c r="K129" s="220"/>
      <c r="L129" s="220">
        <f>SUM(E129:K129)</f>
        <v>400000</v>
      </c>
      <c r="M129" s="220">
        <v>108761565</v>
      </c>
      <c r="N129" s="220"/>
      <c r="O129" s="220"/>
      <c r="P129" s="220"/>
      <c r="Q129" s="243">
        <f>SUM(L129:M129)</f>
        <v>109161565</v>
      </c>
      <c r="R129" s="446"/>
    </row>
    <row r="130" spans="1:18" s="16" customFormat="1" ht="10.5" customHeight="1">
      <c r="A130" s="205"/>
      <c r="B130" s="218"/>
      <c r="C130" s="258"/>
      <c r="D130" s="157" t="s">
        <v>145</v>
      </c>
      <c r="E130" s="220"/>
      <c r="F130" s="220"/>
      <c r="G130" s="220">
        <v>400000</v>
      </c>
      <c r="H130" s="220"/>
      <c r="I130" s="220"/>
      <c r="J130" s="220"/>
      <c r="K130" s="220"/>
      <c r="L130" s="220">
        <f>SUM(E130:K130)</f>
        <v>400000</v>
      </c>
      <c r="M130" s="220">
        <v>96761565</v>
      </c>
      <c r="N130" s="220"/>
      <c r="O130" s="220"/>
      <c r="P130" s="220"/>
      <c r="Q130" s="243">
        <f>SUM(L130:P130)</f>
        <v>97161565</v>
      </c>
      <c r="R130" s="446"/>
    </row>
    <row r="131" spans="1:18" s="16" customFormat="1" ht="10.5" customHeight="1" thickBot="1">
      <c r="A131" s="228"/>
      <c r="B131" s="190"/>
      <c r="C131" s="249"/>
      <c r="D131" s="155" t="s">
        <v>146</v>
      </c>
      <c r="E131" s="222"/>
      <c r="F131" s="222"/>
      <c r="G131" s="222">
        <v>0</v>
      </c>
      <c r="H131" s="222"/>
      <c r="I131" s="222"/>
      <c r="J131" s="222"/>
      <c r="K131" s="222"/>
      <c r="L131" s="222">
        <f>SUM(E131:J131)</f>
        <v>0</v>
      </c>
      <c r="M131" s="222">
        <f>419100+1367790</f>
        <v>1786890</v>
      </c>
      <c r="N131" s="222"/>
      <c r="O131" s="222"/>
      <c r="P131" s="222"/>
      <c r="Q131" s="212">
        <f>SUM(L131:P131)</f>
        <v>1786890</v>
      </c>
      <c r="R131" s="458"/>
    </row>
    <row r="132" spans="1:18" ht="12.75" customHeight="1">
      <c r="A132" s="263">
        <v>9</v>
      </c>
      <c r="B132" s="264"/>
      <c r="C132" s="223"/>
      <c r="D132" s="257" t="s">
        <v>197</v>
      </c>
      <c r="E132" s="282"/>
      <c r="F132" s="282"/>
      <c r="G132" s="224"/>
      <c r="H132" s="282"/>
      <c r="I132" s="282"/>
      <c r="J132" s="282"/>
      <c r="K132" s="282"/>
      <c r="L132" s="282"/>
      <c r="M132" s="282"/>
      <c r="N132" s="282"/>
      <c r="O132" s="282"/>
      <c r="P132" s="282"/>
      <c r="Q132" s="257"/>
      <c r="R132" s="459"/>
    </row>
    <row r="133" spans="1:18" ht="10.5" customHeight="1">
      <c r="A133" s="228"/>
      <c r="B133" s="204"/>
      <c r="C133" s="202"/>
      <c r="D133" s="136" t="s">
        <v>144</v>
      </c>
      <c r="E133" s="222">
        <f>E137+E144+E148+E152+E164+E176+E188+E180+E192+E196+E140+E184</f>
        <v>300000</v>
      </c>
      <c r="F133" s="222">
        <f aca="true" t="shared" si="40" ref="F133:K133">F137+F144+F148+F152+F164+F176+F188+F180+F192+F196+F140+F184</f>
        <v>83000</v>
      </c>
      <c r="G133" s="222">
        <f t="shared" si="40"/>
        <v>235912000</v>
      </c>
      <c r="H133" s="222">
        <f t="shared" si="40"/>
        <v>0</v>
      </c>
      <c r="I133" s="222">
        <f t="shared" si="40"/>
        <v>44843376</v>
      </c>
      <c r="J133" s="222">
        <f t="shared" si="40"/>
        <v>300000</v>
      </c>
      <c r="K133" s="222">
        <f t="shared" si="40"/>
        <v>0</v>
      </c>
      <c r="L133" s="222">
        <f>SUM(E133:K133)</f>
        <v>281438376</v>
      </c>
      <c r="M133" s="222">
        <f aca="true" t="shared" si="41" ref="M133:P135">M137+M144+M148+M152+M164+M176+M188+M180+M192+M196+M140+M184</f>
        <v>315151639</v>
      </c>
      <c r="N133" s="222">
        <f t="shared" si="41"/>
        <v>4513216</v>
      </c>
      <c r="O133" s="222">
        <f t="shared" si="41"/>
        <v>0</v>
      </c>
      <c r="P133" s="222">
        <f t="shared" si="41"/>
        <v>0</v>
      </c>
      <c r="Q133" s="222">
        <f>SUM(L133:P133)</f>
        <v>601103231</v>
      </c>
      <c r="R133" s="458"/>
    </row>
    <row r="134" spans="1:18" ht="10.5" customHeight="1">
      <c r="A134" s="205"/>
      <c r="B134" s="208"/>
      <c r="C134" s="207"/>
      <c r="D134" s="157" t="s">
        <v>145</v>
      </c>
      <c r="E134" s="220">
        <f aca="true" t="shared" si="42" ref="E134:K135">E138+E145+E149+E153+E165+E177+E189+E181+E193+E197+E141+E185</f>
        <v>300000</v>
      </c>
      <c r="F134" s="220">
        <f t="shared" si="42"/>
        <v>83000</v>
      </c>
      <c r="G134" s="220">
        <f t="shared" si="42"/>
        <v>257012885</v>
      </c>
      <c r="H134" s="220">
        <f t="shared" si="42"/>
        <v>0</v>
      </c>
      <c r="I134" s="220">
        <f t="shared" si="42"/>
        <v>44843376</v>
      </c>
      <c r="J134" s="220">
        <f t="shared" si="42"/>
        <v>300000</v>
      </c>
      <c r="K134" s="220">
        <f t="shared" si="42"/>
        <v>0</v>
      </c>
      <c r="L134" s="220">
        <f>SUM(E134:K134)</f>
        <v>302539261</v>
      </c>
      <c r="M134" s="220">
        <f t="shared" si="41"/>
        <v>1326012818</v>
      </c>
      <c r="N134" s="220">
        <f t="shared" si="41"/>
        <v>4513216</v>
      </c>
      <c r="O134" s="220">
        <f t="shared" si="41"/>
        <v>0</v>
      </c>
      <c r="P134" s="220">
        <f t="shared" si="41"/>
        <v>0</v>
      </c>
      <c r="Q134" s="220">
        <f>SUM(L134:P134)</f>
        <v>1633065295</v>
      </c>
      <c r="R134" s="446"/>
    </row>
    <row r="135" spans="1:18" ht="10.5" customHeight="1">
      <c r="A135" s="205"/>
      <c r="B135" s="208"/>
      <c r="C135" s="207"/>
      <c r="D135" s="157" t="s">
        <v>146</v>
      </c>
      <c r="E135" s="222">
        <f t="shared" si="42"/>
        <v>288750</v>
      </c>
      <c r="F135" s="222">
        <f t="shared" si="42"/>
        <v>57173</v>
      </c>
      <c r="G135" s="222">
        <f>G139+G146+G150+G154+G166+G178+G190+G182+G194+G198+G142+G186</f>
        <v>194312035</v>
      </c>
      <c r="H135" s="222">
        <f t="shared" si="42"/>
        <v>0</v>
      </c>
      <c r="I135" s="222">
        <f t="shared" si="42"/>
        <v>43465701</v>
      </c>
      <c r="J135" s="222">
        <f t="shared" si="42"/>
        <v>0</v>
      </c>
      <c r="K135" s="222">
        <f t="shared" si="42"/>
        <v>0</v>
      </c>
      <c r="L135" s="222">
        <f>SUM(E135:K135)</f>
        <v>238123659</v>
      </c>
      <c r="M135" s="222">
        <f>M139+M146+M150+M154+M166+M178+M190+M182+M194+M198+M142+M186</f>
        <v>69800602</v>
      </c>
      <c r="N135" s="222">
        <f t="shared" si="41"/>
        <v>0</v>
      </c>
      <c r="O135" s="222">
        <f t="shared" si="41"/>
        <v>0</v>
      </c>
      <c r="P135" s="222">
        <f t="shared" si="41"/>
        <v>0</v>
      </c>
      <c r="Q135" s="222">
        <f>SUM(L135:P135)</f>
        <v>307924261</v>
      </c>
      <c r="R135" s="446"/>
    </row>
    <row r="136" spans="1:18" ht="14.25" customHeight="1">
      <c r="A136" s="205"/>
      <c r="B136" s="208" t="s">
        <v>3</v>
      </c>
      <c r="C136" s="207"/>
      <c r="D136" s="1600" t="s">
        <v>170</v>
      </c>
      <c r="E136" s="1601"/>
      <c r="F136" s="1602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446"/>
    </row>
    <row r="137" spans="1:18" ht="10.5" customHeight="1">
      <c r="A137" s="205"/>
      <c r="B137" s="208"/>
      <c r="C137" s="207" t="s">
        <v>106</v>
      </c>
      <c r="D137" s="157" t="s">
        <v>144</v>
      </c>
      <c r="E137" s="197"/>
      <c r="F137" s="197"/>
      <c r="G137" s="197">
        <v>55000000</v>
      </c>
      <c r="H137" s="197"/>
      <c r="I137" s="197">
        <v>3100000</v>
      </c>
      <c r="J137" s="197"/>
      <c r="K137" s="197"/>
      <c r="L137" s="197">
        <f>SUM(E137:K137)</f>
        <v>58100000</v>
      </c>
      <c r="M137" s="197">
        <v>19358000</v>
      </c>
      <c r="N137" s="220"/>
      <c r="O137" s="220"/>
      <c r="P137" s="220"/>
      <c r="Q137" s="220">
        <f aca="true" t="shared" si="43" ref="Q137:Q142">SUM(L137:P137)</f>
        <v>77458000</v>
      </c>
      <c r="R137" s="446"/>
    </row>
    <row r="138" spans="1:18" ht="10.5" customHeight="1">
      <c r="A138" s="205"/>
      <c r="B138" s="208"/>
      <c r="C138" s="207"/>
      <c r="D138" s="157" t="s">
        <v>145</v>
      </c>
      <c r="E138" s="197"/>
      <c r="F138" s="197"/>
      <c r="G138" s="197">
        <v>49582611</v>
      </c>
      <c r="H138" s="197"/>
      <c r="I138" s="197">
        <v>3100000</v>
      </c>
      <c r="J138" s="197"/>
      <c r="K138" s="197"/>
      <c r="L138" s="197">
        <f aca="true" t="shared" si="44" ref="L138:L189">SUM(E138:K138)</f>
        <v>52682611</v>
      </c>
      <c r="M138" s="197">
        <v>21730235</v>
      </c>
      <c r="N138" s="220"/>
      <c r="O138" s="220"/>
      <c r="P138" s="220"/>
      <c r="Q138" s="220">
        <f t="shared" si="43"/>
        <v>74412846</v>
      </c>
      <c r="R138" s="446"/>
    </row>
    <row r="139" spans="1:18" ht="10.5" customHeight="1">
      <c r="A139" s="205"/>
      <c r="B139" s="208"/>
      <c r="C139" s="207"/>
      <c r="D139" s="157" t="s">
        <v>146</v>
      </c>
      <c r="E139" s="197"/>
      <c r="F139" s="197"/>
      <c r="G139" s="197">
        <f>2426484+30589571+18463</f>
        <v>33034518</v>
      </c>
      <c r="H139" s="197"/>
      <c r="I139" s="197">
        <v>1722325</v>
      </c>
      <c r="J139" s="197"/>
      <c r="K139" s="197"/>
      <c r="L139" s="197">
        <f>SUM(E139:K139)</f>
        <v>34756843</v>
      </c>
      <c r="M139" s="197">
        <f>514900+1644650+1049303+371738+190598+4220601+1306845+2207457+3076703</f>
        <v>14582795</v>
      </c>
      <c r="N139" s="220"/>
      <c r="O139" s="220"/>
      <c r="P139" s="220"/>
      <c r="Q139" s="220">
        <f t="shared" si="43"/>
        <v>49339638</v>
      </c>
      <c r="R139" s="446"/>
    </row>
    <row r="140" spans="1:18" ht="10.5" customHeight="1">
      <c r="A140" s="205"/>
      <c r="B140" s="208"/>
      <c r="C140" s="207" t="s">
        <v>107</v>
      </c>
      <c r="D140" s="157" t="s">
        <v>144</v>
      </c>
      <c r="E140" s="197"/>
      <c r="F140" s="197"/>
      <c r="G140" s="197">
        <v>14000000</v>
      </c>
      <c r="H140" s="197"/>
      <c r="I140" s="197"/>
      <c r="J140" s="197"/>
      <c r="K140" s="197"/>
      <c r="L140" s="197">
        <f>SUM(E140:K140)</f>
        <v>14000000</v>
      </c>
      <c r="M140" s="197">
        <v>9683000</v>
      </c>
      <c r="N140" s="220"/>
      <c r="O140" s="220"/>
      <c r="P140" s="220"/>
      <c r="Q140" s="220">
        <f t="shared" si="43"/>
        <v>23683000</v>
      </c>
      <c r="R140" s="446"/>
    </row>
    <row r="141" spans="1:18" ht="10.5" customHeight="1">
      <c r="A141" s="205"/>
      <c r="B141" s="208"/>
      <c r="C141" s="207"/>
      <c r="D141" s="157" t="s">
        <v>145</v>
      </c>
      <c r="E141" s="197"/>
      <c r="F141" s="197"/>
      <c r="G141" s="197">
        <v>17612535</v>
      </c>
      <c r="H141" s="197"/>
      <c r="I141" s="197"/>
      <c r="J141" s="197"/>
      <c r="K141" s="197"/>
      <c r="L141" s="197">
        <f>SUM(E141:K141)</f>
        <v>17612535</v>
      </c>
      <c r="M141" s="197">
        <v>9716270</v>
      </c>
      <c r="N141" s="220"/>
      <c r="O141" s="220"/>
      <c r="P141" s="220"/>
      <c r="Q141" s="220">
        <f t="shared" si="43"/>
        <v>27328805</v>
      </c>
      <c r="R141" s="446"/>
    </row>
    <row r="142" spans="1:18" ht="10.5" customHeight="1">
      <c r="A142" s="205"/>
      <c r="B142" s="208"/>
      <c r="C142" s="207"/>
      <c r="D142" s="157" t="s">
        <v>146</v>
      </c>
      <c r="E142" s="197"/>
      <c r="F142" s="197"/>
      <c r="G142" s="197">
        <f>132000+200000+409899+10842875-9966000</f>
        <v>1618774</v>
      </c>
      <c r="H142" s="197"/>
      <c r="I142" s="197"/>
      <c r="J142" s="197"/>
      <c r="K142" s="197"/>
      <c r="L142" s="197">
        <f>SUM(E142:K142)</f>
        <v>1618774</v>
      </c>
      <c r="M142" s="197">
        <f>40694+54990+620000+551078+248291+2821814+249286+660386</f>
        <v>5246539</v>
      </c>
      <c r="N142" s="220"/>
      <c r="O142" s="220"/>
      <c r="P142" s="220"/>
      <c r="Q142" s="220">
        <f t="shared" si="43"/>
        <v>6865313</v>
      </c>
      <c r="R142" s="446"/>
    </row>
    <row r="143" spans="1:18" ht="24" customHeight="1">
      <c r="A143" s="205"/>
      <c r="B143" s="208" t="s">
        <v>4</v>
      </c>
      <c r="C143" s="207" t="s">
        <v>107</v>
      </c>
      <c r="D143" s="251" t="s">
        <v>167</v>
      </c>
      <c r="E143" s="197"/>
      <c r="F143" s="197"/>
      <c r="G143" s="197"/>
      <c r="H143" s="197"/>
      <c r="I143" s="197"/>
      <c r="J143" s="197"/>
      <c r="K143" s="197"/>
      <c r="L143" s="197"/>
      <c r="M143" s="220"/>
      <c r="N143" s="220"/>
      <c r="O143" s="220"/>
      <c r="P143" s="220"/>
      <c r="Q143" s="220"/>
      <c r="R143" s="446"/>
    </row>
    <row r="144" spans="1:18" ht="10.5" customHeight="1">
      <c r="A144" s="205"/>
      <c r="B144" s="208"/>
      <c r="C144" s="207"/>
      <c r="D144" s="157" t="s">
        <v>144</v>
      </c>
      <c r="E144" s="197"/>
      <c r="F144" s="197"/>
      <c r="G144" s="197">
        <v>10000000</v>
      </c>
      <c r="H144" s="197"/>
      <c r="I144" s="197"/>
      <c r="J144" s="197"/>
      <c r="K144" s="197"/>
      <c r="L144" s="197">
        <f t="shared" si="44"/>
        <v>10000000</v>
      </c>
      <c r="M144" s="220"/>
      <c r="N144" s="220"/>
      <c r="O144" s="220"/>
      <c r="P144" s="220"/>
      <c r="Q144" s="220">
        <f>SUM(L144:P144)</f>
        <v>10000000</v>
      </c>
      <c r="R144" s="446"/>
    </row>
    <row r="145" spans="1:18" ht="10.5" customHeight="1">
      <c r="A145" s="205"/>
      <c r="B145" s="208"/>
      <c r="C145" s="207"/>
      <c r="D145" s="157" t="s">
        <v>145</v>
      </c>
      <c r="E145" s="197"/>
      <c r="F145" s="197"/>
      <c r="G145" s="197">
        <v>12000000</v>
      </c>
      <c r="H145" s="197"/>
      <c r="I145" s="197"/>
      <c r="J145" s="197"/>
      <c r="K145" s="197"/>
      <c r="L145" s="197">
        <f t="shared" si="44"/>
        <v>12000000</v>
      </c>
      <c r="M145" s="220"/>
      <c r="N145" s="220"/>
      <c r="O145" s="220"/>
      <c r="P145" s="220"/>
      <c r="Q145" s="220">
        <f>SUM(L145:P145)</f>
        <v>12000000</v>
      </c>
      <c r="R145" s="446"/>
    </row>
    <row r="146" spans="1:18" ht="10.5" customHeight="1">
      <c r="A146" s="205"/>
      <c r="B146" s="208"/>
      <c r="C146" s="207"/>
      <c r="D146" s="157" t="s">
        <v>146</v>
      </c>
      <c r="E146" s="197"/>
      <c r="F146" s="197"/>
      <c r="G146" s="197">
        <f>5972000+3994000</f>
        <v>9966000</v>
      </c>
      <c r="H146" s="197"/>
      <c r="I146" s="197"/>
      <c r="J146" s="197"/>
      <c r="K146" s="197"/>
      <c r="L146" s="197">
        <f t="shared" si="44"/>
        <v>9966000</v>
      </c>
      <c r="M146" s="220"/>
      <c r="N146" s="220"/>
      <c r="O146" s="220"/>
      <c r="P146" s="220"/>
      <c r="Q146" s="220">
        <f>SUM(L146:P146)</f>
        <v>9966000</v>
      </c>
      <c r="R146" s="446"/>
    </row>
    <row r="147" spans="1:18" ht="27.75" customHeight="1">
      <c r="A147" s="205"/>
      <c r="B147" s="208" t="s">
        <v>5</v>
      </c>
      <c r="C147" s="207" t="s">
        <v>106</v>
      </c>
      <c r="D147" s="1589" t="s">
        <v>171</v>
      </c>
      <c r="E147" s="1590"/>
      <c r="F147" s="1590"/>
      <c r="G147" s="1590"/>
      <c r="H147" s="1591"/>
      <c r="I147" s="236"/>
      <c r="J147" s="236"/>
      <c r="K147" s="236"/>
      <c r="L147" s="197"/>
      <c r="M147" s="284"/>
      <c r="N147" s="284"/>
      <c r="O147" s="284"/>
      <c r="P147" s="284"/>
      <c r="Q147" s="220"/>
      <c r="R147" s="446"/>
    </row>
    <row r="148" spans="1:18" ht="10.5" customHeight="1">
      <c r="A148" s="205"/>
      <c r="B148" s="208"/>
      <c r="C148" s="207"/>
      <c r="D148" s="157" t="s">
        <v>144</v>
      </c>
      <c r="E148" s="236"/>
      <c r="F148" s="236"/>
      <c r="G148" s="197">
        <v>12000000</v>
      </c>
      <c r="H148" s="197"/>
      <c r="I148" s="197"/>
      <c r="J148" s="197"/>
      <c r="K148" s="197"/>
      <c r="L148" s="197">
        <f t="shared" si="44"/>
        <v>12000000</v>
      </c>
      <c r="M148" s="220"/>
      <c r="N148" s="220"/>
      <c r="O148" s="220"/>
      <c r="P148" s="284"/>
      <c r="Q148" s="220">
        <f>SUM(L148:P148)</f>
        <v>12000000</v>
      </c>
      <c r="R148" s="446"/>
    </row>
    <row r="149" spans="1:18" ht="10.5" customHeight="1">
      <c r="A149" s="205"/>
      <c r="B149" s="208"/>
      <c r="C149" s="207"/>
      <c r="D149" s="157" t="s">
        <v>145</v>
      </c>
      <c r="E149" s="236"/>
      <c r="F149" s="236"/>
      <c r="G149" s="197">
        <v>12841123</v>
      </c>
      <c r="H149" s="197"/>
      <c r="I149" s="197"/>
      <c r="J149" s="197"/>
      <c r="K149" s="197"/>
      <c r="L149" s="197">
        <f t="shared" si="44"/>
        <v>12841123</v>
      </c>
      <c r="M149" s="220"/>
      <c r="N149" s="220"/>
      <c r="O149" s="220"/>
      <c r="P149" s="284"/>
      <c r="Q149" s="220">
        <f>SUM(L149:P149)</f>
        <v>12841123</v>
      </c>
      <c r="R149" s="446"/>
    </row>
    <row r="150" spans="1:18" ht="10.5" customHeight="1">
      <c r="A150" s="205"/>
      <c r="B150" s="208"/>
      <c r="C150" s="207"/>
      <c r="D150" s="157" t="s">
        <v>146</v>
      </c>
      <c r="E150" s="236"/>
      <c r="F150" s="236"/>
      <c r="G150" s="197">
        <f>317500+13970+6592056</f>
        <v>6923526</v>
      </c>
      <c r="H150" s="197"/>
      <c r="I150" s="197"/>
      <c r="J150" s="197"/>
      <c r="K150" s="197"/>
      <c r="L150" s="197">
        <f t="shared" si="44"/>
        <v>6923526</v>
      </c>
      <c r="M150" s="220"/>
      <c r="N150" s="220"/>
      <c r="O150" s="220"/>
      <c r="P150" s="284"/>
      <c r="Q150" s="220">
        <f>SUM(L150:P150)</f>
        <v>6923526</v>
      </c>
      <c r="R150" s="446"/>
    </row>
    <row r="151" spans="1:18" ht="10.5" customHeight="1">
      <c r="A151" s="205"/>
      <c r="B151" s="208" t="s">
        <v>6</v>
      </c>
      <c r="C151" s="207"/>
      <c r="D151" s="235" t="s">
        <v>592</v>
      </c>
      <c r="E151" s="197"/>
      <c r="F151" s="197"/>
      <c r="G151" s="197"/>
      <c r="H151" s="197"/>
      <c r="I151" s="197"/>
      <c r="J151" s="197"/>
      <c r="K151" s="197"/>
      <c r="L151" s="197"/>
      <c r="M151" s="220"/>
      <c r="N151" s="220"/>
      <c r="O151" s="220"/>
      <c r="P151" s="220"/>
      <c r="Q151" s="220"/>
      <c r="R151" s="446"/>
    </row>
    <row r="152" spans="1:18" ht="10.5" customHeight="1">
      <c r="A152" s="205"/>
      <c r="B152" s="208"/>
      <c r="C152" s="207"/>
      <c r="D152" s="157" t="s">
        <v>144</v>
      </c>
      <c r="E152" s="197"/>
      <c r="F152" s="197"/>
      <c r="G152" s="197">
        <f>G156+G160</f>
        <v>13500000</v>
      </c>
      <c r="H152" s="197"/>
      <c r="I152" s="197"/>
      <c r="J152" s="197"/>
      <c r="K152" s="197"/>
      <c r="L152" s="197">
        <f t="shared" si="44"/>
        <v>13500000</v>
      </c>
      <c r="M152" s="220"/>
      <c r="N152" s="220"/>
      <c r="O152" s="220"/>
      <c r="P152" s="220"/>
      <c r="Q152" s="220">
        <f>SUM(L152:P152)</f>
        <v>13500000</v>
      </c>
      <c r="R152" s="446"/>
    </row>
    <row r="153" spans="1:18" ht="10.5" customHeight="1">
      <c r="A153" s="205"/>
      <c r="B153" s="208"/>
      <c r="C153" s="207"/>
      <c r="D153" s="157" t="s">
        <v>145</v>
      </c>
      <c r="E153" s="197"/>
      <c r="F153" s="197"/>
      <c r="G153" s="197">
        <f>G157+G161</f>
        <v>16381079</v>
      </c>
      <c r="H153" s="197"/>
      <c r="I153" s="197"/>
      <c r="J153" s="197"/>
      <c r="K153" s="197"/>
      <c r="L153" s="197">
        <f t="shared" si="44"/>
        <v>16381079</v>
      </c>
      <c r="M153" s="220"/>
      <c r="N153" s="220"/>
      <c r="O153" s="220"/>
      <c r="P153" s="220"/>
      <c r="Q153" s="220">
        <f>SUM(L153:P153)</f>
        <v>16381079</v>
      </c>
      <c r="R153" s="446"/>
    </row>
    <row r="154" spans="1:18" ht="10.5" customHeight="1">
      <c r="A154" s="205"/>
      <c r="B154" s="208"/>
      <c r="C154" s="207"/>
      <c r="D154" s="157" t="s">
        <v>146</v>
      </c>
      <c r="E154" s="197"/>
      <c r="F154" s="197"/>
      <c r="G154" s="197">
        <f>G158+G162</f>
        <v>9225190</v>
      </c>
      <c r="H154" s="197"/>
      <c r="I154" s="197"/>
      <c r="J154" s="197"/>
      <c r="K154" s="197"/>
      <c r="L154" s="197">
        <f t="shared" si="44"/>
        <v>9225190</v>
      </c>
      <c r="M154" s="220"/>
      <c r="N154" s="220"/>
      <c r="O154" s="220"/>
      <c r="P154" s="220"/>
      <c r="Q154" s="220">
        <f>SUM(L154:P154)</f>
        <v>9225190</v>
      </c>
      <c r="R154" s="446"/>
    </row>
    <row r="155" spans="1:18" s="20" customFormat="1" ht="10.5" customHeight="1">
      <c r="A155" s="386"/>
      <c r="B155" s="391"/>
      <c r="C155" s="371" t="s">
        <v>106</v>
      </c>
      <c r="D155" s="387" t="s">
        <v>169</v>
      </c>
      <c r="E155" s="373"/>
      <c r="F155" s="373"/>
      <c r="G155" s="373"/>
      <c r="H155" s="373"/>
      <c r="I155" s="373"/>
      <c r="J155" s="373"/>
      <c r="K155" s="373"/>
      <c r="L155" s="373"/>
      <c r="M155" s="374"/>
      <c r="N155" s="374"/>
      <c r="O155" s="374"/>
      <c r="P155" s="374"/>
      <c r="Q155" s="374"/>
      <c r="R155" s="472"/>
    </row>
    <row r="156" spans="1:18" s="20" customFormat="1" ht="10.5" customHeight="1">
      <c r="A156" s="386"/>
      <c r="B156" s="391"/>
      <c r="C156" s="371"/>
      <c r="D156" s="389" t="s">
        <v>144</v>
      </c>
      <c r="E156" s="373"/>
      <c r="F156" s="373"/>
      <c r="G156" s="373">
        <v>12000000</v>
      </c>
      <c r="H156" s="373"/>
      <c r="I156" s="373"/>
      <c r="J156" s="373"/>
      <c r="K156" s="373"/>
      <c r="L156" s="373">
        <f t="shared" si="44"/>
        <v>12000000</v>
      </c>
      <c r="M156" s="374"/>
      <c r="N156" s="374"/>
      <c r="O156" s="374"/>
      <c r="P156" s="374"/>
      <c r="Q156" s="374">
        <f>SUM(L156:P156)</f>
        <v>12000000</v>
      </c>
      <c r="R156" s="472"/>
    </row>
    <row r="157" spans="1:18" s="20" customFormat="1" ht="10.5" customHeight="1">
      <c r="A157" s="386"/>
      <c r="B157" s="391"/>
      <c r="C157" s="371"/>
      <c r="D157" s="389" t="s">
        <v>145</v>
      </c>
      <c r="E157" s="373"/>
      <c r="F157" s="373"/>
      <c r="G157" s="373">
        <v>13865751</v>
      </c>
      <c r="H157" s="373"/>
      <c r="I157" s="373"/>
      <c r="J157" s="373"/>
      <c r="K157" s="373"/>
      <c r="L157" s="373">
        <f t="shared" si="44"/>
        <v>13865751</v>
      </c>
      <c r="M157" s="374"/>
      <c r="N157" s="374"/>
      <c r="O157" s="374"/>
      <c r="P157" s="374"/>
      <c r="Q157" s="374">
        <f>SUM(L157:P157)</f>
        <v>13865751</v>
      </c>
      <c r="R157" s="472"/>
    </row>
    <row r="158" spans="1:18" s="20" customFormat="1" ht="10.5" customHeight="1">
      <c r="A158" s="386"/>
      <c r="B158" s="391"/>
      <c r="C158" s="371"/>
      <c r="D158" s="389" t="s">
        <v>146</v>
      </c>
      <c r="E158" s="373"/>
      <c r="F158" s="373"/>
      <c r="G158" s="373">
        <f>143839+347695+4575793+2510981</f>
        <v>7578308</v>
      </c>
      <c r="H158" s="373"/>
      <c r="I158" s="373"/>
      <c r="J158" s="373"/>
      <c r="K158" s="373"/>
      <c r="L158" s="373">
        <f t="shared" si="44"/>
        <v>7578308</v>
      </c>
      <c r="M158" s="374"/>
      <c r="N158" s="374"/>
      <c r="O158" s="374"/>
      <c r="P158" s="374"/>
      <c r="Q158" s="374">
        <f>SUM(L158:P158)</f>
        <v>7578308</v>
      </c>
      <c r="R158" s="472"/>
    </row>
    <row r="159" spans="1:18" s="20" customFormat="1" ht="10.5" customHeight="1">
      <c r="A159" s="386"/>
      <c r="B159" s="391"/>
      <c r="C159" s="371" t="s">
        <v>107</v>
      </c>
      <c r="D159" s="390" t="s">
        <v>147</v>
      </c>
      <c r="E159" s="373"/>
      <c r="F159" s="373"/>
      <c r="G159" s="373"/>
      <c r="H159" s="373"/>
      <c r="I159" s="373"/>
      <c r="J159" s="373"/>
      <c r="K159" s="373"/>
      <c r="L159" s="373"/>
      <c r="M159" s="374"/>
      <c r="N159" s="374"/>
      <c r="O159" s="374"/>
      <c r="P159" s="374"/>
      <c r="Q159" s="374"/>
      <c r="R159" s="472"/>
    </row>
    <row r="160" spans="1:18" s="20" customFormat="1" ht="10.5" customHeight="1">
      <c r="A160" s="386"/>
      <c r="B160" s="391"/>
      <c r="C160" s="371"/>
      <c r="D160" s="389" t="s">
        <v>144</v>
      </c>
      <c r="E160" s="373"/>
      <c r="F160" s="373"/>
      <c r="G160" s="373">
        <v>1500000</v>
      </c>
      <c r="H160" s="373"/>
      <c r="I160" s="373"/>
      <c r="J160" s="373"/>
      <c r="K160" s="373"/>
      <c r="L160" s="373">
        <f t="shared" si="44"/>
        <v>1500000</v>
      </c>
      <c r="M160" s="374"/>
      <c r="N160" s="374"/>
      <c r="O160" s="374"/>
      <c r="P160" s="374"/>
      <c r="Q160" s="374">
        <f>SUM(L160:P160)</f>
        <v>1500000</v>
      </c>
      <c r="R160" s="472"/>
    </row>
    <row r="161" spans="1:18" s="20" customFormat="1" ht="10.5" customHeight="1">
      <c r="A161" s="386"/>
      <c r="B161" s="391"/>
      <c r="C161" s="371"/>
      <c r="D161" s="389" t="s">
        <v>145</v>
      </c>
      <c r="E161" s="373"/>
      <c r="F161" s="373"/>
      <c r="G161" s="373">
        <v>2515328</v>
      </c>
      <c r="H161" s="373"/>
      <c r="I161" s="373"/>
      <c r="J161" s="373"/>
      <c r="K161" s="373"/>
      <c r="L161" s="373">
        <f t="shared" si="44"/>
        <v>2515328</v>
      </c>
      <c r="M161" s="374"/>
      <c r="N161" s="374"/>
      <c r="O161" s="374"/>
      <c r="P161" s="374"/>
      <c r="Q161" s="374">
        <f>SUM(L161:P161)</f>
        <v>2515328</v>
      </c>
      <c r="R161" s="472"/>
    </row>
    <row r="162" spans="1:18" s="20" customFormat="1" ht="10.5" customHeight="1">
      <c r="A162" s="386"/>
      <c r="B162" s="391"/>
      <c r="C162" s="371"/>
      <c r="D162" s="389" t="s">
        <v>146</v>
      </c>
      <c r="E162" s="373"/>
      <c r="F162" s="373"/>
      <c r="G162" s="373">
        <v>1646882</v>
      </c>
      <c r="H162" s="373"/>
      <c r="I162" s="373"/>
      <c r="J162" s="373"/>
      <c r="K162" s="373"/>
      <c r="L162" s="373">
        <f t="shared" si="44"/>
        <v>1646882</v>
      </c>
      <c r="M162" s="374"/>
      <c r="N162" s="374"/>
      <c r="O162" s="374"/>
      <c r="P162" s="374"/>
      <c r="Q162" s="374">
        <f>SUM(L162:P162)</f>
        <v>1646882</v>
      </c>
      <c r="R162" s="472"/>
    </row>
    <row r="163" spans="1:18" ht="10.5" customHeight="1">
      <c r="A163" s="205"/>
      <c r="B163" s="208" t="s">
        <v>7</v>
      </c>
      <c r="C163" s="207"/>
      <c r="D163" s="235" t="s">
        <v>172</v>
      </c>
      <c r="E163" s="197"/>
      <c r="F163" s="197"/>
      <c r="G163" s="197"/>
      <c r="H163" s="197"/>
      <c r="I163" s="197"/>
      <c r="J163" s="197"/>
      <c r="K163" s="197"/>
      <c r="L163" s="197"/>
      <c r="M163" s="220"/>
      <c r="N163" s="284"/>
      <c r="O163" s="284"/>
      <c r="P163" s="284"/>
      <c r="Q163" s="220"/>
      <c r="R163" s="446"/>
    </row>
    <row r="164" spans="1:18" ht="10.5" customHeight="1">
      <c r="A164" s="205"/>
      <c r="B164" s="208"/>
      <c r="C164" s="207"/>
      <c r="D164" s="157" t="s">
        <v>144</v>
      </c>
      <c r="E164" s="197"/>
      <c r="F164" s="197"/>
      <c r="G164" s="197">
        <f>G168+G172</f>
        <v>3000000</v>
      </c>
      <c r="H164" s="197"/>
      <c r="I164" s="197"/>
      <c r="J164" s="197"/>
      <c r="K164" s="197"/>
      <c r="L164" s="197">
        <f t="shared" si="44"/>
        <v>3000000</v>
      </c>
      <c r="M164" s="197">
        <f>M168+M172</f>
        <v>222559725</v>
      </c>
      <c r="N164" s="197">
        <f>N172</f>
        <v>4513216</v>
      </c>
      <c r="O164" s="507"/>
      <c r="Q164" s="220">
        <f>SUM(L164:N164)</f>
        <v>230072941</v>
      </c>
      <c r="R164" s="446"/>
    </row>
    <row r="165" spans="1:18" ht="10.5" customHeight="1">
      <c r="A165" s="205"/>
      <c r="B165" s="208"/>
      <c r="C165" s="207"/>
      <c r="D165" s="157" t="s">
        <v>145</v>
      </c>
      <c r="E165" s="220"/>
      <c r="F165" s="220"/>
      <c r="G165" s="197">
        <f>G169+G173</f>
        <v>9592111</v>
      </c>
      <c r="H165" s="197"/>
      <c r="I165" s="197"/>
      <c r="J165" s="220"/>
      <c r="K165" s="220"/>
      <c r="L165" s="197">
        <f t="shared" si="44"/>
        <v>9592111</v>
      </c>
      <c r="M165" s="197">
        <f>M169+M173</f>
        <v>1029027064</v>
      </c>
      <c r="N165" s="197">
        <f>N169+N173</f>
        <v>4513216</v>
      </c>
      <c r="O165" s="197"/>
      <c r="P165" s="288"/>
      <c r="Q165" s="220">
        <f>SUM(L165:N165)</f>
        <v>1043132391</v>
      </c>
      <c r="R165" s="446"/>
    </row>
    <row r="166" spans="1:18" ht="10.5" customHeight="1">
      <c r="A166" s="205"/>
      <c r="B166" s="208"/>
      <c r="C166" s="207"/>
      <c r="D166" s="157" t="s">
        <v>146</v>
      </c>
      <c r="E166" s="220"/>
      <c r="F166" s="220"/>
      <c r="G166" s="197">
        <f>G170+G174</f>
        <v>3989540</v>
      </c>
      <c r="H166" s="197"/>
      <c r="I166" s="197"/>
      <c r="J166" s="220"/>
      <c r="K166" s="220"/>
      <c r="L166" s="197">
        <f t="shared" si="44"/>
        <v>3989540</v>
      </c>
      <c r="M166" s="197">
        <f>M170+M174</f>
        <v>36317388</v>
      </c>
      <c r="N166" s="197">
        <f>N170+N174</f>
        <v>0</v>
      </c>
      <c r="O166" s="197"/>
      <c r="P166" s="288"/>
      <c r="Q166" s="220">
        <f>SUM(L166:N166)</f>
        <v>40306928</v>
      </c>
      <c r="R166" s="446"/>
    </row>
    <row r="167" spans="1:18" s="20" customFormat="1" ht="11.25" customHeight="1">
      <c r="A167" s="386"/>
      <c r="B167" s="370"/>
      <c r="C167" s="371" t="s">
        <v>106</v>
      </c>
      <c r="D167" s="387" t="s">
        <v>169</v>
      </c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92"/>
      <c r="Q167" s="374"/>
      <c r="R167" s="472"/>
    </row>
    <row r="168" spans="1:18" s="20" customFormat="1" ht="11.25" customHeight="1">
      <c r="A168" s="386"/>
      <c r="B168" s="370"/>
      <c r="C168" s="371"/>
      <c r="D168" s="389" t="s">
        <v>144</v>
      </c>
      <c r="E168" s="373"/>
      <c r="F168" s="373"/>
      <c r="G168" s="373">
        <v>3000000</v>
      </c>
      <c r="H168" s="373"/>
      <c r="I168" s="373"/>
      <c r="J168" s="373"/>
      <c r="K168" s="373"/>
      <c r="L168" s="373">
        <f t="shared" si="44"/>
        <v>3000000</v>
      </c>
      <c r="M168" s="373">
        <v>126559725</v>
      </c>
      <c r="N168" s="373"/>
      <c r="O168" s="373"/>
      <c r="P168" s="392"/>
      <c r="Q168" s="374">
        <f>SUM(L168:N168)</f>
        <v>129559725</v>
      </c>
      <c r="R168" s="472"/>
    </row>
    <row r="169" spans="1:18" s="20" customFormat="1" ht="11.25" customHeight="1">
      <c r="A169" s="386"/>
      <c r="B169" s="370"/>
      <c r="C169" s="371"/>
      <c r="D169" s="389" t="s">
        <v>145</v>
      </c>
      <c r="E169" s="373"/>
      <c r="F169" s="373"/>
      <c r="G169" s="373">
        <v>9592111</v>
      </c>
      <c r="H169" s="373"/>
      <c r="I169" s="373"/>
      <c r="J169" s="373"/>
      <c r="K169" s="373"/>
      <c r="L169" s="373">
        <f t="shared" si="44"/>
        <v>9592111</v>
      </c>
      <c r="M169" s="373">
        <v>933154384</v>
      </c>
      <c r="N169" s="373"/>
      <c r="O169" s="373"/>
      <c r="P169" s="392"/>
      <c r="Q169" s="374">
        <f>SUM(L169:N169)</f>
        <v>942746495</v>
      </c>
      <c r="R169" s="472"/>
    </row>
    <row r="170" spans="1:18" s="20" customFormat="1" ht="11.25" customHeight="1">
      <c r="A170" s="386"/>
      <c r="B170" s="370"/>
      <c r="C170" s="371"/>
      <c r="D170" s="389" t="s">
        <v>146</v>
      </c>
      <c r="E170" s="373"/>
      <c r="F170" s="373"/>
      <c r="G170" s="373">
        <f>2800000+1189540</f>
        <v>3989540</v>
      </c>
      <c r="H170" s="373"/>
      <c r="I170" s="373"/>
      <c r="J170" s="373"/>
      <c r="K170" s="373"/>
      <c r="L170" s="373">
        <f t="shared" si="44"/>
        <v>3989540</v>
      </c>
      <c r="M170" s="373">
        <f>33147706+3169682</f>
        <v>36317388</v>
      </c>
      <c r="N170" s="373"/>
      <c r="O170" s="373"/>
      <c r="P170" s="392"/>
      <c r="Q170" s="374">
        <f>SUM(L170:N170)</f>
        <v>40306928</v>
      </c>
      <c r="R170" s="472"/>
    </row>
    <row r="171" spans="1:18" s="20" customFormat="1" ht="11.25" customHeight="1">
      <c r="A171" s="386"/>
      <c r="B171" s="370"/>
      <c r="C171" s="371" t="s">
        <v>107</v>
      </c>
      <c r="D171" s="390" t="s">
        <v>147</v>
      </c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92"/>
      <c r="Q171" s="374"/>
      <c r="R171" s="472"/>
    </row>
    <row r="172" spans="1:18" s="20" customFormat="1" ht="11.25" customHeight="1">
      <c r="A172" s="386"/>
      <c r="B172" s="370"/>
      <c r="C172" s="371"/>
      <c r="D172" s="389" t="s">
        <v>144</v>
      </c>
      <c r="E172" s="373"/>
      <c r="F172" s="373"/>
      <c r="G172" s="373"/>
      <c r="H172" s="373"/>
      <c r="I172" s="373"/>
      <c r="J172" s="373"/>
      <c r="K172" s="373"/>
      <c r="L172" s="373">
        <f t="shared" si="44"/>
        <v>0</v>
      </c>
      <c r="M172" s="373">
        <v>96000000</v>
      </c>
      <c r="N172" s="373">
        <v>4513216</v>
      </c>
      <c r="O172" s="373"/>
      <c r="P172" s="392"/>
      <c r="Q172" s="374">
        <f>SUM(L172:N172)</f>
        <v>100513216</v>
      </c>
      <c r="R172" s="472"/>
    </row>
    <row r="173" spans="1:18" s="20" customFormat="1" ht="11.25" customHeight="1">
      <c r="A173" s="386"/>
      <c r="B173" s="370"/>
      <c r="C173" s="371"/>
      <c r="D173" s="389" t="s">
        <v>145</v>
      </c>
      <c r="E173" s="373"/>
      <c r="F173" s="373"/>
      <c r="G173" s="373"/>
      <c r="H173" s="373"/>
      <c r="I173" s="373"/>
      <c r="J173" s="373"/>
      <c r="K173" s="373"/>
      <c r="L173" s="373">
        <f t="shared" si="44"/>
        <v>0</v>
      </c>
      <c r="M173" s="373">
        <v>95872680</v>
      </c>
      <c r="N173" s="373">
        <v>4513216</v>
      </c>
      <c r="O173" s="508"/>
      <c r="Q173" s="374">
        <f>SUM(L173:N173)</f>
        <v>100385896</v>
      </c>
      <c r="R173" s="472"/>
    </row>
    <row r="174" spans="1:18" s="20" customFormat="1" ht="11.25" customHeight="1">
      <c r="A174" s="386"/>
      <c r="B174" s="370"/>
      <c r="C174" s="371"/>
      <c r="D174" s="389" t="s">
        <v>146</v>
      </c>
      <c r="E174" s="373"/>
      <c r="F174" s="373"/>
      <c r="G174" s="373"/>
      <c r="H174" s="373"/>
      <c r="I174" s="373"/>
      <c r="J174" s="373"/>
      <c r="K174" s="373"/>
      <c r="L174" s="373">
        <f t="shared" si="44"/>
        <v>0</v>
      </c>
      <c r="M174" s="373">
        <v>0</v>
      </c>
      <c r="N174" s="373">
        <v>0</v>
      </c>
      <c r="O174" s="373"/>
      <c r="P174" s="373"/>
      <c r="Q174" s="374">
        <f>SUM(L174:P174)</f>
        <v>0</v>
      </c>
      <c r="R174" s="472"/>
    </row>
    <row r="175" spans="1:18" s="20" customFormat="1" ht="11.25" customHeight="1">
      <c r="A175" s="205"/>
      <c r="B175" s="206" t="s">
        <v>8</v>
      </c>
      <c r="C175" s="207" t="s">
        <v>107</v>
      </c>
      <c r="D175" s="289" t="s">
        <v>173</v>
      </c>
      <c r="E175" s="236"/>
      <c r="F175" s="236"/>
      <c r="G175" s="208"/>
      <c r="H175" s="197"/>
      <c r="I175" s="197"/>
      <c r="J175" s="197"/>
      <c r="K175" s="197"/>
      <c r="L175" s="197"/>
      <c r="M175" s="220"/>
      <c r="N175" s="197"/>
      <c r="O175" s="197"/>
      <c r="P175" s="197"/>
      <c r="Q175" s="220"/>
      <c r="R175" s="472"/>
    </row>
    <row r="176" spans="1:18" s="20" customFormat="1" ht="11.25" customHeight="1">
      <c r="A176" s="205"/>
      <c r="B176" s="206"/>
      <c r="C176" s="207"/>
      <c r="D176" s="157" t="s">
        <v>144</v>
      </c>
      <c r="E176" s="197">
        <v>300000</v>
      </c>
      <c r="F176" s="197">
        <v>83000</v>
      </c>
      <c r="G176" s="208">
        <v>700000</v>
      </c>
      <c r="H176" s="197"/>
      <c r="I176" s="197"/>
      <c r="J176" s="197"/>
      <c r="K176" s="197"/>
      <c r="L176" s="197">
        <f t="shared" si="44"/>
        <v>1083000</v>
      </c>
      <c r="M176" s="220"/>
      <c r="N176" s="197"/>
      <c r="O176" s="197"/>
      <c r="P176" s="197"/>
      <c r="Q176" s="220">
        <f>SUM(L176:P176)</f>
        <v>1083000</v>
      </c>
      <c r="R176" s="472"/>
    </row>
    <row r="177" spans="1:18" s="20" customFormat="1" ht="11.25" customHeight="1">
      <c r="A177" s="205"/>
      <c r="B177" s="206"/>
      <c r="C177" s="207"/>
      <c r="D177" s="157" t="s">
        <v>145</v>
      </c>
      <c r="E177" s="197">
        <v>300000</v>
      </c>
      <c r="F177" s="197">
        <v>83000</v>
      </c>
      <c r="G177" s="208">
        <v>700000</v>
      </c>
      <c r="H177" s="197"/>
      <c r="I177" s="197"/>
      <c r="J177" s="197"/>
      <c r="K177" s="197"/>
      <c r="L177" s="197">
        <f t="shared" si="44"/>
        <v>1083000</v>
      </c>
      <c r="M177" s="220"/>
      <c r="N177" s="197"/>
      <c r="O177" s="197"/>
      <c r="P177" s="197"/>
      <c r="Q177" s="220">
        <f>SUM(L177:P177)</f>
        <v>1083000</v>
      </c>
      <c r="R177" s="472"/>
    </row>
    <row r="178" spans="1:18" s="20" customFormat="1" ht="11.25" customHeight="1">
      <c r="A178" s="205"/>
      <c r="B178" s="206"/>
      <c r="C178" s="207"/>
      <c r="D178" s="157" t="s">
        <v>146</v>
      </c>
      <c r="E178" s="197">
        <v>288750</v>
      </c>
      <c r="F178" s="197">
        <v>57173</v>
      </c>
      <c r="G178" s="208">
        <v>385556</v>
      </c>
      <c r="H178" s="197"/>
      <c r="I178" s="197"/>
      <c r="J178" s="197"/>
      <c r="K178" s="197"/>
      <c r="L178" s="197">
        <f t="shared" si="44"/>
        <v>731479</v>
      </c>
      <c r="M178" s="220"/>
      <c r="N178" s="197"/>
      <c r="O178" s="197"/>
      <c r="P178" s="197"/>
      <c r="Q178" s="220">
        <f>SUM(L178:P178)</f>
        <v>731479</v>
      </c>
      <c r="R178" s="472"/>
    </row>
    <row r="179" spans="1:18" s="20" customFormat="1" ht="11.25" customHeight="1">
      <c r="A179" s="205"/>
      <c r="B179" s="206" t="s">
        <v>9</v>
      </c>
      <c r="C179" s="207" t="s">
        <v>106</v>
      </c>
      <c r="D179" s="235" t="s">
        <v>745</v>
      </c>
      <c r="E179" s="236"/>
      <c r="F179" s="236"/>
      <c r="G179" s="208"/>
      <c r="H179" s="197"/>
      <c r="I179" s="197"/>
      <c r="J179" s="197"/>
      <c r="K179" s="197"/>
      <c r="L179" s="197"/>
      <c r="M179" s="220"/>
      <c r="N179" s="197"/>
      <c r="O179" s="197"/>
      <c r="P179" s="197"/>
      <c r="Q179" s="220"/>
      <c r="R179" s="472"/>
    </row>
    <row r="180" spans="1:18" s="20" customFormat="1" ht="11.25" customHeight="1">
      <c r="A180" s="205"/>
      <c r="B180" s="206"/>
      <c r="C180" s="207"/>
      <c r="D180" s="157" t="s">
        <v>144</v>
      </c>
      <c r="E180" s="236"/>
      <c r="F180" s="236"/>
      <c r="G180" s="208">
        <v>105079000</v>
      </c>
      <c r="H180" s="197"/>
      <c r="I180" s="197"/>
      <c r="J180" s="197">
        <v>300000</v>
      </c>
      <c r="K180" s="197"/>
      <c r="L180" s="197">
        <f>SUM(E180:K180)</f>
        <v>105379000</v>
      </c>
      <c r="M180" s="197"/>
      <c r="N180" s="197"/>
      <c r="O180" s="197"/>
      <c r="P180" s="197"/>
      <c r="Q180" s="220">
        <f aca="true" t="shared" si="45" ref="Q180:Q190">SUM(L180:P180)</f>
        <v>105379000</v>
      </c>
      <c r="R180" s="472"/>
    </row>
    <row r="181" spans="1:18" s="20" customFormat="1" ht="11.25" customHeight="1">
      <c r="A181" s="205"/>
      <c r="B181" s="206"/>
      <c r="C181" s="207"/>
      <c r="D181" s="157" t="s">
        <v>145</v>
      </c>
      <c r="E181" s="236"/>
      <c r="F181" s="236"/>
      <c r="G181" s="208">
        <v>115670426</v>
      </c>
      <c r="H181" s="197"/>
      <c r="I181" s="197"/>
      <c r="J181" s="197">
        <v>300000</v>
      </c>
      <c r="K181" s="197"/>
      <c r="L181" s="197">
        <f>SUM(E181:K181)</f>
        <v>115970426</v>
      </c>
      <c r="M181" s="197"/>
      <c r="N181" s="197"/>
      <c r="O181" s="197"/>
      <c r="P181" s="197"/>
      <c r="Q181" s="220">
        <f t="shared" si="45"/>
        <v>115970426</v>
      </c>
      <c r="R181" s="472"/>
    </row>
    <row r="182" spans="1:18" s="20" customFormat="1" ht="11.25" customHeight="1">
      <c r="A182" s="205"/>
      <c r="B182" s="206"/>
      <c r="C182" s="207"/>
      <c r="D182" s="210" t="s">
        <v>146</v>
      </c>
      <c r="E182" s="236"/>
      <c r="F182" s="236"/>
      <c r="G182" s="208">
        <f>107294731+5327949</f>
        <v>112622680</v>
      </c>
      <c r="H182" s="197"/>
      <c r="I182" s="197"/>
      <c r="J182" s="197">
        <v>0</v>
      </c>
      <c r="K182" s="197"/>
      <c r="L182" s="197">
        <f>SUM(E182:K182)</f>
        <v>112622680</v>
      </c>
      <c r="M182" s="197"/>
      <c r="N182" s="197"/>
      <c r="O182" s="197"/>
      <c r="P182" s="197"/>
      <c r="Q182" s="220">
        <f t="shared" si="45"/>
        <v>112622680</v>
      </c>
      <c r="R182" s="472"/>
    </row>
    <row r="183" spans="1:18" s="20" customFormat="1" ht="11.25" customHeight="1">
      <c r="A183" s="205"/>
      <c r="B183" s="206"/>
      <c r="C183" s="207" t="s">
        <v>106</v>
      </c>
      <c r="D183" s="1145" t="s">
        <v>746</v>
      </c>
      <c r="E183" s="236"/>
      <c r="F183" s="236"/>
      <c r="G183" s="208"/>
      <c r="H183" s="197"/>
      <c r="I183" s="197"/>
      <c r="J183" s="197"/>
      <c r="K183" s="197"/>
      <c r="L183" s="197"/>
      <c r="M183" s="197"/>
      <c r="N183" s="197"/>
      <c r="O183" s="197"/>
      <c r="P183" s="197"/>
      <c r="Q183" s="220"/>
      <c r="R183" s="472"/>
    </row>
    <row r="184" spans="1:18" s="20" customFormat="1" ht="11.25" customHeight="1">
      <c r="A184" s="205"/>
      <c r="B184" s="206"/>
      <c r="C184" s="207"/>
      <c r="D184" s="157" t="s">
        <v>144</v>
      </c>
      <c r="E184" s="236"/>
      <c r="F184" s="236"/>
      <c r="G184" s="208">
        <v>450000</v>
      </c>
      <c r="H184" s="197"/>
      <c r="I184" s="197"/>
      <c r="J184" s="197"/>
      <c r="K184" s="197"/>
      <c r="L184" s="197">
        <f>SUM(E184:K184)</f>
        <v>450000</v>
      </c>
      <c r="M184" s="197"/>
      <c r="N184" s="197"/>
      <c r="O184" s="197"/>
      <c r="P184" s="197"/>
      <c r="Q184" s="220">
        <f>SUM(L184:P184)</f>
        <v>450000</v>
      </c>
      <c r="R184" s="472"/>
    </row>
    <row r="185" spans="1:18" s="20" customFormat="1" ht="11.25" customHeight="1">
      <c r="A185" s="205"/>
      <c r="B185" s="206"/>
      <c r="C185" s="207"/>
      <c r="D185" s="157" t="s">
        <v>145</v>
      </c>
      <c r="E185" s="236"/>
      <c r="F185" s="236"/>
      <c r="G185" s="208">
        <v>450000</v>
      </c>
      <c r="H185" s="197"/>
      <c r="I185" s="197"/>
      <c r="J185" s="197"/>
      <c r="K185" s="197"/>
      <c r="L185" s="197">
        <f>SUM(E185:K185)</f>
        <v>450000</v>
      </c>
      <c r="M185" s="197"/>
      <c r="N185" s="197"/>
      <c r="O185" s="197"/>
      <c r="P185" s="197"/>
      <c r="Q185" s="220">
        <f>SUM(L185:P185)</f>
        <v>450000</v>
      </c>
      <c r="R185" s="472"/>
    </row>
    <row r="186" spans="1:18" s="20" customFormat="1" ht="11.25" customHeight="1">
      <c r="A186" s="205"/>
      <c r="B186" s="206"/>
      <c r="C186" s="207"/>
      <c r="D186" s="157" t="s">
        <v>146</v>
      </c>
      <c r="E186" s="236"/>
      <c r="F186" s="236"/>
      <c r="G186" s="208">
        <v>370714</v>
      </c>
      <c r="H186" s="197"/>
      <c r="I186" s="197"/>
      <c r="J186" s="197"/>
      <c r="K186" s="197"/>
      <c r="L186" s="197">
        <f>SUM(E186:K186)</f>
        <v>370714</v>
      </c>
      <c r="M186" s="197"/>
      <c r="N186" s="197"/>
      <c r="O186" s="197"/>
      <c r="P186" s="197"/>
      <c r="Q186" s="220">
        <f>SUM(L186:P186)</f>
        <v>370714</v>
      </c>
      <c r="R186" s="472"/>
    </row>
    <row r="187" spans="1:18" s="20" customFormat="1" ht="11.25" customHeight="1">
      <c r="A187" s="205"/>
      <c r="B187" s="206"/>
      <c r="C187" s="207" t="s">
        <v>107</v>
      </c>
      <c r="D187" s="1141" t="s">
        <v>747</v>
      </c>
      <c r="E187" s="236"/>
      <c r="F187" s="236"/>
      <c r="G187" s="208"/>
      <c r="H187" s="197"/>
      <c r="I187" s="197"/>
      <c r="J187" s="197"/>
      <c r="K187" s="197"/>
      <c r="L187" s="197"/>
      <c r="M187" s="197"/>
      <c r="N187" s="197"/>
      <c r="O187" s="197"/>
      <c r="P187" s="197"/>
      <c r="Q187" s="220"/>
      <c r="R187" s="472"/>
    </row>
    <row r="188" spans="1:18" s="20" customFormat="1" ht="11.25" customHeight="1">
      <c r="A188" s="205"/>
      <c r="B188" s="206"/>
      <c r="C188" s="207"/>
      <c r="D188" s="157" t="s">
        <v>144</v>
      </c>
      <c r="E188" s="236"/>
      <c r="F188" s="236"/>
      <c r="G188" s="208">
        <v>17183000</v>
      </c>
      <c r="H188" s="197"/>
      <c r="I188" s="197"/>
      <c r="J188" s="197"/>
      <c r="K188" s="197"/>
      <c r="L188" s="197">
        <f t="shared" si="44"/>
        <v>17183000</v>
      </c>
      <c r="M188" s="220"/>
      <c r="N188" s="197"/>
      <c r="O188" s="197"/>
      <c r="P188" s="197"/>
      <c r="Q188" s="220">
        <f t="shared" si="45"/>
        <v>17183000</v>
      </c>
      <c r="R188" s="472"/>
    </row>
    <row r="189" spans="1:18" s="20" customFormat="1" ht="11.25" customHeight="1">
      <c r="A189" s="205"/>
      <c r="B189" s="206"/>
      <c r="C189" s="207"/>
      <c r="D189" s="157" t="s">
        <v>145</v>
      </c>
      <c r="E189" s="236"/>
      <c r="F189" s="236"/>
      <c r="G189" s="208">
        <v>17183000</v>
      </c>
      <c r="H189" s="197"/>
      <c r="I189" s="197"/>
      <c r="J189" s="197"/>
      <c r="K189" s="197"/>
      <c r="L189" s="197">
        <f t="shared" si="44"/>
        <v>17183000</v>
      </c>
      <c r="M189" s="220"/>
      <c r="N189" s="197"/>
      <c r="O189" s="197"/>
      <c r="P189" s="197"/>
      <c r="Q189" s="220">
        <f t="shared" si="45"/>
        <v>17183000</v>
      </c>
      <c r="R189" s="472"/>
    </row>
    <row r="190" spans="1:18" s="20" customFormat="1" ht="11.25" customHeight="1">
      <c r="A190" s="228"/>
      <c r="B190" s="201"/>
      <c r="C190" s="202"/>
      <c r="D190" s="210" t="s">
        <v>146</v>
      </c>
      <c r="E190" s="237"/>
      <c r="F190" s="237"/>
      <c r="G190" s="204">
        <f>15100402-132000</f>
        <v>14968402</v>
      </c>
      <c r="H190" s="203"/>
      <c r="I190" s="203"/>
      <c r="J190" s="203"/>
      <c r="K190" s="203"/>
      <c r="L190" s="211">
        <f>SUM(E190:K190)</f>
        <v>14968402</v>
      </c>
      <c r="M190" s="270"/>
      <c r="N190" s="203"/>
      <c r="O190" s="203"/>
      <c r="P190" s="203"/>
      <c r="Q190" s="270">
        <f t="shared" si="45"/>
        <v>14968402</v>
      </c>
      <c r="R190" s="460"/>
    </row>
    <row r="191" spans="1:18" s="20" customFormat="1" ht="13.5" customHeight="1">
      <c r="A191" s="205"/>
      <c r="B191" s="206">
        <v>8</v>
      </c>
      <c r="C191" s="207" t="s">
        <v>106</v>
      </c>
      <c r="D191" s="1617" t="s">
        <v>748</v>
      </c>
      <c r="E191" s="1618"/>
      <c r="F191" s="1618"/>
      <c r="G191" s="1619"/>
      <c r="H191" s="197"/>
      <c r="I191" s="197"/>
      <c r="J191" s="197"/>
      <c r="K191" s="197"/>
      <c r="L191" s="197"/>
      <c r="M191" s="220"/>
      <c r="N191" s="197"/>
      <c r="O191" s="197"/>
      <c r="P191" s="197"/>
      <c r="Q191" s="220"/>
      <c r="R191" s="472"/>
    </row>
    <row r="192" spans="1:18" s="20" customFormat="1" ht="11.25" customHeight="1">
      <c r="A192" s="205"/>
      <c r="B192" s="206"/>
      <c r="C192" s="207"/>
      <c r="D192" s="157" t="s">
        <v>144</v>
      </c>
      <c r="E192" s="197"/>
      <c r="F192" s="197"/>
      <c r="G192" s="208">
        <v>5000000</v>
      </c>
      <c r="H192" s="197"/>
      <c r="I192" s="197"/>
      <c r="J192" s="197"/>
      <c r="K192" s="197"/>
      <c r="L192" s="197">
        <f>SUM(E192:K192)</f>
        <v>5000000</v>
      </c>
      <c r="M192" s="197">
        <v>63550914</v>
      </c>
      <c r="N192" s="197"/>
      <c r="O192" s="197"/>
      <c r="P192" s="197"/>
      <c r="Q192" s="220">
        <f>SUM(L192:P192)</f>
        <v>68550914</v>
      </c>
      <c r="R192" s="472"/>
    </row>
    <row r="193" spans="1:18" s="20" customFormat="1" ht="11.25" customHeight="1">
      <c r="A193" s="205"/>
      <c r="B193" s="206"/>
      <c r="C193" s="207"/>
      <c r="D193" s="157" t="s">
        <v>145</v>
      </c>
      <c r="E193" s="197"/>
      <c r="F193" s="197"/>
      <c r="G193" s="208">
        <v>5000000</v>
      </c>
      <c r="H193" s="197"/>
      <c r="I193" s="197"/>
      <c r="J193" s="197"/>
      <c r="K193" s="197"/>
      <c r="L193" s="197">
        <f>SUM(E193:K193)</f>
        <v>5000000</v>
      </c>
      <c r="M193" s="197">
        <v>265539249</v>
      </c>
      <c r="N193" s="197"/>
      <c r="O193" s="197"/>
      <c r="P193" s="197"/>
      <c r="Q193" s="220">
        <f>SUM(L193:P193)</f>
        <v>270539249</v>
      </c>
      <c r="R193" s="472"/>
    </row>
    <row r="194" spans="1:18" s="20" customFormat="1" ht="11.25" customHeight="1">
      <c r="A194" s="228"/>
      <c r="B194" s="201"/>
      <c r="C194" s="202"/>
      <c r="D194" s="210" t="s">
        <v>146</v>
      </c>
      <c r="E194" s="203"/>
      <c r="F194" s="203"/>
      <c r="G194" s="204">
        <v>1207135</v>
      </c>
      <c r="H194" s="203"/>
      <c r="I194" s="203"/>
      <c r="J194" s="203"/>
      <c r="K194" s="203"/>
      <c r="L194" s="203">
        <f>SUM(E194:K194)</f>
        <v>1207135</v>
      </c>
      <c r="M194" s="203">
        <f>12199222+1454658</f>
        <v>13653880</v>
      </c>
      <c r="N194" s="203"/>
      <c r="O194" s="203"/>
      <c r="P194" s="203"/>
      <c r="Q194" s="222">
        <f>SUM(L194:P194)</f>
        <v>14861015</v>
      </c>
      <c r="R194" s="460"/>
    </row>
    <row r="195" spans="1:18" s="20" customFormat="1" ht="11.25" customHeight="1">
      <c r="A195" s="205"/>
      <c r="B195" s="206">
        <v>9</v>
      </c>
      <c r="C195" s="207" t="s">
        <v>106</v>
      </c>
      <c r="D195" s="712" t="s">
        <v>677</v>
      </c>
      <c r="E195" s="197"/>
      <c r="F195" s="197"/>
      <c r="G195" s="208"/>
      <c r="H195" s="197"/>
      <c r="I195" s="197"/>
      <c r="J195" s="197"/>
      <c r="K195" s="197"/>
      <c r="L195" s="197"/>
      <c r="M195" s="197"/>
      <c r="N195" s="197"/>
      <c r="O195" s="197"/>
      <c r="P195" s="197"/>
      <c r="Q195" s="220"/>
      <c r="R195" s="472"/>
    </row>
    <row r="196" spans="1:18" s="20" customFormat="1" ht="11.25" customHeight="1">
      <c r="A196" s="205"/>
      <c r="B196" s="206"/>
      <c r="C196" s="207"/>
      <c r="D196" s="157" t="s">
        <v>144</v>
      </c>
      <c r="E196" s="197"/>
      <c r="F196" s="197"/>
      <c r="G196" s="208"/>
      <c r="H196" s="197"/>
      <c r="I196" s="197">
        <v>41743376</v>
      </c>
      <c r="J196" s="197"/>
      <c r="K196" s="197"/>
      <c r="L196" s="197">
        <f>SUM(E196:K196)</f>
        <v>41743376</v>
      </c>
      <c r="M196" s="197"/>
      <c r="N196" s="197"/>
      <c r="O196" s="197"/>
      <c r="P196" s="197"/>
      <c r="Q196" s="220">
        <f>SUM(L196:O196)</f>
        <v>41743376</v>
      </c>
      <c r="R196" s="472"/>
    </row>
    <row r="197" spans="1:18" s="20" customFormat="1" ht="11.25" customHeight="1">
      <c r="A197" s="205"/>
      <c r="B197" s="206"/>
      <c r="C197" s="207"/>
      <c r="D197" s="157" t="s">
        <v>145</v>
      </c>
      <c r="E197" s="197"/>
      <c r="F197" s="197"/>
      <c r="G197" s="208"/>
      <c r="H197" s="197"/>
      <c r="I197" s="197">
        <v>41743376</v>
      </c>
      <c r="J197" s="197"/>
      <c r="K197" s="197"/>
      <c r="L197" s="197">
        <f>SUM(E197:K197)</f>
        <v>41743376</v>
      </c>
      <c r="M197" s="197"/>
      <c r="N197" s="197"/>
      <c r="O197" s="197"/>
      <c r="P197" s="197"/>
      <c r="Q197" s="220">
        <f>SUM(L197:O197)</f>
        <v>41743376</v>
      </c>
      <c r="R197" s="472"/>
    </row>
    <row r="198" spans="1:18" s="20" customFormat="1" ht="11.25" customHeight="1" thickBot="1">
      <c r="A198" s="244"/>
      <c r="B198" s="227"/>
      <c r="C198" s="245"/>
      <c r="D198" s="246" t="s">
        <v>146</v>
      </c>
      <c r="E198" s="247"/>
      <c r="F198" s="247"/>
      <c r="G198" s="276"/>
      <c r="H198" s="247"/>
      <c r="I198" s="247">
        <f>17600201+8016277+2112308+1763024+517116+2038830+4682516+5013104</f>
        <v>41743376</v>
      </c>
      <c r="J198" s="247"/>
      <c r="K198" s="247"/>
      <c r="L198" s="247">
        <f>SUM(E198:K198)</f>
        <v>41743376</v>
      </c>
      <c r="M198" s="247"/>
      <c r="N198" s="247"/>
      <c r="O198" s="247"/>
      <c r="P198" s="247"/>
      <c r="Q198" s="248">
        <f>SUM(L198:P198)</f>
        <v>41743376</v>
      </c>
      <c r="R198" s="1149"/>
    </row>
    <row r="199" spans="1:18" s="16" customFormat="1" ht="11.25" customHeight="1">
      <c r="A199" s="263">
        <v>10</v>
      </c>
      <c r="B199" s="256" t="s">
        <v>53</v>
      </c>
      <c r="C199" s="223"/>
      <c r="D199" s="344" t="s">
        <v>126</v>
      </c>
      <c r="E199" s="282"/>
      <c r="F199" s="282"/>
      <c r="G199" s="224"/>
      <c r="H199" s="282"/>
      <c r="I199" s="282"/>
      <c r="J199" s="282"/>
      <c r="K199" s="282"/>
      <c r="L199" s="282"/>
      <c r="M199" s="282"/>
      <c r="N199" s="282"/>
      <c r="O199" s="282"/>
      <c r="P199" s="282"/>
      <c r="Q199" s="257"/>
      <c r="R199" s="459"/>
    </row>
    <row r="200" spans="1:18" s="16" customFormat="1" ht="11.25" customHeight="1">
      <c r="A200" s="205"/>
      <c r="B200" s="206"/>
      <c r="C200" s="207"/>
      <c r="D200" s="157" t="s">
        <v>144</v>
      </c>
      <c r="E200" s="220">
        <f>E204+E208</f>
        <v>0</v>
      </c>
      <c r="F200" s="220">
        <f aca="true" t="shared" si="46" ref="F200:P200">F204+F208</f>
        <v>0</v>
      </c>
      <c r="G200" s="220">
        <f t="shared" si="46"/>
        <v>41000000</v>
      </c>
      <c r="H200" s="220">
        <f t="shared" si="46"/>
        <v>0</v>
      </c>
      <c r="I200" s="220">
        <f>I204+I208</f>
        <v>0</v>
      </c>
      <c r="J200" s="220">
        <f>J204+J208</f>
        <v>0</v>
      </c>
      <c r="K200" s="220">
        <f t="shared" si="46"/>
        <v>0</v>
      </c>
      <c r="L200" s="220">
        <f>L204+L208</f>
        <v>41000000</v>
      </c>
      <c r="M200" s="220">
        <f t="shared" si="46"/>
        <v>124786000</v>
      </c>
      <c r="N200" s="220">
        <f>N204+N208</f>
        <v>0</v>
      </c>
      <c r="O200" s="220">
        <f>O204+O208</f>
        <v>0</v>
      </c>
      <c r="P200" s="220">
        <f t="shared" si="46"/>
        <v>0</v>
      </c>
      <c r="Q200" s="220">
        <f>Q204+Q208</f>
        <v>165786000</v>
      </c>
      <c r="R200" s="446"/>
    </row>
    <row r="201" spans="1:18" s="16" customFormat="1" ht="11.25" customHeight="1">
      <c r="A201" s="205"/>
      <c r="B201" s="206"/>
      <c r="C201" s="207"/>
      <c r="D201" s="157" t="s">
        <v>145</v>
      </c>
      <c r="E201" s="220">
        <f aca="true" t="shared" si="47" ref="E201:Q202">E205+E209</f>
        <v>0</v>
      </c>
      <c r="F201" s="220">
        <f t="shared" si="47"/>
        <v>0</v>
      </c>
      <c r="G201" s="220">
        <f t="shared" si="47"/>
        <v>48587697</v>
      </c>
      <c r="H201" s="220">
        <f t="shared" si="47"/>
        <v>0</v>
      </c>
      <c r="I201" s="220">
        <f t="shared" si="47"/>
        <v>0</v>
      </c>
      <c r="J201" s="220">
        <f t="shared" si="47"/>
        <v>0</v>
      </c>
      <c r="K201" s="220">
        <f t="shared" si="47"/>
        <v>0</v>
      </c>
      <c r="L201" s="220">
        <f t="shared" si="47"/>
        <v>48587697</v>
      </c>
      <c r="M201" s="220">
        <f t="shared" si="47"/>
        <v>197217639</v>
      </c>
      <c r="N201" s="220">
        <f t="shared" si="47"/>
        <v>0</v>
      </c>
      <c r="O201" s="220">
        <f t="shared" si="47"/>
        <v>0</v>
      </c>
      <c r="P201" s="220">
        <f t="shared" si="47"/>
        <v>0</v>
      </c>
      <c r="Q201" s="220">
        <f t="shared" si="47"/>
        <v>245805336</v>
      </c>
      <c r="R201" s="446"/>
    </row>
    <row r="202" spans="1:18" s="16" customFormat="1" ht="11.25" customHeight="1">
      <c r="A202" s="205"/>
      <c r="B202" s="206"/>
      <c r="C202" s="207"/>
      <c r="D202" s="157" t="s">
        <v>146</v>
      </c>
      <c r="E202" s="220">
        <f t="shared" si="47"/>
        <v>0</v>
      </c>
      <c r="F202" s="220">
        <f t="shared" si="47"/>
        <v>0</v>
      </c>
      <c r="G202" s="220">
        <f t="shared" si="47"/>
        <v>37498291</v>
      </c>
      <c r="H202" s="220">
        <f t="shared" si="47"/>
        <v>0</v>
      </c>
      <c r="I202" s="220">
        <f t="shared" si="47"/>
        <v>0</v>
      </c>
      <c r="J202" s="220">
        <f t="shared" si="47"/>
        <v>0</v>
      </c>
      <c r="K202" s="220">
        <f t="shared" si="47"/>
        <v>0</v>
      </c>
      <c r="L202" s="220">
        <f>L206+L210</f>
        <v>37498291</v>
      </c>
      <c r="M202" s="220">
        <f t="shared" si="47"/>
        <v>70840594</v>
      </c>
      <c r="N202" s="220">
        <f t="shared" si="47"/>
        <v>0</v>
      </c>
      <c r="O202" s="220">
        <f t="shared" si="47"/>
        <v>0</v>
      </c>
      <c r="P202" s="220">
        <f t="shared" si="47"/>
        <v>0</v>
      </c>
      <c r="Q202" s="220">
        <f>Q206+Q210</f>
        <v>108338885</v>
      </c>
      <c r="R202" s="446"/>
    </row>
    <row r="203" spans="1:18" ht="11.25" customHeight="1">
      <c r="A203" s="225"/>
      <c r="B203" s="206" t="s">
        <v>3</v>
      </c>
      <c r="C203" s="207" t="s">
        <v>106</v>
      </c>
      <c r="D203" s="235" t="s">
        <v>192</v>
      </c>
      <c r="E203" s="197"/>
      <c r="F203" s="197"/>
      <c r="G203" s="197"/>
      <c r="H203" s="197"/>
      <c r="I203" s="197"/>
      <c r="J203" s="197"/>
      <c r="K203" s="197"/>
      <c r="L203" s="220"/>
      <c r="M203" s="197"/>
      <c r="N203" s="197"/>
      <c r="O203" s="197"/>
      <c r="P203" s="197"/>
      <c r="Q203" s="243"/>
      <c r="R203" s="446"/>
    </row>
    <row r="204" spans="1:18" ht="11.25" customHeight="1">
      <c r="A204" s="225"/>
      <c r="B204" s="206"/>
      <c r="C204" s="207"/>
      <c r="D204" s="157" t="s">
        <v>144</v>
      </c>
      <c r="E204" s="197"/>
      <c r="F204" s="197"/>
      <c r="G204" s="197">
        <v>36000000</v>
      </c>
      <c r="H204" s="197"/>
      <c r="I204" s="197"/>
      <c r="J204" s="197"/>
      <c r="K204" s="197"/>
      <c r="L204" s="220">
        <f>SUM(G204:K204)</f>
        <v>36000000</v>
      </c>
      <c r="M204" s="197"/>
      <c r="N204" s="197"/>
      <c r="O204" s="197"/>
      <c r="P204" s="197"/>
      <c r="Q204" s="243">
        <f>SUM(L204:P204)</f>
        <v>36000000</v>
      </c>
      <c r="R204" s="446"/>
    </row>
    <row r="205" spans="1:18" ht="11.25" customHeight="1">
      <c r="A205" s="225"/>
      <c r="B205" s="206"/>
      <c r="C205" s="207"/>
      <c r="D205" s="157" t="s">
        <v>145</v>
      </c>
      <c r="E205" s="197"/>
      <c r="F205" s="197"/>
      <c r="G205" s="197">
        <v>43587697</v>
      </c>
      <c r="H205" s="197"/>
      <c r="I205" s="197"/>
      <c r="J205" s="197"/>
      <c r="K205" s="197"/>
      <c r="L205" s="220">
        <f>SUM(G205:K205)</f>
        <v>43587697</v>
      </c>
      <c r="M205" s="197"/>
      <c r="N205" s="197"/>
      <c r="O205" s="197"/>
      <c r="P205" s="197"/>
      <c r="Q205" s="243">
        <f>SUM(L205:P205)</f>
        <v>43587697</v>
      </c>
      <c r="R205" s="446"/>
    </row>
    <row r="206" spans="1:18" ht="11.25" customHeight="1">
      <c r="A206" s="225"/>
      <c r="B206" s="206"/>
      <c r="C206" s="207"/>
      <c r="D206" s="157" t="s">
        <v>146</v>
      </c>
      <c r="E206" s="197"/>
      <c r="F206" s="197"/>
      <c r="G206" s="197">
        <v>33688291</v>
      </c>
      <c r="H206" s="197"/>
      <c r="I206" s="197"/>
      <c r="J206" s="197"/>
      <c r="K206" s="197"/>
      <c r="L206" s="220">
        <f>SUM(E206:K206)</f>
        <v>33688291</v>
      </c>
      <c r="M206" s="197"/>
      <c r="N206" s="197"/>
      <c r="O206" s="197"/>
      <c r="P206" s="197"/>
      <c r="Q206" s="243">
        <f>SUM(L206:P206)</f>
        <v>33688291</v>
      </c>
      <c r="R206" s="446"/>
    </row>
    <row r="207" spans="1:18" ht="11.25" customHeight="1">
      <c r="A207" s="225"/>
      <c r="B207" s="206" t="s">
        <v>4</v>
      </c>
      <c r="C207" s="207" t="s">
        <v>106</v>
      </c>
      <c r="D207" s="235" t="s">
        <v>1</v>
      </c>
      <c r="E207" s="197"/>
      <c r="F207" s="197"/>
      <c r="G207" s="197"/>
      <c r="H207" s="197"/>
      <c r="I207" s="197"/>
      <c r="J207" s="197"/>
      <c r="K207" s="197"/>
      <c r="L207" s="220"/>
      <c r="M207" s="197"/>
      <c r="N207" s="197"/>
      <c r="O207" s="197"/>
      <c r="P207" s="197"/>
      <c r="Q207" s="243"/>
      <c r="R207" s="446"/>
    </row>
    <row r="208" spans="1:18" ht="11.25" customHeight="1">
      <c r="A208" s="225"/>
      <c r="B208" s="206"/>
      <c r="C208" s="207"/>
      <c r="D208" s="157" t="s">
        <v>144</v>
      </c>
      <c r="E208" s="197"/>
      <c r="F208" s="197"/>
      <c r="G208" s="197">
        <v>5000000</v>
      </c>
      <c r="H208" s="197"/>
      <c r="I208" s="197"/>
      <c r="J208" s="197"/>
      <c r="K208" s="197"/>
      <c r="L208" s="220">
        <f>SUM(E208:K208)</f>
        <v>5000000</v>
      </c>
      <c r="M208" s="197">
        <v>124786000</v>
      </c>
      <c r="N208" s="197"/>
      <c r="O208" s="197"/>
      <c r="P208" s="197"/>
      <c r="Q208" s="243">
        <f>SUM(L208:P208)</f>
        <v>129786000</v>
      </c>
      <c r="R208" s="446"/>
    </row>
    <row r="209" spans="1:18" ht="11.25" customHeight="1">
      <c r="A209" s="225"/>
      <c r="B209" s="206"/>
      <c r="C209" s="207"/>
      <c r="D209" s="157" t="s">
        <v>145</v>
      </c>
      <c r="E209" s="197"/>
      <c r="F209" s="197"/>
      <c r="G209" s="197">
        <v>5000000</v>
      </c>
      <c r="H209" s="197"/>
      <c r="I209" s="197"/>
      <c r="J209" s="197"/>
      <c r="K209" s="197"/>
      <c r="L209" s="220">
        <f>SUM(E209:K209)</f>
        <v>5000000</v>
      </c>
      <c r="M209" s="197">
        <v>197217639</v>
      </c>
      <c r="N209" s="197"/>
      <c r="O209" s="197"/>
      <c r="P209" s="197"/>
      <c r="Q209" s="243">
        <f>SUM(L209:P209)</f>
        <v>202217639</v>
      </c>
      <c r="R209" s="446"/>
    </row>
    <row r="210" spans="1:18" ht="11.25" customHeight="1" thickBot="1">
      <c r="A210" s="226"/>
      <c r="B210" s="227"/>
      <c r="C210" s="245"/>
      <c r="D210" s="246" t="s">
        <v>146</v>
      </c>
      <c r="E210" s="247"/>
      <c r="F210" s="247"/>
      <c r="G210" s="247">
        <v>3810000</v>
      </c>
      <c r="H210" s="247"/>
      <c r="I210" s="247"/>
      <c r="J210" s="247"/>
      <c r="K210" s="247"/>
      <c r="L210" s="248">
        <f>SUM(E210:K210)</f>
        <v>3810000</v>
      </c>
      <c r="M210" s="247">
        <f>53572204+17268390</f>
        <v>70840594</v>
      </c>
      <c r="N210" s="247"/>
      <c r="O210" s="247"/>
      <c r="P210" s="247"/>
      <c r="Q210" s="262">
        <f>SUM(L210:P210)</f>
        <v>74650594</v>
      </c>
      <c r="R210" s="448"/>
    </row>
    <row r="211" spans="1:18" ht="11.25" customHeight="1">
      <c r="A211" s="228">
        <v>11</v>
      </c>
      <c r="B211" s="201" t="s">
        <v>3</v>
      </c>
      <c r="C211" s="202" t="s">
        <v>106</v>
      </c>
      <c r="D211" s="212" t="s">
        <v>69</v>
      </c>
      <c r="E211" s="203"/>
      <c r="F211" s="203"/>
      <c r="G211" s="212"/>
      <c r="H211" s="203"/>
      <c r="I211" s="203"/>
      <c r="J211" s="203"/>
      <c r="K211" s="203"/>
      <c r="L211" s="222"/>
      <c r="M211" s="203"/>
      <c r="N211" s="203"/>
      <c r="O211" s="203"/>
      <c r="P211" s="203"/>
      <c r="Q211" s="212"/>
      <c r="R211" s="458"/>
    </row>
    <row r="212" spans="1:18" ht="11.25" customHeight="1">
      <c r="A212" s="205"/>
      <c r="B212" s="206"/>
      <c r="C212" s="207"/>
      <c r="D212" s="157" t="s">
        <v>144</v>
      </c>
      <c r="E212" s="197"/>
      <c r="F212" s="197"/>
      <c r="G212" s="243">
        <v>14000000</v>
      </c>
      <c r="H212" s="197"/>
      <c r="I212" s="197"/>
      <c r="J212" s="197"/>
      <c r="K212" s="197"/>
      <c r="L212" s="220">
        <f>SUM(G212:K212)</f>
        <v>14000000</v>
      </c>
      <c r="M212" s="197">
        <v>5000000</v>
      </c>
      <c r="N212" s="197"/>
      <c r="O212" s="197"/>
      <c r="P212" s="197"/>
      <c r="Q212" s="243">
        <f>SUM(L212:P212)</f>
        <v>19000000</v>
      </c>
      <c r="R212" s="446"/>
    </row>
    <row r="213" spans="1:18" ht="11.25" customHeight="1">
      <c r="A213" s="205"/>
      <c r="B213" s="206"/>
      <c r="C213" s="207"/>
      <c r="D213" s="157" t="s">
        <v>145</v>
      </c>
      <c r="E213" s="197"/>
      <c r="F213" s="197"/>
      <c r="G213" s="243">
        <v>14064294</v>
      </c>
      <c r="H213" s="197"/>
      <c r="I213" s="197"/>
      <c r="J213" s="197"/>
      <c r="K213" s="197"/>
      <c r="L213" s="220">
        <f>SUM(G213:K213)</f>
        <v>14064294</v>
      </c>
      <c r="M213" s="197">
        <v>5000000</v>
      </c>
      <c r="N213" s="197"/>
      <c r="O213" s="197"/>
      <c r="P213" s="197"/>
      <c r="Q213" s="243">
        <f>SUM(L213:P213)</f>
        <v>19064294</v>
      </c>
      <c r="R213" s="446"/>
    </row>
    <row r="214" spans="1:18" ht="11.25" customHeight="1" thickBot="1">
      <c r="A214" s="244"/>
      <c r="B214" s="227"/>
      <c r="C214" s="245"/>
      <c r="D214" s="246" t="s">
        <v>146</v>
      </c>
      <c r="E214" s="247"/>
      <c r="F214" s="247"/>
      <c r="G214" s="262">
        <v>7522442</v>
      </c>
      <c r="H214" s="247"/>
      <c r="I214" s="247"/>
      <c r="J214" s="247"/>
      <c r="K214" s="247"/>
      <c r="L214" s="248">
        <f>SUM(G214:I214)</f>
        <v>7522442</v>
      </c>
      <c r="M214" s="247">
        <v>4996307</v>
      </c>
      <c r="N214" s="247"/>
      <c r="O214" s="247"/>
      <c r="P214" s="247"/>
      <c r="Q214" s="262">
        <f>SUM(L214:P214)</f>
        <v>12518749</v>
      </c>
      <c r="R214" s="448"/>
    </row>
    <row r="215" spans="1:18" s="16" customFormat="1" ht="11.25" customHeight="1">
      <c r="A215" s="263">
        <v>12</v>
      </c>
      <c r="B215" s="256"/>
      <c r="C215" s="273"/>
      <c r="D215" s="347" t="s">
        <v>64</v>
      </c>
      <c r="E215" s="282"/>
      <c r="F215" s="282"/>
      <c r="G215" s="224"/>
      <c r="H215" s="282"/>
      <c r="I215" s="282"/>
      <c r="J215" s="282"/>
      <c r="K215" s="282"/>
      <c r="L215" s="282"/>
      <c r="M215" s="282"/>
      <c r="N215" s="282"/>
      <c r="O215" s="282"/>
      <c r="P215" s="282"/>
      <c r="Q215" s="257"/>
      <c r="R215" s="459"/>
    </row>
    <row r="216" spans="1:18" s="16" customFormat="1" ht="11.25" customHeight="1">
      <c r="A216" s="205"/>
      <c r="B216" s="206"/>
      <c r="C216" s="233"/>
      <c r="D216" s="157" t="s">
        <v>144</v>
      </c>
      <c r="E216" s="220">
        <f>E220+E232+E236+E243+E246+E250+E254+E257+E265+E269+E277+E239+E273</f>
        <v>32790000</v>
      </c>
      <c r="F216" s="220">
        <f aca="true" t="shared" si="48" ref="F216:K216">F220+F232+F236+F243+F246+F250+F254+F257+F265+F269+F277+F239+F273</f>
        <v>6865000</v>
      </c>
      <c r="G216" s="220">
        <f t="shared" si="48"/>
        <v>137314000</v>
      </c>
      <c r="H216" s="220">
        <f t="shared" si="48"/>
        <v>0</v>
      </c>
      <c r="I216" s="220">
        <f t="shared" si="48"/>
        <v>530000</v>
      </c>
      <c r="J216" s="220">
        <f t="shared" si="48"/>
        <v>1448000</v>
      </c>
      <c r="K216" s="220">
        <f t="shared" si="48"/>
        <v>307630000</v>
      </c>
      <c r="L216" s="220">
        <f>SUM(E216:K216)</f>
        <v>486577000</v>
      </c>
      <c r="M216" s="220">
        <f>M220+M232+M236+M243+M246+M250+M254+M257+M265+M269+M277+M239+M273</f>
        <v>92729000</v>
      </c>
      <c r="N216" s="220">
        <f>N220+N232+N236+N243+N246+N250+N254+N257+N265+N269+N277+N239+N273</f>
        <v>0</v>
      </c>
      <c r="O216" s="220">
        <f>O220+O232+O236+O243+O246+O250+O254+O257+O265+O269+O277+O239+O273</f>
        <v>0</v>
      </c>
      <c r="P216" s="220">
        <f>P220+P232+P236+P243+P246+P250+P254+P257+P265+P269+P277+P239+P273</f>
        <v>60000000</v>
      </c>
      <c r="Q216" s="220">
        <f>SUM(L216:P216)</f>
        <v>639306000</v>
      </c>
      <c r="R216" s="446">
        <f>R220+R232+R236+R243+R269</f>
        <v>1</v>
      </c>
    </row>
    <row r="217" spans="1:18" s="16" customFormat="1" ht="11.25" customHeight="1">
      <c r="A217" s="205"/>
      <c r="B217" s="206"/>
      <c r="C217" s="233"/>
      <c r="D217" s="157" t="s">
        <v>145</v>
      </c>
      <c r="E217" s="220">
        <f aca="true" t="shared" si="49" ref="E217:K217">E221+E233+E237+E244+E247+E251+E255+E258+E266+E270+E278+E240+E274+E262+E282</f>
        <v>38275050</v>
      </c>
      <c r="F217" s="220">
        <f t="shared" si="49"/>
        <v>9646350</v>
      </c>
      <c r="G217" s="220">
        <f t="shared" si="49"/>
        <v>52692493</v>
      </c>
      <c r="H217" s="220">
        <f t="shared" si="49"/>
        <v>0</v>
      </c>
      <c r="I217" s="220">
        <f t="shared" si="49"/>
        <v>13293448</v>
      </c>
      <c r="J217" s="220">
        <f t="shared" si="49"/>
        <v>1448000</v>
      </c>
      <c r="K217" s="220">
        <f t="shared" si="49"/>
        <v>7113000</v>
      </c>
      <c r="L217" s="220">
        <f>SUM(E217:K217)</f>
        <v>122468341</v>
      </c>
      <c r="M217" s="220">
        <f aca="true" t="shared" si="50" ref="M217:P218">M221+M233+M237+M244+M247+M251+M255+M258+M266+M270+M278+M240+M274+M262+M282</f>
        <v>20627686</v>
      </c>
      <c r="N217" s="220">
        <f t="shared" si="50"/>
        <v>15000000</v>
      </c>
      <c r="O217" s="220">
        <f t="shared" si="50"/>
        <v>0</v>
      </c>
      <c r="P217" s="220">
        <f t="shared" si="50"/>
        <v>60000000</v>
      </c>
      <c r="Q217" s="220">
        <f>SUM(L217:P217)</f>
        <v>218096027</v>
      </c>
      <c r="R217" s="446">
        <f>R221+R233+R237+R244+R270</f>
        <v>1</v>
      </c>
    </row>
    <row r="218" spans="1:18" s="16" customFormat="1" ht="11.25" customHeight="1">
      <c r="A218" s="205"/>
      <c r="B218" s="206"/>
      <c r="C218" s="233"/>
      <c r="D218" s="157" t="s">
        <v>146</v>
      </c>
      <c r="E218" s="220">
        <f>E222+E234+E238+E245+E248+E252+E256+E259+E267+E271+E279+E241+E275+E263+E283</f>
        <v>32309678</v>
      </c>
      <c r="F218" s="220">
        <f aca="true" t="shared" si="51" ref="F218:K218">F222+F234+F238+F245+F248+F252+F256+F259+F267+F271+F279+F241+F275+F263+F283</f>
        <v>7298240</v>
      </c>
      <c r="G218" s="220">
        <f>G222+G234+G238+G245+G248+G252+G256+G259+G267+G271+G279+G241+G275+G263+G283</f>
        <v>19468508</v>
      </c>
      <c r="H218" s="220">
        <f t="shared" si="51"/>
        <v>0</v>
      </c>
      <c r="I218" s="220">
        <f t="shared" si="51"/>
        <v>13293448</v>
      </c>
      <c r="J218" s="220">
        <f t="shared" si="51"/>
        <v>1447900</v>
      </c>
      <c r="K218" s="220">
        <f t="shared" si="51"/>
        <v>0</v>
      </c>
      <c r="L218" s="220">
        <f>SUM(E218:K218)</f>
        <v>73817774</v>
      </c>
      <c r="M218" s="220">
        <f t="shared" si="50"/>
        <v>13626428</v>
      </c>
      <c r="N218" s="220">
        <f t="shared" si="50"/>
        <v>0</v>
      </c>
      <c r="O218" s="220">
        <f t="shared" si="50"/>
        <v>0</v>
      </c>
      <c r="P218" s="220">
        <f t="shared" si="50"/>
        <v>0</v>
      </c>
      <c r="Q218" s="220">
        <f>SUM(L218:P218)</f>
        <v>87444202</v>
      </c>
      <c r="R218" s="446">
        <f>R222+R234+R238+R245+R271</f>
        <v>1</v>
      </c>
    </row>
    <row r="219" spans="1:18" ht="10.5" customHeight="1">
      <c r="A219" s="205"/>
      <c r="B219" s="250" t="s">
        <v>3</v>
      </c>
      <c r="C219" s="207" t="s">
        <v>53</v>
      </c>
      <c r="D219" s="1589" t="s">
        <v>70</v>
      </c>
      <c r="E219" s="1606"/>
      <c r="F219" s="1607"/>
      <c r="G219" s="208"/>
      <c r="H219" s="197"/>
      <c r="I219" s="197"/>
      <c r="J219" s="197"/>
      <c r="K219" s="197"/>
      <c r="L219" s="220"/>
      <c r="M219" s="197"/>
      <c r="N219" s="197"/>
      <c r="O219" s="197"/>
      <c r="P219" s="197"/>
      <c r="Q219" s="243"/>
      <c r="R219" s="446"/>
    </row>
    <row r="220" spans="1:18" ht="11.25" customHeight="1">
      <c r="A220" s="205"/>
      <c r="B220" s="250"/>
      <c r="C220" s="207"/>
      <c r="D220" s="157" t="s">
        <v>144</v>
      </c>
      <c r="E220" s="197">
        <f>E224+E228</f>
        <v>32674000</v>
      </c>
      <c r="F220" s="197">
        <f aca="true" t="shared" si="52" ref="F220:K220">F224+F228</f>
        <v>6767000</v>
      </c>
      <c r="G220" s="197">
        <f t="shared" si="52"/>
        <v>5621000</v>
      </c>
      <c r="H220" s="197"/>
      <c r="I220" s="197"/>
      <c r="J220" s="197"/>
      <c r="K220" s="197">
        <f t="shared" si="52"/>
        <v>0</v>
      </c>
      <c r="L220" s="220">
        <f>SUM(E220:K220)</f>
        <v>45062000</v>
      </c>
      <c r="M220" s="197"/>
      <c r="N220" s="197"/>
      <c r="O220" s="197"/>
      <c r="P220" s="197"/>
      <c r="Q220" s="243">
        <f>SUM(L220:P220)</f>
        <v>45062000</v>
      </c>
      <c r="R220" s="446">
        <v>1</v>
      </c>
    </row>
    <row r="221" spans="1:18" ht="11.25" customHeight="1">
      <c r="A221" s="205"/>
      <c r="B221" s="250"/>
      <c r="C221" s="207"/>
      <c r="D221" s="157" t="s">
        <v>145</v>
      </c>
      <c r="E221" s="197">
        <f aca="true" t="shared" si="53" ref="E221:K222">E225+E229</f>
        <v>32662000</v>
      </c>
      <c r="F221" s="197">
        <f t="shared" si="53"/>
        <v>7899000</v>
      </c>
      <c r="G221" s="197">
        <f t="shared" si="53"/>
        <v>5621000</v>
      </c>
      <c r="H221" s="197"/>
      <c r="I221" s="197"/>
      <c r="J221" s="197"/>
      <c r="K221" s="197">
        <f t="shared" si="53"/>
        <v>0</v>
      </c>
      <c r="L221" s="220">
        <f>SUM(E221:K221)</f>
        <v>46182000</v>
      </c>
      <c r="M221" s="197"/>
      <c r="N221" s="197"/>
      <c r="O221" s="197"/>
      <c r="P221" s="197"/>
      <c r="Q221" s="243">
        <f>SUM(L221:P221)</f>
        <v>46182000</v>
      </c>
      <c r="R221" s="446">
        <v>1</v>
      </c>
    </row>
    <row r="222" spans="1:18" ht="11.25" customHeight="1">
      <c r="A222" s="205"/>
      <c r="B222" s="250"/>
      <c r="C222" s="207"/>
      <c r="D222" s="157" t="s">
        <v>146</v>
      </c>
      <c r="E222" s="197">
        <f t="shared" si="53"/>
        <v>31149479</v>
      </c>
      <c r="F222" s="197">
        <f t="shared" si="53"/>
        <v>6976721</v>
      </c>
      <c r="G222" s="197">
        <f t="shared" si="53"/>
        <v>862197</v>
      </c>
      <c r="H222" s="197"/>
      <c r="I222" s="197"/>
      <c r="J222" s="197"/>
      <c r="K222" s="197">
        <f t="shared" si="53"/>
        <v>0</v>
      </c>
      <c r="L222" s="220">
        <f>SUM(E222:K222)</f>
        <v>38988397</v>
      </c>
      <c r="M222" s="197"/>
      <c r="N222" s="197"/>
      <c r="O222" s="197"/>
      <c r="P222" s="197"/>
      <c r="Q222" s="243">
        <f>SUM(L222:P222)</f>
        <v>38988397</v>
      </c>
      <c r="R222" s="446">
        <f>R226</f>
        <v>1</v>
      </c>
    </row>
    <row r="223" spans="1:18" ht="11.25" customHeight="1">
      <c r="A223" s="205"/>
      <c r="B223" s="250"/>
      <c r="C223" s="371" t="s">
        <v>106</v>
      </c>
      <c r="D223" s="387" t="s">
        <v>169</v>
      </c>
      <c r="E223" s="197"/>
      <c r="F223" s="197"/>
      <c r="G223" s="208"/>
      <c r="H223" s="197"/>
      <c r="I223" s="197"/>
      <c r="J223" s="197"/>
      <c r="K223" s="197"/>
      <c r="L223" s="220"/>
      <c r="M223" s="197"/>
      <c r="N223" s="197"/>
      <c r="O223" s="197"/>
      <c r="P223" s="197"/>
      <c r="Q223" s="243"/>
      <c r="R223" s="446"/>
    </row>
    <row r="224" spans="1:18" s="20" customFormat="1" ht="11.25" customHeight="1">
      <c r="A224" s="386"/>
      <c r="B224" s="393"/>
      <c r="C224" s="371"/>
      <c r="D224" s="389" t="s">
        <v>144</v>
      </c>
      <c r="E224" s="373">
        <v>12718000</v>
      </c>
      <c r="F224" s="373">
        <v>2815000</v>
      </c>
      <c r="G224" s="391">
        <v>1000000</v>
      </c>
      <c r="H224" s="373"/>
      <c r="I224" s="373"/>
      <c r="J224" s="373"/>
      <c r="K224" s="373"/>
      <c r="L224" s="374">
        <f>SUM(E224:K224)</f>
        <v>16533000</v>
      </c>
      <c r="M224" s="373"/>
      <c r="N224" s="373"/>
      <c r="O224" s="373"/>
      <c r="P224" s="373"/>
      <c r="Q224" s="388">
        <f>SUM(L224:P224)</f>
        <v>16533000</v>
      </c>
      <c r="R224" s="472">
        <v>1</v>
      </c>
    </row>
    <row r="225" spans="1:18" s="20" customFormat="1" ht="11.25" customHeight="1">
      <c r="A225" s="386"/>
      <c r="B225" s="393"/>
      <c r="C225" s="371"/>
      <c r="D225" s="389" t="s">
        <v>145</v>
      </c>
      <c r="E225" s="373">
        <v>12898000</v>
      </c>
      <c r="F225" s="373">
        <v>2855000</v>
      </c>
      <c r="G225" s="391">
        <v>1000000</v>
      </c>
      <c r="H225" s="373"/>
      <c r="I225" s="373"/>
      <c r="J225" s="373"/>
      <c r="K225" s="373"/>
      <c r="L225" s="374">
        <f>SUM(E225:K225)</f>
        <v>16753000</v>
      </c>
      <c r="M225" s="373"/>
      <c r="N225" s="373"/>
      <c r="O225" s="373"/>
      <c r="P225" s="373"/>
      <c r="Q225" s="388">
        <f aca="true" t="shared" si="54" ref="Q225:Q230">SUM(L225:P225)</f>
        <v>16753000</v>
      </c>
      <c r="R225" s="472">
        <v>1</v>
      </c>
    </row>
    <row r="226" spans="1:18" s="20" customFormat="1" ht="11.25" customHeight="1">
      <c r="A226" s="386"/>
      <c r="B226" s="393"/>
      <c r="C226" s="371"/>
      <c r="D226" s="389" t="s">
        <v>146</v>
      </c>
      <c r="E226" s="373">
        <v>12532161</v>
      </c>
      <c r="F226" s="373">
        <v>2589741</v>
      </c>
      <c r="G226" s="391">
        <f>1513603-1400000+11930</f>
        <v>125533</v>
      </c>
      <c r="H226" s="373"/>
      <c r="I226" s="373"/>
      <c r="J226" s="373"/>
      <c r="K226" s="373"/>
      <c r="L226" s="374">
        <f>SUM(E226:K226)</f>
        <v>15247435</v>
      </c>
      <c r="M226" s="373"/>
      <c r="N226" s="373"/>
      <c r="O226" s="373"/>
      <c r="P226" s="373"/>
      <c r="Q226" s="388">
        <f t="shared" si="54"/>
        <v>15247435</v>
      </c>
      <c r="R226" s="472">
        <v>1</v>
      </c>
    </row>
    <row r="227" spans="1:18" s="20" customFormat="1" ht="11.25" customHeight="1">
      <c r="A227" s="386"/>
      <c r="B227" s="393"/>
      <c r="C227" s="371" t="s">
        <v>107</v>
      </c>
      <c r="D227" s="390" t="s">
        <v>147</v>
      </c>
      <c r="E227" s="373"/>
      <c r="F227" s="373"/>
      <c r="G227" s="391"/>
      <c r="H227" s="373"/>
      <c r="I227" s="373"/>
      <c r="J227" s="373"/>
      <c r="K227" s="373"/>
      <c r="L227" s="374"/>
      <c r="M227" s="373"/>
      <c r="N227" s="373"/>
      <c r="O227" s="373"/>
      <c r="P227" s="373"/>
      <c r="Q227" s="388"/>
      <c r="R227" s="472"/>
    </row>
    <row r="228" spans="1:18" s="20" customFormat="1" ht="11.25" customHeight="1">
      <c r="A228" s="386"/>
      <c r="B228" s="393"/>
      <c r="C228" s="371"/>
      <c r="D228" s="389" t="s">
        <v>144</v>
      </c>
      <c r="E228" s="373">
        <v>19956000</v>
      </c>
      <c r="F228" s="373">
        <v>3952000</v>
      </c>
      <c r="G228" s="391">
        <v>4621000</v>
      </c>
      <c r="H228" s="373"/>
      <c r="I228" s="373"/>
      <c r="J228" s="373"/>
      <c r="K228" s="373"/>
      <c r="L228" s="374">
        <f>SUM(E228:K228)</f>
        <v>28529000</v>
      </c>
      <c r="M228" s="373"/>
      <c r="N228" s="373"/>
      <c r="O228" s="373"/>
      <c r="P228" s="373"/>
      <c r="Q228" s="388">
        <f t="shared" si="54"/>
        <v>28529000</v>
      </c>
      <c r="R228" s="472"/>
    </row>
    <row r="229" spans="1:18" s="20" customFormat="1" ht="11.25" customHeight="1">
      <c r="A229" s="386"/>
      <c r="B229" s="393"/>
      <c r="C229" s="371"/>
      <c r="D229" s="389" t="s">
        <v>145</v>
      </c>
      <c r="E229" s="373">
        <v>19764000</v>
      </c>
      <c r="F229" s="373">
        <v>5044000</v>
      </c>
      <c r="G229" s="391">
        <v>4621000</v>
      </c>
      <c r="H229" s="373"/>
      <c r="I229" s="373"/>
      <c r="J229" s="373"/>
      <c r="K229" s="373"/>
      <c r="L229" s="374">
        <f>SUM(E229:K229)</f>
        <v>29429000</v>
      </c>
      <c r="M229" s="373"/>
      <c r="N229" s="373"/>
      <c r="O229" s="373"/>
      <c r="P229" s="373"/>
      <c r="Q229" s="388">
        <f t="shared" si="54"/>
        <v>29429000</v>
      </c>
      <c r="R229" s="472"/>
    </row>
    <row r="230" spans="1:18" s="20" customFormat="1" ht="11.25" customHeight="1">
      <c r="A230" s="386"/>
      <c r="B230" s="393"/>
      <c r="C230" s="371"/>
      <c r="D230" s="389" t="s">
        <v>146</v>
      </c>
      <c r="E230" s="373">
        <v>18617318</v>
      </c>
      <c r="F230" s="373">
        <v>4386980</v>
      </c>
      <c r="G230" s="391">
        <f>734594+2070</f>
        <v>736664</v>
      </c>
      <c r="H230" s="373"/>
      <c r="I230" s="373"/>
      <c r="J230" s="373"/>
      <c r="K230" s="373"/>
      <c r="L230" s="374">
        <f>SUM(E230:K230)</f>
        <v>23740962</v>
      </c>
      <c r="M230" s="373"/>
      <c r="N230" s="373"/>
      <c r="O230" s="373"/>
      <c r="P230" s="373"/>
      <c r="Q230" s="388">
        <f t="shared" si="54"/>
        <v>23740962</v>
      </c>
      <c r="R230" s="472"/>
    </row>
    <row r="231" spans="1:18" ht="11.25" customHeight="1">
      <c r="A231" s="205"/>
      <c r="B231" s="250" t="s">
        <v>4</v>
      </c>
      <c r="C231" s="207" t="s">
        <v>106</v>
      </c>
      <c r="D231" s="235" t="s">
        <v>92</v>
      </c>
      <c r="E231" s="197"/>
      <c r="F231" s="197"/>
      <c r="G231" s="208"/>
      <c r="H231" s="197"/>
      <c r="I231" s="197"/>
      <c r="J231" s="197"/>
      <c r="K231" s="197"/>
      <c r="L231" s="220"/>
      <c r="M231" s="197"/>
      <c r="N231" s="197"/>
      <c r="O231" s="197"/>
      <c r="P231" s="197"/>
      <c r="Q231" s="243"/>
      <c r="R231" s="446"/>
    </row>
    <row r="232" spans="1:18" ht="11.25" customHeight="1">
      <c r="A232" s="205"/>
      <c r="B232" s="250"/>
      <c r="C232" s="207"/>
      <c r="D232" s="157" t="s">
        <v>144</v>
      </c>
      <c r="E232" s="197"/>
      <c r="F232" s="197"/>
      <c r="G232" s="208">
        <v>1400000</v>
      </c>
      <c r="H232" s="197"/>
      <c r="I232" s="197"/>
      <c r="J232" s="197"/>
      <c r="K232" s="197"/>
      <c r="L232" s="220">
        <f>SUM(G232:K232)</f>
        <v>1400000</v>
      </c>
      <c r="M232" s="197">
        <v>0</v>
      </c>
      <c r="N232" s="197"/>
      <c r="O232" s="197"/>
      <c r="P232" s="197"/>
      <c r="Q232" s="243">
        <f>SUM(L232:P232)</f>
        <v>1400000</v>
      </c>
      <c r="R232" s="474"/>
    </row>
    <row r="233" spans="1:18" ht="11.25" customHeight="1">
      <c r="A233" s="205"/>
      <c r="B233" s="250"/>
      <c r="C233" s="207"/>
      <c r="D233" s="157" t="s">
        <v>145</v>
      </c>
      <c r="E233" s="197"/>
      <c r="F233" s="197"/>
      <c r="G233" s="208">
        <v>1400000</v>
      </c>
      <c r="H233" s="197"/>
      <c r="I233" s="197"/>
      <c r="J233" s="197"/>
      <c r="K233" s="197"/>
      <c r="L233" s="220">
        <f>SUM(G233:K233)</f>
        <v>1400000</v>
      </c>
      <c r="M233" s="197">
        <v>4019386</v>
      </c>
      <c r="N233" s="197"/>
      <c r="O233" s="197"/>
      <c r="P233" s="197"/>
      <c r="Q233" s="243">
        <f>SUM(L233:P233)</f>
        <v>5419386</v>
      </c>
      <c r="R233" s="474"/>
    </row>
    <row r="234" spans="1:18" ht="11.25" customHeight="1">
      <c r="A234" s="205"/>
      <c r="B234" s="250"/>
      <c r="C234" s="207"/>
      <c r="D234" s="157" t="s">
        <v>146</v>
      </c>
      <c r="E234" s="197"/>
      <c r="F234" s="197"/>
      <c r="G234" s="208">
        <v>1400000</v>
      </c>
      <c r="H234" s="197"/>
      <c r="I234" s="197"/>
      <c r="J234" s="197"/>
      <c r="K234" s="197"/>
      <c r="L234" s="220">
        <f>SUM(G234:K234)</f>
        <v>1400000</v>
      </c>
      <c r="M234" s="197">
        <v>4019386</v>
      </c>
      <c r="N234" s="197"/>
      <c r="O234" s="197"/>
      <c r="P234" s="197"/>
      <c r="Q234" s="243">
        <f>SUM(L234:P234)</f>
        <v>5419386</v>
      </c>
      <c r="R234" s="474"/>
    </row>
    <row r="235" spans="1:18" ht="11.25" customHeight="1">
      <c r="A235" s="205"/>
      <c r="B235" s="250" t="s">
        <v>5</v>
      </c>
      <c r="C235" s="207"/>
      <c r="D235" s="265" t="s">
        <v>71</v>
      </c>
      <c r="E235" s="236"/>
      <c r="F235" s="236"/>
      <c r="G235" s="208"/>
      <c r="H235" s="236"/>
      <c r="I235" s="236"/>
      <c r="J235" s="236"/>
      <c r="K235" s="236"/>
      <c r="L235" s="284"/>
      <c r="M235" s="236"/>
      <c r="N235" s="236"/>
      <c r="O235" s="236"/>
      <c r="P235" s="236"/>
      <c r="Q235" s="243"/>
      <c r="R235" s="474"/>
    </row>
    <row r="236" spans="1:18" ht="11.25" customHeight="1">
      <c r="A236" s="266"/>
      <c r="B236" s="267"/>
      <c r="C236" s="268" t="s">
        <v>106</v>
      </c>
      <c r="D236" s="157" t="s">
        <v>144</v>
      </c>
      <c r="E236" s="211"/>
      <c r="F236" s="211"/>
      <c r="G236" s="269"/>
      <c r="H236" s="211"/>
      <c r="I236" s="211"/>
      <c r="J236" s="211"/>
      <c r="K236" s="211">
        <v>300000000</v>
      </c>
      <c r="L236" s="270">
        <f>SUM(E236:K236)</f>
        <v>300000000</v>
      </c>
      <c r="M236" s="211"/>
      <c r="N236" s="211"/>
      <c r="O236" s="211"/>
      <c r="P236" s="211"/>
      <c r="Q236" s="271">
        <f aca="true" t="shared" si="55" ref="Q236:Q241">SUM(L236:P236)</f>
        <v>300000000</v>
      </c>
      <c r="R236" s="474"/>
    </row>
    <row r="237" spans="1:18" ht="11.25" customHeight="1">
      <c r="A237" s="266"/>
      <c r="B237" s="267"/>
      <c r="C237" s="268"/>
      <c r="D237" s="157" t="s">
        <v>145</v>
      </c>
      <c r="E237" s="211"/>
      <c r="F237" s="211"/>
      <c r="G237" s="269"/>
      <c r="H237" s="211"/>
      <c r="I237" s="211"/>
      <c r="J237" s="211"/>
      <c r="K237" s="211">
        <v>2000000</v>
      </c>
      <c r="L237" s="270">
        <f>SUM(E237:K237)</f>
        <v>2000000</v>
      </c>
      <c r="M237" s="211"/>
      <c r="N237" s="211"/>
      <c r="O237" s="211"/>
      <c r="P237" s="211"/>
      <c r="Q237" s="271">
        <f t="shared" si="55"/>
        <v>2000000</v>
      </c>
      <c r="R237" s="474"/>
    </row>
    <row r="238" spans="1:18" ht="11.25" customHeight="1">
      <c r="A238" s="266"/>
      <c r="B238" s="267"/>
      <c r="C238" s="268"/>
      <c r="D238" s="157" t="s">
        <v>146</v>
      </c>
      <c r="E238" s="211"/>
      <c r="F238" s="211"/>
      <c r="G238" s="269"/>
      <c r="H238" s="211"/>
      <c r="I238" s="211"/>
      <c r="J238" s="211"/>
      <c r="K238" s="211">
        <v>0</v>
      </c>
      <c r="L238" s="270">
        <f>SUM(G238:K238)</f>
        <v>0</v>
      </c>
      <c r="M238" s="211"/>
      <c r="N238" s="211"/>
      <c r="O238" s="211"/>
      <c r="P238" s="211"/>
      <c r="Q238" s="271">
        <f t="shared" si="55"/>
        <v>0</v>
      </c>
      <c r="R238" s="474"/>
    </row>
    <row r="239" spans="1:18" ht="11.25" customHeight="1">
      <c r="A239" s="266"/>
      <c r="B239" s="267"/>
      <c r="C239" s="268" t="s">
        <v>107</v>
      </c>
      <c r="D239" s="157" t="s">
        <v>144</v>
      </c>
      <c r="E239" s="741"/>
      <c r="F239" s="211"/>
      <c r="G239" s="269"/>
      <c r="H239" s="211"/>
      <c r="I239" s="211"/>
      <c r="J239" s="211"/>
      <c r="K239" s="211">
        <v>7630000</v>
      </c>
      <c r="L239" s="270">
        <f>SUM(E239:K239)</f>
        <v>7630000</v>
      </c>
      <c r="M239" s="211"/>
      <c r="N239" s="211"/>
      <c r="O239" s="211"/>
      <c r="P239" s="211">
        <v>60000000</v>
      </c>
      <c r="Q239" s="271">
        <f t="shared" si="55"/>
        <v>67630000</v>
      </c>
      <c r="R239" s="474"/>
    </row>
    <row r="240" spans="1:18" ht="11.25" customHeight="1">
      <c r="A240" s="266"/>
      <c r="B240" s="267"/>
      <c r="C240" s="268"/>
      <c r="D240" s="157" t="s">
        <v>145</v>
      </c>
      <c r="E240" s="741"/>
      <c r="F240" s="211"/>
      <c r="G240" s="269"/>
      <c r="H240" s="211"/>
      <c r="I240" s="211"/>
      <c r="J240" s="211"/>
      <c r="K240" s="211">
        <v>5113000</v>
      </c>
      <c r="L240" s="270">
        <f>SUM(G240:K240)</f>
        <v>5113000</v>
      </c>
      <c r="M240" s="211"/>
      <c r="N240" s="211"/>
      <c r="O240" s="211"/>
      <c r="P240" s="211">
        <v>60000000</v>
      </c>
      <c r="Q240" s="271">
        <f t="shared" si="55"/>
        <v>65113000</v>
      </c>
      <c r="R240" s="474"/>
    </row>
    <row r="241" spans="1:18" ht="11.25" customHeight="1">
      <c r="A241" s="266"/>
      <c r="B241" s="267"/>
      <c r="C241" s="268"/>
      <c r="D241" s="157" t="s">
        <v>146</v>
      </c>
      <c r="E241" s="741"/>
      <c r="F241" s="197"/>
      <c r="G241" s="269"/>
      <c r="H241" s="211"/>
      <c r="I241" s="211"/>
      <c r="J241" s="211"/>
      <c r="K241" s="211">
        <v>0</v>
      </c>
      <c r="L241" s="270">
        <f>SUM(G241:K241)</f>
        <v>0</v>
      </c>
      <c r="M241" s="211"/>
      <c r="N241" s="211"/>
      <c r="O241" s="211"/>
      <c r="P241" s="211">
        <v>0</v>
      </c>
      <c r="Q241" s="271">
        <f t="shared" si="55"/>
        <v>0</v>
      </c>
      <c r="R241" s="474"/>
    </row>
    <row r="242" spans="1:18" ht="11.25" customHeight="1">
      <c r="A242" s="266"/>
      <c r="B242" s="267" t="s">
        <v>6</v>
      </c>
      <c r="C242" s="268"/>
      <c r="D242" s="1592" t="s">
        <v>914</v>
      </c>
      <c r="E242" s="1593"/>
      <c r="F242" s="1594"/>
      <c r="G242" s="269"/>
      <c r="H242" s="211"/>
      <c r="I242" s="211"/>
      <c r="J242" s="211"/>
      <c r="K242" s="211"/>
      <c r="L242" s="270"/>
      <c r="M242" s="211"/>
      <c r="N242" s="211"/>
      <c r="O242" s="211"/>
      <c r="P242" s="211"/>
      <c r="Q242" s="271"/>
      <c r="R242" s="474"/>
    </row>
    <row r="243" spans="1:18" ht="11.25" customHeight="1">
      <c r="A243" s="266"/>
      <c r="B243" s="267"/>
      <c r="C243" s="268" t="s">
        <v>107</v>
      </c>
      <c r="D243" s="157" t="s">
        <v>144</v>
      </c>
      <c r="E243" s="211"/>
      <c r="F243" s="211"/>
      <c r="G243" s="269">
        <v>13633000</v>
      </c>
      <c r="H243" s="211"/>
      <c r="I243" s="211">
        <v>530000</v>
      </c>
      <c r="J243" s="211"/>
      <c r="K243" s="211"/>
      <c r="L243" s="270">
        <f aca="true" t="shared" si="56" ref="L243:L248">SUM(E243:K243)</f>
        <v>14163000</v>
      </c>
      <c r="M243" s="211">
        <v>1913000</v>
      </c>
      <c r="N243" s="211"/>
      <c r="O243" s="211"/>
      <c r="P243" s="211"/>
      <c r="Q243" s="271">
        <f aca="true" t="shared" si="57" ref="Q243:Q248">SUM(L243:P243)</f>
        <v>16076000</v>
      </c>
      <c r="R243" s="474"/>
    </row>
    <row r="244" spans="1:18" ht="11.25" customHeight="1">
      <c r="A244" s="266"/>
      <c r="B244" s="267"/>
      <c r="C244" s="268"/>
      <c r="D244" s="157" t="s">
        <v>145</v>
      </c>
      <c r="E244" s="211"/>
      <c r="F244" s="211"/>
      <c r="G244" s="269">
        <v>0</v>
      </c>
      <c r="H244" s="211"/>
      <c r="I244" s="211">
        <v>0</v>
      </c>
      <c r="J244" s="211"/>
      <c r="K244" s="211"/>
      <c r="L244" s="270">
        <f t="shared" si="56"/>
        <v>0</v>
      </c>
      <c r="M244" s="211">
        <v>0</v>
      </c>
      <c r="N244" s="211"/>
      <c r="O244" s="211"/>
      <c r="P244" s="211"/>
      <c r="Q244" s="271">
        <f t="shared" si="57"/>
        <v>0</v>
      </c>
      <c r="R244" s="474"/>
    </row>
    <row r="245" spans="1:18" ht="11.25" customHeight="1">
      <c r="A245" s="205"/>
      <c r="B245" s="250"/>
      <c r="C245" s="207"/>
      <c r="D245" s="157" t="s">
        <v>146</v>
      </c>
      <c r="E245" s="197"/>
      <c r="F245" s="197"/>
      <c r="G245" s="208">
        <v>0</v>
      </c>
      <c r="H245" s="197"/>
      <c r="I245" s="197">
        <v>0</v>
      </c>
      <c r="J245" s="197"/>
      <c r="K245" s="197"/>
      <c r="L245" s="270">
        <f t="shared" si="56"/>
        <v>0</v>
      </c>
      <c r="M245" s="197">
        <v>0</v>
      </c>
      <c r="N245" s="197"/>
      <c r="O245" s="197"/>
      <c r="P245" s="197"/>
      <c r="Q245" s="271">
        <f t="shared" si="57"/>
        <v>0</v>
      </c>
      <c r="R245" s="446"/>
    </row>
    <row r="246" spans="1:18" ht="11.25" customHeight="1">
      <c r="A246" s="205"/>
      <c r="B246" s="250"/>
      <c r="C246" s="207" t="s">
        <v>106</v>
      </c>
      <c r="D246" s="157" t="s">
        <v>144</v>
      </c>
      <c r="E246" s="197"/>
      <c r="F246" s="197"/>
      <c r="G246" s="208">
        <v>18013000</v>
      </c>
      <c r="H246" s="197"/>
      <c r="I246" s="197"/>
      <c r="J246" s="197"/>
      <c r="K246" s="197"/>
      <c r="L246" s="270">
        <f t="shared" si="56"/>
        <v>18013000</v>
      </c>
      <c r="M246" s="197">
        <v>80038000</v>
      </c>
      <c r="N246" s="197"/>
      <c r="O246" s="197"/>
      <c r="P246" s="197"/>
      <c r="Q246" s="271">
        <f t="shared" si="57"/>
        <v>98051000</v>
      </c>
      <c r="R246" s="446"/>
    </row>
    <row r="247" spans="1:18" ht="11.25" customHeight="1">
      <c r="A247" s="205"/>
      <c r="B247" s="250"/>
      <c r="C247" s="207"/>
      <c r="D247" s="157" t="s">
        <v>145</v>
      </c>
      <c r="E247" s="197"/>
      <c r="F247" s="197"/>
      <c r="G247" s="208">
        <v>0</v>
      </c>
      <c r="H247" s="197"/>
      <c r="I247" s="197"/>
      <c r="J247" s="197"/>
      <c r="K247" s="197"/>
      <c r="L247" s="270">
        <f t="shared" si="56"/>
        <v>0</v>
      </c>
      <c r="M247" s="197">
        <v>0</v>
      </c>
      <c r="N247" s="197"/>
      <c r="O247" s="197"/>
      <c r="P247" s="197"/>
      <c r="Q247" s="271">
        <f t="shared" si="57"/>
        <v>0</v>
      </c>
      <c r="R247" s="446"/>
    </row>
    <row r="248" spans="1:18" ht="11.25" customHeight="1">
      <c r="A248" s="205"/>
      <c r="B248" s="250"/>
      <c r="C248" s="207"/>
      <c r="D248" s="157" t="s">
        <v>146</v>
      </c>
      <c r="E248" s="197"/>
      <c r="F248" s="197"/>
      <c r="G248" s="208">
        <v>0</v>
      </c>
      <c r="H248" s="197"/>
      <c r="I248" s="197"/>
      <c r="J248" s="197"/>
      <c r="K248" s="197"/>
      <c r="L248" s="270">
        <f t="shared" si="56"/>
        <v>0</v>
      </c>
      <c r="M248" s="197">
        <v>0</v>
      </c>
      <c r="N248" s="197"/>
      <c r="O248" s="197"/>
      <c r="P248" s="197"/>
      <c r="Q248" s="271">
        <f t="shared" si="57"/>
        <v>0</v>
      </c>
      <c r="R248" s="446"/>
    </row>
    <row r="249" spans="1:18" ht="13.5" customHeight="1">
      <c r="A249" s="205"/>
      <c r="B249" s="250" t="s">
        <v>7</v>
      </c>
      <c r="C249" s="207" t="s">
        <v>107</v>
      </c>
      <c r="D249" s="394" t="s">
        <v>118</v>
      </c>
      <c r="E249" s="236"/>
      <c r="F249" s="236"/>
      <c r="G249" s="208"/>
      <c r="H249" s="236"/>
      <c r="I249" s="236"/>
      <c r="J249" s="236"/>
      <c r="K249" s="236"/>
      <c r="L249" s="284"/>
      <c r="M249" s="236"/>
      <c r="N249" s="236"/>
      <c r="O249" s="236"/>
      <c r="P249" s="236"/>
      <c r="Q249" s="243"/>
      <c r="R249" s="446"/>
    </row>
    <row r="250" spans="1:18" ht="11.25" customHeight="1">
      <c r="A250" s="205"/>
      <c r="B250" s="250"/>
      <c r="C250" s="207"/>
      <c r="D250" s="157" t="s">
        <v>144</v>
      </c>
      <c r="E250" s="197"/>
      <c r="F250" s="197"/>
      <c r="G250" s="208"/>
      <c r="H250" s="197"/>
      <c r="I250" s="197"/>
      <c r="J250" s="197">
        <v>1448000</v>
      </c>
      <c r="K250" s="197"/>
      <c r="L250" s="220">
        <f>SUM(G250:K250)</f>
        <v>1448000</v>
      </c>
      <c r="M250" s="197"/>
      <c r="N250" s="197"/>
      <c r="O250" s="197"/>
      <c r="P250" s="197"/>
      <c r="Q250" s="243">
        <f>SUM(L250:P250)</f>
        <v>1448000</v>
      </c>
      <c r="R250" s="446"/>
    </row>
    <row r="251" spans="1:18" ht="11.25" customHeight="1">
      <c r="A251" s="205"/>
      <c r="B251" s="250"/>
      <c r="C251" s="207"/>
      <c r="D251" s="157" t="s">
        <v>145</v>
      </c>
      <c r="E251" s="197"/>
      <c r="F251" s="197"/>
      <c r="G251" s="208"/>
      <c r="H251" s="197"/>
      <c r="I251" s="197"/>
      <c r="J251" s="197">
        <v>1448000</v>
      </c>
      <c r="K251" s="197"/>
      <c r="L251" s="220">
        <f>SUM(G251:K251)</f>
        <v>1448000</v>
      </c>
      <c r="M251" s="197"/>
      <c r="N251" s="197"/>
      <c r="O251" s="197"/>
      <c r="P251" s="197"/>
      <c r="Q251" s="243">
        <f>SUM(L251:P251)</f>
        <v>1448000</v>
      </c>
      <c r="R251" s="446"/>
    </row>
    <row r="252" spans="1:18" ht="11.25" customHeight="1">
      <c r="A252" s="205"/>
      <c r="B252" s="250"/>
      <c r="C252" s="207"/>
      <c r="D252" s="157" t="s">
        <v>146</v>
      </c>
      <c r="E252" s="197"/>
      <c r="F252" s="197"/>
      <c r="G252" s="208"/>
      <c r="H252" s="197"/>
      <c r="I252" s="197"/>
      <c r="J252" s="197">
        <v>1447900</v>
      </c>
      <c r="K252" s="197"/>
      <c r="L252" s="220">
        <f>SUM(G252:K252)</f>
        <v>1447900</v>
      </c>
      <c r="M252" s="197"/>
      <c r="N252" s="197"/>
      <c r="O252" s="197"/>
      <c r="P252" s="197"/>
      <c r="Q252" s="243">
        <f>SUM(L252:P252)</f>
        <v>1447900</v>
      </c>
      <c r="R252" s="446"/>
    </row>
    <row r="253" spans="1:18" ht="11.25" customHeight="1">
      <c r="A253" s="205"/>
      <c r="B253" s="250" t="s">
        <v>8</v>
      </c>
      <c r="C253" s="207"/>
      <c r="D253" s="394" t="s">
        <v>65</v>
      </c>
      <c r="E253" s="236"/>
      <c r="F253" s="236"/>
      <c r="G253" s="208"/>
      <c r="H253" s="236"/>
      <c r="I253" s="236"/>
      <c r="J253" s="236"/>
      <c r="K253" s="236"/>
      <c r="L253" s="284"/>
      <c r="M253" s="236"/>
      <c r="N253" s="236"/>
      <c r="O253" s="236"/>
      <c r="P253" s="236"/>
      <c r="Q253" s="243"/>
      <c r="R253" s="446"/>
    </row>
    <row r="254" spans="1:18" ht="11.25" customHeight="1">
      <c r="A254" s="205"/>
      <c r="B254" s="250"/>
      <c r="C254" s="207" t="s">
        <v>106</v>
      </c>
      <c r="D254" s="157" t="s">
        <v>144</v>
      </c>
      <c r="E254" s="197">
        <v>0</v>
      </c>
      <c r="F254" s="197">
        <v>0</v>
      </c>
      <c r="G254" s="208">
        <v>29000000</v>
      </c>
      <c r="H254" s="197"/>
      <c r="I254" s="197">
        <v>0</v>
      </c>
      <c r="J254" s="197"/>
      <c r="K254" s="197"/>
      <c r="L254" s="220">
        <f aca="true" t="shared" si="58" ref="L254:L259">SUM(E254:K254)</f>
        <v>29000000</v>
      </c>
      <c r="M254" s="197">
        <v>2000000</v>
      </c>
      <c r="N254" s="197"/>
      <c r="O254" s="197"/>
      <c r="P254" s="197"/>
      <c r="Q254" s="243">
        <f aca="true" t="shared" si="59" ref="Q254:Q259">SUM(L254:P254)</f>
        <v>31000000</v>
      </c>
      <c r="R254" s="446"/>
    </row>
    <row r="255" spans="1:18" ht="11.25" customHeight="1">
      <c r="A255" s="205"/>
      <c r="B255" s="250"/>
      <c r="C255" s="207"/>
      <c r="D255" s="157" t="s">
        <v>145</v>
      </c>
      <c r="E255" s="197">
        <v>1000000</v>
      </c>
      <c r="F255" s="197">
        <v>220000</v>
      </c>
      <c r="G255" s="208">
        <v>25768399</v>
      </c>
      <c r="H255" s="197"/>
      <c r="I255" s="197">
        <v>13293448</v>
      </c>
      <c r="J255" s="197"/>
      <c r="K255" s="197"/>
      <c r="L255" s="220">
        <f t="shared" si="58"/>
        <v>40281847</v>
      </c>
      <c r="M255" s="197">
        <v>0</v>
      </c>
      <c r="N255" s="197"/>
      <c r="O255" s="197"/>
      <c r="P255" s="197"/>
      <c r="Q255" s="243">
        <f t="shared" si="59"/>
        <v>40281847</v>
      </c>
      <c r="R255" s="446"/>
    </row>
    <row r="256" spans="1:18" ht="11.25" customHeight="1">
      <c r="A256" s="205"/>
      <c r="B256" s="250"/>
      <c r="C256" s="207"/>
      <c r="D256" s="157" t="s">
        <v>146</v>
      </c>
      <c r="E256" s="197">
        <v>25000</v>
      </c>
      <c r="F256" s="197">
        <v>0</v>
      </c>
      <c r="G256" s="208">
        <f>11747638-59885-9578037+3000000+1588208</f>
        <v>6697924</v>
      </c>
      <c r="H256" s="197"/>
      <c r="I256" s="197">
        <v>13293448</v>
      </c>
      <c r="J256" s="197"/>
      <c r="K256" s="197"/>
      <c r="L256" s="220">
        <f t="shared" si="58"/>
        <v>20016372</v>
      </c>
      <c r="M256" s="197">
        <v>0</v>
      </c>
      <c r="N256" s="197"/>
      <c r="O256" s="197"/>
      <c r="P256" s="197"/>
      <c r="Q256" s="243">
        <f>SUM(L256:P256)</f>
        <v>20016372</v>
      </c>
      <c r="R256" s="446"/>
    </row>
    <row r="257" spans="1:18" ht="11.25" customHeight="1">
      <c r="A257" s="205"/>
      <c r="B257" s="250"/>
      <c r="C257" s="207" t="s">
        <v>107</v>
      </c>
      <c r="D257" s="157" t="s">
        <v>144</v>
      </c>
      <c r="E257" s="197">
        <v>0</v>
      </c>
      <c r="F257" s="197">
        <v>0</v>
      </c>
      <c r="G257" s="208">
        <v>5000000</v>
      </c>
      <c r="H257" s="197"/>
      <c r="I257" s="197"/>
      <c r="J257" s="197"/>
      <c r="K257" s="197"/>
      <c r="L257" s="220">
        <f t="shared" si="58"/>
        <v>5000000</v>
      </c>
      <c r="M257" s="197"/>
      <c r="N257" s="197"/>
      <c r="O257" s="197"/>
      <c r="P257" s="197"/>
      <c r="Q257" s="243">
        <f t="shared" si="59"/>
        <v>5000000</v>
      </c>
      <c r="R257" s="446"/>
    </row>
    <row r="258" spans="1:18" ht="11.25" customHeight="1">
      <c r="A258" s="205"/>
      <c r="B258" s="250"/>
      <c r="C258" s="207"/>
      <c r="D258" s="157" t="s">
        <v>145</v>
      </c>
      <c r="E258" s="197">
        <v>1320000</v>
      </c>
      <c r="F258" s="197">
        <v>290400</v>
      </c>
      <c r="G258" s="208">
        <v>4634000</v>
      </c>
      <c r="H258" s="197"/>
      <c r="I258" s="197"/>
      <c r="J258" s="197"/>
      <c r="K258" s="197"/>
      <c r="L258" s="220">
        <f t="shared" si="58"/>
        <v>6244400</v>
      </c>
      <c r="M258" s="197"/>
      <c r="N258" s="197"/>
      <c r="O258" s="197"/>
      <c r="P258" s="197"/>
      <c r="Q258" s="243">
        <f t="shared" si="59"/>
        <v>6244400</v>
      </c>
      <c r="R258" s="446"/>
    </row>
    <row r="259" spans="1:18" ht="11.25" customHeight="1">
      <c r="A259" s="205"/>
      <c r="B259" s="250"/>
      <c r="C259" s="207"/>
      <c r="D259" s="157" t="s">
        <v>146</v>
      </c>
      <c r="E259" s="197">
        <f>1019999</f>
        <v>1019999</v>
      </c>
      <c r="F259" s="197">
        <f>224319</f>
        <v>224319</v>
      </c>
      <c r="G259" s="208">
        <f>61278+31552+68906+330</f>
        <v>162066</v>
      </c>
      <c r="H259" s="197"/>
      <c r="I259" s="197"/>
      <c r="J259" s="197"/>
      <c r="K259" s="197"/>
      <c r="L259" s="220">
        <f t="shared" si="58"/>
        <v>1406384</v>
      </c>
      <c r="M259" s="197"/>
      <c r="N259" s="197"/>
      <c r="O259" s="197"/>
      <c r="P259" s="197"/>
      <c r="Q259" s="243">
        <f t="shared" si="59"/>
        <v>1406384</v>
      </c>
      <c r="R259" s="446"/>
    </row>
    <row r="260" spans="1:18" ht="13.5" customHeight="1">
      <c r="A260" s="205"/>
      <c r="B260" s="250"/>
      <c r="C260" s="207" t="s">
        <v>106</v>
      </c>
      <c r="D260" s="1269" t="s">
        <v>937</v>
      </c>
      <c r="E260" s="197"/>
      <c r="F260" s="197"/>
      <c r="G260" s="208"/>
      <c r="H260" s="197"/>
      <c r="I260" s="197"/>
      <c r="J260" s="197"/>
      <c r="K260" s="197"/>
      <c r="L260" s="220"/>
      <c r="M260" s="197"/>
      <c r="N260" s="197"/>
      <c r="O260" s="197"/>
      <c r="P260" s="197"/>
      <c r="Q260" s="243"/>
      <c r="R260" s="446"/>
    </row>
    <row r="261" spans="1:18" ht="11.25" customHeight="1">
      <c r="A261" s="205"/>
      <c r="B261" s="250"/>
      <c r="C261" s="207"/>
      <c r="D261" s="157" t="s">
        <v>144</v>
      </c>
      <c r="E261" s="197">
        <v>0</v>
      </c>
      <c r="F261" s="197">
        <v>0</v>
      </c>
      <c r="G261" s="208">
        <v>0</v>
      </c>
      <c r="H261" s="197"/>
      <c r="I261" s="197"/>
      <c r="J261" s="197"/>
      <c r="K261" s="197"/>
      <c r="L261" s="220">
        <f>SUM(E261:K261)</f>
        <v>0</v>
      </c>
      <c r="M261" s="197">
        <v>0</v>
      </c>
      <c r="N261" s="197"/>
      <c r="O261" s="197"/>
      <c r="P261" s="197"/>
      <c r="Q261" s="243">
        <f>SUM(L261:P261)</f>
        <v>0</v>
      </c>
      <c r="R261" s="446"/>
    </row>
    <row r="262" spans="1:18" ht="11.25" customHeight="1">
      <c r="A262" s="205"/>
      <c r="B262" s="250"/>
      <c r="C262" s="207"/>
      <c r="D262" s="157" t="s">
        <v>145</v>
      </c>
      <c r="E262" s="197">
        <v>3177050</v>
      </c>
      <c r="F262" s="197">
        <v>1138950</v>
      </c>
      <c r="G262" s="208">
        <v>2524000</v>
      </c>
      <c r="H262" s="197"/>
      <c r="I262" s="197"/>
      <c r="J262" s="197"/>
      <c r="K262" s="197"/>
      <c r="L262" s="220">
        <f>SUM(E262:K262)</f>
        <v>6840000</v>
      </c>
      <c r="M262" s="197">
        <v>4160000</v>
      </c>
      <c r="N262" s="197"/>
      <c r="O262" s="197"/>
      <c r="P262" s="197"/>
      <c r="Q262" s="243">
        <f>SUM(L262:P262)</f>
        <v>11000000</v>
      </c>
      <c r="R262" s="446"/>
    </row>
    <row r="263" spans="1:18" ht="11.25" customHeight="1">
      <c r="A263" s="205"/>
      <c r="B263" s="250"/>
      <c r="C263" s="207"/>
      <c r="D263" s="157" t="s">
        <v>146</v>
      </c>
      <c r="E263" s="197">
        <v>0</v>
      </c>
      <c r="F263" s="197">
        <v>0</v>
      </c>
      <c r="G263" s="208">
        <v>59885</v>
      </c>
      <c r="H263" s="197"/>
      <c r="I263" s="197"/>
      <c r="J263" s="197"/>
      <c r="K263" s="197"/>
      <c r="L263" s="220">
        <f>SUM(E263:K263)</f>
        <v>59885</v>
      </c>
      <c r="M263" s="197">
        <v>2482342</v>
      </c>
      <c r="N263" s="197"/>
      <c r="O263" s="197"/>
      <c r="P263" s="197"/>
      <c r="Q263" s="243">
        <f>SUM(L263:P263)</f>
        <v>2542227</v>
      </c>
      <c r="R263" s="446"/>
    </row>
    <row r="264" spans="1:18" ht="11.25" customHeight="1">
      <c r="A264" s="205"/>
      <c r="B264" s="250" t="s">
        <v>9</v>
      </c>
      <c r="C264" s="207" t="s">
        <v>106</v>
      </c>
      <c r="D264" s="394" t="s">
        <v>198</v>
      </c>
      <c r="E264" s="197"/>
      <c r="F264" s="197"/>
      <c r="G264" s="208"/>
      <c r="H264" s="197"/>
      <c r="I264" s="197"/>
      <c r="J264" s="197"/>
      <c r="K264" s="197"/>
      <c r="L264" s="220"/>
      <c r="M264" s="197"/>
      <c r="N264" s="197"/>
      <c r="O264" s="197"/>
      <c r="P264" s="197"/>
      <c r="Q264" s="243"/>
      <c r="R264" s="446"/>
    </row>
    <row r="265" spans="1:18" ht="11.25" customHeight="1">
      <c r="A265" s="205"/>
      <c r="B265" s="250"/>
      <c r="C265" s="207"/>
      <c r="D265" s="157" t="s">
        <v>144</v>
      </c>
      <c r="E265" s="197"/>
      <c r="F265" s="197"/>
      <c r="G265" s="208">
        <v>62650000</v>
      </c>
      <c r="H265" s="197"/>
      <c r="I265" s="197"/>
      <c r="J265" s="197"/>
      <c r="K265" s="197"/>
      <c r="L265" s="220">
        <f>SUM(E265:K265)</f>
        <v>62650000</v>
      </c>
      <c r="M265" s="197"/>
      <c r="N265" s="197">
        <v>0</v>
      </c>
      <c r="O265" s="197"/>
      <c r="P265" s="197"/>
      <c r="Q265" s="243">
        <f>SUM(L265:P265)</f>
        <v>62650000</v>
      </c>
      <c r="R265" s="446"/>
    </row>
    <row r="266" spans="1:18" ht="11.25" customHeight="1">
      <c r="A266" s="205"/>
      <c r="B266" s="250"/>
      <c r="C266" s="207"/>
      <c r="D266" s="157" t="s">
        <v>145</v>
      </c>
      <c r="E266" s="197"/>
      <c r="F266" s="197"/>
      <c r="G266" s="208">
        <v>10763094</v>
      </c>
      <c r="H266" s="197"/>
      <c r="I266" s="197"/>
      <c r="J266" s="197"/>
      <c r="K266" s="197"/>
      <c r="L266" s="220">
        <f>SUM(E266:K266)</f>
        <v>10763094</v>
      </c>
      <c r="M266" s="197"/>
      <c r="N266" s="197">
        <v>15000000</v>
      </c>
      <c r="O266" s="197"/>
      <c r="P266" s="197"/>
      <c r="Q266" s="243">
        <f>SUM(L266:P266)</f>
        <v>25763094</v>
      </c>
      <c r="R266" s="446"/>
    </row>
    <row r="267" spans="1:18" ht="11.25" customHeight="1">
      <c r="A267" s="205"/>
      <c r="B267" s="250"/>
      <c r="C267" s="207"/>
      <c r="D267" s="157" t="s">
        <v>146</v>
      </c>
      <c r="E267" s="197"/>
      <c r="F267" s="197"/>
      <c r="G267" s="208">
        <f>3708399+9578037-3000000</f>
        <v>10286436</v>
      </c>
      <c r="H267" s="197"/>
      <c r="I267" s="197"/>
      <c r="J267" s="197"/>
      <c r="K267" s="197"/>
      <c r="L267" s="220">
        <f>SUM(E267:K267)</f>
        <v>10286436</v>
      </c>
      <c r="M267" s="197"/>
      <c r="N267" s="197">
        <v>0</v>
      </c>
      <c r="O267" s="197"/>
      <c r="P267" s="197"/>
      <c r="Q267" s="243">
        <f>SUM(L267:P267)</f>
        <v>10286436</v>
      </c>
      <c r="R267" s="446"/>
    </row>
    <row r="268" spans="1:18" ht="11.25" customHeight="1">
      <c r="A268" s="205"/>
      <c r="B268" s="250" t="s">
        <v>10</v>
      </c>
      <c r="C268" s="207" t="s">
        <v>106</v>
      </c>
      <c r="D268" s="1592" t="s">
        <v>199</v>
      </c>
      <c r="E268" s="1594"/>
      <c r="F268" s="236"/>
      <c r="G268" s="208"/>
      <c r="H268" s="236"/>
      <c r="I268" s="236"/>
      <c r="J268" s="236"/>
      <c r="K268" s="236"/>
      <c r="L268" s="284"/>
      <c r="M268" s="236"/>
      <c r="N268" s="236"/>
      <c r="O268" s="236"/>
      <c r="P268" s="236"/>
      <c r="Q268" s="243"/>
      <c r="R268" s="446"/>
    </row>
    <row r="269" spans="1:18" ht="11.25" customHeight="1">
      <c r="A269" s="205"/>
      <c r="B269" s="250"/>
      <c r="C269" s="207"/>
      <c r="D269" s="157" t="s">
        <v>144</v>
      </c>
      <c r="E269" s="197"/>
      <c r="F269" s="197"/>
      <c r="G269" s="208">
        <v>1222000</v>
      </c>
      <c r="H269" s="197"/>
      <c r="I269" s="197"/>
      <c r="J269" s="197"/>
      <c r="K269" s="197"/>
      <c r="L269" s="220">
        <f>SUM(E269:K269)</f>
        <v>1222000</v>
      </c>
      <c r="M269" s="197">
        <v>8778000</v>
      </c>
      <c r="N269" s="197"/>
      <c r="O269" s="197"/>
      <c r="P269" s="197"/>
      <c r="Q269" s="243">
        <f>SUM(L269:P269)</f>
        <v>10000000</v>
      </c>
      <c r="R269" s="446"/>
    </row>
    <row r="270" spans="1:18" ht="11.25" customHeight="1">
      <c r="A270" s="205"/>
      <c r="B270" s="250"/>
      <c r="C270" s="207"/>
      <c r="D270" s="157" t="s">
        <v>145</v>
      </c>
      <c r="E270" s="197"/>
      <c r="F270" s="197"/>
      <c r="G270" s="208">
        <v>1222000</v>
      </c>
      <c r="H270" s="197"/>
      <c r="I270" s="197"/>
      <c r="J270" s="197"/>
      <c r="K270" s="197"/>
      <c r="L270" s="220">
        <f>SUM(E270:K270)</f>
        <v>1222000</v>
      </c>
      <c r="M270" s="197">
        <v>12448300</v>
      </c>
      <c r="N270" s="197"/>
      <c r="O270" s="197"/>
      <c r="P270" s="197"/>
      <c r="Q270" s="243">
        <f>SUM(L270:P270)</f>
        <v>13670300</v>
      </c>
      <c r="R270" s="446"/>
    </row>
    <row r="271" spans="1:18" ht="11.25" customHeight="1">
      <c r="A271" s="205"/>
      <c r="B271" s="250"/>
      <c r="C271" s="207"/>
      <c r="D271" s="157" t="s">
        <v>146</v>
      </c>
      <c r="E271" s="197"/>
      <c r="F271" s="197"/>
      <c r="G271" s="208">
        <v>0</v>
      </c>
      <c r="H271" s="197"/>
      <c r="I271" s="197"/>
      <c r="J271" s="197"/>
      <c r="K271" s="197"/>
      <c r="L271" s="220">
        <f>SUM(E271:K271)</f>
        <v>0</v>
      </c>
      <c r="M271" s="197">
        <v>7124700</v>
      </c>
      <c r="N271" s="197"/>
      <c r="O271" s="197"/>
      <c r="P271" s="197"/>
      <c r="Q271" s="243">
        <f>SUM(L271:P271)</f>
        <v>7124700</v>
      </c>
      <c r="R271" s="446"/>
    </row>
    <row r="272" spans="1:18" ht="11.25" customHeight="1">
      <c r="A272" s="205"/>
      <c r="B272" s="250" t="s">
        <v>11</v>
      </c>
      <c r="C272" s="207" t="s">
        <v>107</v>
      </c>
      <c r="D272" s="1271" t="s">
        <v>749</v>
      </c>
      <c r="E272" s="197"/>
      <c r="F272" s="197"/>
      <c r="G272" s="208"/>
      <c r="H272" s="1006"/>
      <c r="I272" s="197"/>
      <c r="J272" s="197"/>
      <c r="K272" s="197"/>
      <c r="L272" s="220"/>
      <c r="M272" s="197"/>
      <c r="N272" s="197"/>
      <c r="O272" s="197"/>
      <c r="P272" s="197"/>
      <c r="Q272" s="243"/>
      <c r="R272" s="446"/>
    </row>
    <row r="273" spans="1:18" ht="11.25" customHeight="1">
      <c r="A273" s="205"/>
      <c r="B273" s="250"/>
      <c r="C273" s="207"/>
      <c r="D273" s="157" t="s">
        <v>144</v>
      </c>
      <c r="E273" s="197"/>
      <c r="F273" s="197"/>
      <c r="G273" s="208">
        <v>775000</v>
      </c>
      <c r="H273" s="1006"/>
      <c r="I273" s="197"/>
      <c r="J273" s="197"/>
      <c r="K273" s="197"/>
      <c r="L273" s="220">
        <f>SUM(E273:K273)</f>
        <v>775000</v>
      </c>
      <c r="M273" s="197"/>
      <c r="N273" s="197"/>
      <c r="O273" s="197"/>
      <c r="P273" s="197"/>
      <c r="Q273" s="243">
        <f>SUM(L273:P273)</f>
        <v>775000</v>
      </c>
      <c r="R273" s="446"/>
    </row>
    <row r="274" spans="1:18" ht="11.25" customHeight="1">
      <c r="A274" s="205"/>
      <c r="B274" s="250"/>
      <c r="C274" s="207"/>
      <c r="D274" s="157" t="s">
        <v>145</v>
      </c>
      <c r="E274" s="197"/>
      <c r="F274" s="197"/>
      <c r="G274" s="208">
        <v>0</v>
      </c>
      <c r="H274" s="1006"/>
      <c r="I274" s="197"/>
      <c r="J274" s="197"/>
      <c r="K274" s="197"/>
      <c r="L274" s="220">
        <f>SUM(E274:K274)</f>
        <v>0</v>
      </c>
      <c r="M274" s="197"/>
      <c r="N274" s="197"/>
      <c r="O274" s="197"/>
      <c r="P274" s="197"/>
      <c r="Q274" s="243">
        <f>SUM(L274:P274)</f>
        <v>0</v>
      </c>
      <c r="R274" s="446"/>
    </row>
    <row r="275" spans="1:18" ht="11.25" customHeight="1">
      <c r="A275" s="205"/>
      <c r="B275" s="250"/>
      <c r="C275" s="207"/>
      <c r="D275" s="157" t="s">
        <v>146</v>
      </c>
      <c r="E275" s="197"/>
      <c r="F275" s="197"/>
      <c r="G275" s="208">
        <v>0</v>
      </c>
      <c r="H275" s="1006"/>
      <c r="I275" s="197"/>
      <c r="J275" s="197"/>
      <c r="K275" s="197"/>
      <c r="L275" s="220">
        <f>SUM(E275:K275)</f>
        <v>0</v>
      </c>
      <c r="M275" s="197"/>
      <c r="N275" s="197"/>
      <c r="O275" s="197"/>
      <c r="P275" s="197"/>
      <c r="Q275" s="243">
        <f>SUM(L275:P275)</f>
        <v>0</v>
      </c>
      <c r="R275" s="446"/>
    </row>
    <row r="276" spans="1:18" ht="15" customHeight="1">
      <c r="A276" s="205"/>
      <c r="B276" s="250" t="s">
        <v>680</v>
      </c>
      <c r="C276" s="207" t="s">
        <v>106</v>
      </c>
      <c r="D276" s="1146" t="s">
        <v>750</v>
      </c>
      <c r="E276" s="1148"/>
      <c r="F276" s="1148"/>
      <c r="G276" s="1148"/>
      <c r="H276" s="1147"/>
      <c r="I276" s="197"/>
      <c r="J276" s="197"/>
      <c r="K276" s="197"/>
      <c r="L276" s="220"/>
      <c r="M276" s="197"/>
      <c r="N276" s="197"/>
      <c r="O276" s="197"/>
      <c r="P276" s="197"/>
      <c r="Q276" s="243"/>
      <c r="R276" s="446"/>
    </row>
    <row r="277" spans="1:18" ht="11.25" customHeight="1">
      <c r="A277" s="205"/>
      <c r="B277" s="250"/>
      <c r="C277" s="207"/>
      <c r="D277" s="157" t="s">
        <v>144</v>
      </c>
      <c r="E277" s="197">
        <v>116000</v>
      </c>
      <c r="F277" s="197">
        <v>98000</v>
      </c>
      <c r="G277" s="208"/>
      <c r="H277" s="197"/>
      <c r="I277" s="197"/>
      <c r="J277" s="197"/>
      <c r="K277" s="197"/>
      <c r="L277" s="220">
        <f>SUM(E277:K277)</f>
        <v>214000</v>
      </c>
      <c r="M277" s="197"/>
      <c r="N277" s="197"/>
      <c r="O277" s="197"/>
      <c r="P277" s="197"/>
      <c r="Q277" s="243">
        <f>SUM(L277:P277)</f>
        <v>214000</v>
      </c>
      <c r="R277" s="446"/>
    </row>
    <row r="278" spans="1:18" ht="11.25" customHeight="1">
      <c r="A278" s="205"/>
      <c r="B278" s="250"/>
      <c r="C278" s="207"/>
      <c r="D278" s="157" t="s">
        <v>145</v>
      </c>
      <c r="E278" s="197">
        <v>116000</v>
      </c>
      <c r="F278" s="197">
        <v>98000</v>
      </c>
      <c r="G278" s="208"/>
      <c r="H278" s="197"/>
      <c r="I278" s="197"/>
      <c r="J278" s="197"/>
      <c r="K278" s="197"/>
      <c r="L278" s="220">
        <f>SUM(E278:K278)</f>
        <v>214000</v>
      </c>
      <c r="M278" s="197"/>
      <c r="N278" s="197"/>
      <c r="O278" s="197"/>
      <c r="P278" s="197"/>
      <c r="Q278" s="243">
        <f>SUM(L278:P278)</f>
        <v>214000</v>
      </c>
      <c r="R278" s="446"/>
    </row>
    <row r="279" spans="1:18" ht="11.25" customHeight="1">
      <c r="A279" s="205"/>
      <c r="B279" s="250"/>
      <c r="C279" s="207"/>
      <c r="D279" s="157" t="s">
        <v>146</v>
      </c>
      <c r="E279" s="197">
        <v>115200</v>
      </c>
      <c r="F279" s="197">
        <v>97200</v>
      </c>
      <c r="G279" s="208"/>
      <c r="H279" s="197"/>
      <c r="I279" s="197"/>
      <c r="J279" s="197"/>
      <c r="K279" s="197"/>
      <c r="L279" s="220">
        <f>SUM(E279:K279)</f>
        <v>212400</v>
      </c>
      <c r="M279" s="197"/>
      <c r="N279" s="197"/>
      <c r="O279" s="197"/>
      <c r="P279" s="197"/>
      <c r="Q279" s="243">
        <f>SUM(L279:P279)</f>
        <v>212400</v>
      </c>
      <c r="R279" s="446"/>
    </row>
    <row r="280" spans="1:18" ht="11.25" customHeight="1">
      <c r="A280" s="193"/>
      <c r="B280" s="1270" t="s">
        <v>869</v>
      </c>
      <c r="C280" s="195" t="s">
        <v>107</v>
      </c>
      <c r="D280" s="155" t="s">
        <v>938</v>
      </c>
      <c r="E280" s="198"/>
      <c r="F280" s="198"/>
      <c r="G280" s="194"/>
      <c r="H280" s="198"/>
      <c r="I280" s="198"/>
      <c r="J280" s="198"/>
      <c r="K280" s="198"/>
      <c r="L280" s="272"/>
      <c r="M280" s="198"/>
      <c r="N280" s="198"/>
      <c r="O280" s="198"/>
      <c r="P280" s="198"/>
      <c r="Q280" s="200"/>
      <c r="R280" s="357"/>
    </row>
    <row r="281" spans="1:18" ht="11.25" customHeight="1">
      <c r="A281" s="193"/>
      <c r="B281" s="1270"/>
      <c r="C281" s="195"/>
      <c r="D281" s="157" t="s">
        <v>144</v>
      </c>
      <c r="E281" s="198"/>
      <c r="F281" s="198"/>
      <c r="G281" s="194">
        <v>0</v>
      </c>
      <c r="H281" s="198"/>
      <c r="I281" s="198"/>
      <c r="J281" s="198"/>
      <c r="K281" s="198"/>
      <c r="L281" s="272">
        <f>SUM(G281:K281)</f>
        <v>0</v>
      </c>
      <c r="M281" s="198"/>
      <c r="N281" s="198"/>
      <c r="O281" s="198"/>
      <c r="P281" s="198"/>
      <c r="Q281" s="200">
        <f>SUM(L281:P281)</f>
        <v>0</v>
      </c>
      <c r="R281" s="357"/>
    </row>
    <row r="282" spans="1:18" ht="11.25" customHeight="1">
      <c r="A282" s="193"/>
      <c r="B282" s="1270"/>
      <c r="C282" s="195"/>
      <c r="D282" s="157" t="s">
        <v>145</v>
      </c>
      <c r="E282" s="198"/>
      <c r="F282" s="198"/>
      <c r="G282" s="194">
        <v>760000</v>
      </c>
      <c r="H282" s="198"/>
      <c r="I282" s="198"/>
      <c r="J282" s="198"/>
      <c r="K282" s="198"/>
      <c r="L282" s="272">
        <f>SUM(G282:K282)</f>
        <v>760000</v>
      </c>
      <c r="M282" s="198"/>
      <c r="N282" s="198"/>
      <c r="O282" s="198"/>
      <c r="P282" s="198"/>
      <c r="Q282" s="200">
        <f>SUM(L282:P282)</f>
        <v>760000</v>
      </c>
      <c r="R282" s="357"/>
    </row>
    <row r="283" spans="1:18" ht="11.25" customHeight="1" thickBot="1">
      <c r="A283" s="193"/>
      <c r="B283" s="1270"/>
      <c r="C283" s="195"/>
      <c r="D283" s="157" t="s">
        <v>146</v>
      </c>
      <c r="E283" s="198"/>
      <c r="F283" s="198"/>
      <c r="G283" s="194">
        <v>0</v>
      </c>
      <c r="H283" s="198"/>
      <c r="I283" s="198"/>
      <c r="J283" s="198"/>
      <c r="K283" s="198"/>
      <c r="L283" s="272">
        <f>SUM(G283:K283)</f>
        <v>0</v>
      </c>
      <c r="M283" s="198"/>
      <c r="N283" s="198"/>
      <c r="O283" s="198"/>
      <c r="P283" s="198"/>
      <c r="Q283" s="200">
        <f>SUM(L283:P283)</f>
        <v>0</v>
      </c>
      <c r="R283" s="357"/>
    </row>
    <row r="284" spans="1:18" s="16" customFormat="1" ht="11.25" customHeight="1">
      <c r="A284" s="263">
        <v>13</v>
      </c>
      <c r="B284" s="256" t="s">
        <v>3</v>
      </c>
      <c r="C284" s="223" t="s">
        <v>107</v>
      </c>
      <c r="D284" s="344" t="s">
        <v>117</v>
      </c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57"/>
      <c r="R284" s="459"/>
    </row>
    <row r="285" spans="1:18" s="16" customFormat="1" ht="11.25" customHeight="1">
      <c r="A285" s="205"/>
      <c r="B285" s="206"/>
      <c r="C285" s="207"/>
      <c r="D285" s="157" t="s">
        <v>144</v>
      </c>
      <c r="E285" s="220">
        <v>500000</v>
      </c>
      <c r="F285" s="220">
        <v>330000</v>
      </c>
      <c r="G285" s="220">
        <v>2490000</v>
      </c>
      <c r="H285" s="220"/>
      <c r="I285" s="220"/>
      <c r="J285" s="220"/>
      <c r="K285" s="220"/>
      <c r="L285" s="220">
        <f>SUM(E285:K285)</f>
        <v>3320000</v>
      </c>
      <c r="M285" s="220">
        <v>4500000</v>
      </c>
      <c r="N285" s="220"/>
      <c r="O285" s="220"/>
      <c r="P285" s="220"/>
      <c r="Q285" s="243">
        <f>SUM(L285:P285)</f>
        <v>7820000</v>
      </c>
      <c r="R285" s="446"/>
    </row>
    <row r="286" spans="1:18" s="16" customFormat="1" ht="11.25" customHeight="1">
      <c r="A286" s="205"/>
      <c r="B286" s="206"/>
      <c r="C286" s="207"/>
      <c r="D286" s="157" t="s">
        <v>145</v>
      </c>
      <c r="E286" s="220">
        <v>500000</v>
      </c>
      <c r="F286" s="220">
        <v>330000</v>
      </c>
      <c r="G286" s="220">
        <v>10677453</v>
      </c>
      <c r="H286" s="220"/>
      <c r="I286" s="220"/>
      <c r="J286" s="220"/>
      <c r="K286" s="220"/>
      <c r="L286" s="220">
        <f>SUM(E286:K286)</f>
        <v>11507453</v>
      </c>
      <c r="M286" s="220">
        <v>4500000</v>
      </c>
      <c r="N286" s="220"/>
      <c r="O286" s="220"/>
      <c r="P286" s="220"/>
      <c r="Q286" s="243">
        <f>SUM(L286:P286)</f>
        <v>16007453</v>
      </c>
      <c r="R286" s="446"/>
    </row>
    <row r="287" spans="1:18" s="16" customFormat="1" ht="11.25" customHeight="1" thickBot="1">
      <c r="A287" s="193"/>
      <c r="B287" s="199"/>
      <c r="C287" s="195"/>
      <c r="D287" s="155" t="s">
        <v>146</v>
      </c>
      <c r="E287" s="272">
        <v>0</v>
      </c>
      <c r="F287" s="272">
        <v>0</v>
      </c>
      <c r="G287" s="272">
        <f>8997968+70000</f>
        <v>9067968</v>
      </c>
      <c r="H287" s="272"/>
      <c r="I287" s="272"/>
      <c r="J287" s="272"/>
      <c r="K287" s="272"/>
      <c r="L287" s="272">
        <f>SUM(E287:K287)</f>
        <v>9067968</v>
      </c>
      <c r="M287" s="272">
        <v>4445000</v>
      </c>
      <c r="N287" s="272"/>
      <c r="O287" s="272"/>
      <c r="P287" s="272"/>
      <c r="Q287" s="200">
        <f>SUM(L287:P287)</f>
        <v>13512968</v>
      </c>
      <c r="R287" s="357"/>
    </row>
    <row r="288" spans="1:18" s="16" customFormat="1" ht="11.25" customHeight="1">
      <c r="A288" s="263">
        <v>14</v>
      </c>
      <c r="B288" s="256"/>
      <c r="C288" s="273"/>
      <c r="D288" s="257" t="s">
        <v>93</v>
      </c>
      <c r="E288" s="282"/>
      <c r="F288" s="282"/>
      <c r="G288" s="224"/>
      <c r="H288" s="282"/>
      <c r="I288" s="282"/>
      <c r="J288" s="282"/>
      <c r="K288" s="282"/>
      <c r="L288" s="282"/>
      <c r="M288" s="282"/>
      <c r="N288" s="282"/>
      <c r="O288" s="282"/>
      <c r="P288" s="282"/>
      <c r="Q288" s="257"/>
      <c r="R288" s="459"/>
    </row>
    <row r="289" spans="1:18" s="16" customFormat="1" ht="11.25" customHeight="1">
      <c r="A289" s="193"/>
      <c r="B289" s="206"/>
      <c r="C289" s="233"/>
      <c r="D289" s="157" t="s">
        <v>144</v>
      </c>
      <c r="E289" s="220">
        <f>E293+E297+E301+E305</f>
        <v>2207000</v>
      </c>
      <c r="F289" s="220">
        <f aca="true" t="shared" si="60" ref="F289:K289">F293+F297+F301+F305</f>
        <v>537000</v>
      </c>
      <c r="G289" s="220">
        <f t="shared" si="60"/>
        <v>7050000</v>
      </c>
      <c r="H289" s="220">
        <f t="shared" si="60"/>
        <v>0</v>
      </c>
      <c r="I289" s="220">
        <f t="shared" si="60"/>
        <v>100000</v>
      </c>
      <c r="J289" s="220">
        <f t="shared" si="60"/>
        <v>2200000</v>
      </c>
      <c r="K289" s="220">
        <f t="shared" si="60"/>
        <v>0</v>
      </c>
      <c r="L289" s="220">
        <f aca="true" t="shared" si="61" ref="L289:R289">L293+L297+L301+L305</f>
        <v>12094000</v>
      </c>
      <c r="M289" s="220">
        <f>M293+M297+M301+M305</f>
        <v>0</v>
      </c>
      <c r="N289" s="220">
        <f>N293+N297+N301+N305</f>
        <v>0</v>
      </c>
      <c r="O289" s="220">
        <f>O293+O297+O301+O305</f>
        <v>0</v>
      </c>
      <c r="P289" s="220">
        <f>P293+P297+P301+P305</f>
        <v>0</v>
      </c>
      <c r="Q289" s="220">
        <f t="shared" si="61"/>
        <v>12094000</v>
      </c>
      <c r="R289" s="446">
        <f t="shared" si="61"/>
        <v>1</v>
      </c>
    </row>
    <row r="290" spans="1:18" s="16" customFormat="1" ht="11.25" customHeight="1">
      <c r="A290" s="193"/>
      <c r="B290" s="206"/>
      <c r="C290" s="233"/>
      <c r="D290" s="157" t="s">
        <v>145</v>
      </c>
      <c r="E290" s="220">
        <f aca="true" t="shared" si="62" ref="E290:J291">E294+E298+E302+E306</f>
        <v>2347000</v>
      </c>
      <c r="F290" s="220">
        <f t="shared" si="62"/>
        <v>573000</v>
      </c>
      <c r="G290" s="220">
        <f t="shared" si="62"/>
        <v>7150000</v>
      </c>
      <c r="H290" s="220">
        <f t="shared" si="62"/>
        <v>0</v>
      </c>
      <c r="I290" s="220">
        <f t="shared" si="62"/>
        <v>100000</v>
      </c>
      <c r="J290" s="220">
        <f t="shared" si="62"/>
        <v>2200000</v>
      </c>
      <c r="K290" s="220">
        <f aca="true" t="shared" si="63" ref="K290:R291">K294+K298+K302+K306</f>
        <v>0</v>
      </c>
      <c r="L290" s="220">
        <f t="shared" si="63"/>
        <v>12370000</v>
      </c>
      <c r="M290" s="220">
        <f t="shared" si="63"/>
        <v>0</v>
      </c>
      <c r="N290" s="220">
        <f t="shared" si="63"/>
        <v>0</v>
      </c>
      <c r="O290" s="220">
        <f t="shared" si="63"/>
        <v>994273</v>
      </c>
      <c r="P290" s="220">
        <f t="shared" si="63"/>
        <v>0</v>
      </c>
      <c r="Q290" s="220">
        <f t="shared" si="63"/>
        <v>13364273</v>
      </c>
      <c r="R290" s="446">
        <f t="shared" si="63"/>
        <v>1</v>
      </c>
    </row>
    <row r="291" spans="1:18" s="16" customFormat="1" ht="11.25" customHeight="1">
      <c r="A291" s="193"/>
      <c r="B291" s="206"/>
      <c r="C291" s="233"/>
      <c r="D291" s="157" t="s">
        <v>146</v>
      </c>
      <c r="E291" s="220">
        <f t="shared" si="62"/>
        <v>2323010</v>
      </c>
      <c r="F291" s="220">
        <f t="shared" si="62"/>
        <v>567966</v>
      </c>
      <c r="G291" s="220">
        <f>G295+G299+G303+G307</f>
        <v>5550760</v>
      </c>
      <c r="H291" s="220">
        <f t="shared" si="62"/>
        <v>0</v>
      </c>
      <c r="I291" s="220">
        <f t="shared" si="62"/>
        <v>100000</v>
      </c>
      <c r="J291" s="220">
        <f t="shared" si="62"/>
        <v>958617</v>
      </c>
      <c r="K291" s="220">
        <f t="shared" si="63"/>
        <v>0</v>
      </c>
      <c r="L291" s="220">
        <f t="shared" si="63"/>
        <v>9500353</v>
      </c>
      <c r="M291" s="220">
        <f t="shared" si="63"/>
        <v>0</v>
      </c>
      <c r="N291" s="220">
        <f t="shared" si="63"/>
        <v>0</v>
      </c>
      <c r="O291" s="220">
        <f t="shared" si="63"/>
        <v>994273</v>
      </c>
      <c r="P291" s="220">
        <f t="shared" si="63"/>
        <v>0</v>
      </c>
      <c r="Q291" s="220">
        <f t="shared" si="63"/>
        <v>10494626</v>
      </c>
      <c r="R291" s="446">
        <f t="shared" si="63"/>
        <v>1</v>
      </c>
    </row>
    <row r="292" spans="1:18" ht="11.25" customHeight="1">
      <c r="A292" s="205"/>
      <c r="B292" s="274" t="s">
        <v>3</v>
      </c>
      <c r="C292" s="207" t="s">
        <v>107</v>
      </c>
      <c r="D292" s="208" t="s">
        <v>72</v>
      </c>
      <c r="E292" s="197"/>
      <c r="F292" s="197"/>
      <c r="G292" s="208"/>
      <c r="H292" s="197"/>
      <c r="I292" s="197"/>
      <c r="J292" s="197"/>
      <c r="K292" s="197"/>
      <c r="L292" s="220"/>
      <c r="M292" s="197"/>
      <c r="N292" s="197"/>
      <c r="O292" s="197"/>
      <c r="P292" s="197"/>
      <c r="Q292" s="243"/>
      <c r="R292" s="446"/>
    </row>
    <row r="293" spans="1:18" ht="11.25" customHeight="1">
      <c r="A293" s="266"/>
      <c r="B293" s="274"/>
      <c r="C293" s="207"/>
      <c r="D293" s="157" t="s">
        <v>144</v>
      </c>
      <c r="E293" s="197">
        <v>2207000</v>
      </c>
      <c r="F293" s="197">
        <v>537000</v>
      </c>
      <c r="G293" s="208">
        <v>2950000</v>
      </c>
      <c r="H293" s="197"/>
      <c r="I293" s="197"/>
      <c r="J293" s="197"/>
      <c r="K293" s="197"/>
      <c r="L293" s="220">
        <f>SUM(E293:K293)</f>
        <v>5694000</v>
      </c>
      <c r="M293" s="197"/>
      <c r="N293" s="197"/>
      <c r="O293" s="197"/>
      <c r="P293" s="197"/>
      <c r="Q293" s="243">
        <f>SUM(L293:P293)</f>
        <v>5694000</v>
      </c>
      <c r="R293" s="446">
        <v>1</v>
      </c>
    </row>
    <row r="294" spans="1:18" ht="11.25" customHeight="1">
      <c r="A294" s="266"/>
      <c r="B294" s="274"/>
      <c r="C294" s="207"/>
      <c r="D294" s="157" t="s">
        <v>145</v>
      </c>
      <c r="E294" s="197">
        <v>2347000</v>
      </c>
      <c r="F294" s="197">
        <v>573000</v>
      </c>
      <c r="G294" s="208">
        <v>2950000</v>
      </c>
      <c r="H294" s="197"/>
      <c r="I294" s="197"/>
      <c r="J294" s="197"/>
      <c r="K294" s="197"/>
      <c r="L294" s="220">
        <f aca="true" t="shared" si="64" ref="L294:L307">SUM(E294:K294)</f>
        <v>5870000</v>
      </c>
      <c r="M294" s="197"/>
      <c r="N294" s="197"/>
      <c r="O294" s="197"/>
      <c r="P294" s="197"/>
      <c r="Q294" s="243">
        <f aca="true" t="shared" si="65" ref="Q294:Q307">SUM(L294:P294)</f>
        <v>5870000</v>
      </c>
      <c r="R294" s="446">
        <v>1</v>
      </c>
    </row>
    <row r="295" spans="1:18" ht="11.25" customHeight="1">
      <c r="A295" s="266"/>
      <c r="B295" s="274"/>
      <c r="C295" s="207"/>
      <c r="D295" s="157" t="s">
        <v>146</v>
      </c>
      <c r="E295" s="197">
        <v>2323010</v>
      </c>
      <c r="F295" s="197">
        <v>567966</v>
      </c>
      <c r="G295" s="208">
        <v>2220591</v>
      </c>
      <c r="H295" s="197"/>
      <c r="I295" s="197"/>
      <c r="J295" s="197"/>
      <c r="K295" s="197"/>
      <c r="L295" s="220">
        <f>SUM(E295:K295)</f>
        <v>5111567</v>
      </c>
      <c r="M295" s="197"/>
      <c r="N295" s="197"/>
      <c r="O295" s="197"/>
      <c r="P295" s="197"/>
      <c r="Q295" s="243">
        <f t="shared" si="65"/>
        <v>5111567</v>
      </c>
      <c r="R295" s="446">
        <v>1</v>
      </c>
    </row>
    <row r="296" spans="1:18" ht="11.25" customHeight="1">
      <c r="A296" s="266"/>
      <c r="B296" s="274" t="s">
        <v>4</v>
      </c>
      <c r="C296" s="207" t="s">
        <v>106</v>
      </c>
      <c r="D296" s="208" t="s">
        <v>67</v>
      </c>
      <c r="E296" s="197"/>
      <c r="F296" s="197"/>
      <c r="G296" s="208"/>
      <c r="H296" s="197"/>
      <c r="I296" s="197"/>
      <c r="J296" s="197"/>
      <c r="K296" s="197"/>
      <c r="L296" s="220"/>
      <c r="M296" s="197"/>
      <c r="N296" s="197"/>
      <c r="O296" s="197"/>
      <c r="P296" s="197"/>
      <c r="Q296" s="243"/>
      <c r="R296" s="446"/>
    </row>
    <row r="297" spans="1:18" ht="11.25" customHeight="1">
      <c r="A297" s="266"/>
      <c r="B297" s="274"/>
      <c r="C297" s="207"/>
      <c r="D297" s="157" t="s">
        <v>144</v>
      </c>
      <c r="E297" s="197"/>
      <c r="F297" s="197"/>
      <c r="G297" s="208">
        <v>600000</v>
      </c>
      <c r="H297" s="197"/>
      <c r="I297" s="197"/>
      <c r="J297" s="197">
        <v>2200000</v>
      </c>
      <c r="K297" s="197"/>
      <c r="L297" s="220">
        <f t="shared" si="64"/>
        <v>2800000</v>
      </c>
      <c r="M297" s="197"/>
      <c r="N297" s="197"/>
      <c r="O297" s="197">
        <v>0</v>
      </c>
      <c r="P297" s="197"/>
      <c r="Q297" s="243">
        <f t="shared" si="65"/>
        <v>2800000</v>
      </c>
      <c r="R297" s="446"/>
    </row>
    <row r="298" spans="1:18" ht="11.25" customHeight="1">
      <c r="A298" s="266"/>
      <c r="B298" s="274"/>
      <c r="C298" s="207"/>
      <c r="D298" s="157" t="s">
        <v>145</v>
      </c>
      <c r="E298" s="197"/>
      <c r="F298" s="197"/>
      <c r="G298" s="208">
        <v>700000</v>
      </c>
      <c r="H298" s="197"/>
      <c r="I298" s="197"/>
      <c r="J298" s="197">
        <v>2200000</v>
      </c>
      <c r="K298" s="197"/>
      <c r="L298" s="220">
        <f t="shared" si="64"/>
        <v>2900000</v>
      </c>
      <c r="M298" s="197"/>
      <c r="N298" s="197"/>
      <c r="O298" s="197">
        <v>994273</v>
      </c>
      <c r="P298" s="197"/>
      <c r="Q298" s="243">
        <f t="shared" si="65"/>
        <v>3894273</v>
      </c>
      <c r="R298" s="446"/>
    </row>
    <row r="299" spans="1:18" ht="11.25" customHeight="1">
      <c r="A299" s="205"/>
      <c r="B299" s="274"/>
      <c r="C299" s="207"/>
      <c r="D299" s="157" t="s">
        <v>146</v>
      </c>
      <c r="E299" s="197"/>
      <c r="F299" s="197"/>
      <c r="G299" s="208">
        <v>619062</v>
      </c>
      <c r="H299" s="197"/>
      <c r="I299" s="197"/>
      <c r="J299" s="197">
        <v>958617</v>
      </c>
      <c r="K299" s="197"/>
      <c r="L299" s="220">
        <f>SUM(E299:K299)</f>
        <v>1577679</v>
      </c>
      <c r="M299" s="197"/>
      <c r="N299" s="197"/>
      <c r="O299" s="197">
        <v>994273</v>
      </c>
      <c r="P299" s="197"/>
      <c r="Q299" s="243">
        <f t="shared" si="65"/>
        <v>2571952</v>
      </c>
      <c r="R299" s="446"/>
    </row>
    <row r="300" spans="1:18" ht="11.25" customHeight="1">
      <c r="A300" s="205"/>
      <c r="B300" s="274" t="s">
        <v>5</v>
      </c>
      <c r="C300" s="207" t="s">
        <v>107</v>
      </c>
      <c r="D300" s="235" t="s">
        <v>175</v>
      </c>
      <c r="E300" s="197"/>
      <c r="F300" s="197"/>
      <c r="G300" s="208"/>
      <c r="H300" s="197"/>
      <c r="I300" s="197"/>
      <c r="J300" s="197"/>
      <c r="K300" s="197"/>
      <c r="L300" s="220"/>
      <c r="M300" s="197"/>
      <c r="N300" s="197"/>
      <c r="O300" s="197"/>
      <c r="P300" s="197"/>
      <c r="Q300" s="243"/>
      <c r="R300" s="446"/>
    </row>
    <row r="301" spans="1:18" ht="11.25" customHeight="1">
      <c r="A301" s="266"/>
      <c r="B301" s="274"/>
      <c r="C301" s="207"/>
      <c r="D301" s="157" t="s">
        <v>144</v>
      </c>
      <c r="E301" s="197"/>
      <c r="F301" s="197"/>
      <c r="G301" s="208"/>
      <c r="H301" s="197"/>
      <c r="I301" s="197">
        <v>100000</v>
      </c>
      <c r="J301" s="197"/>
      <c r="K301" s="197"/>
      <c r="L301" s="220">
        <f t="shared" si="64"/>
        <v>100000</v>
      </c>
      <c r="M301" s="197"/>
      <c r="N301" s="197"/>
      <c r="O301" s="197"/>
      <c r="P301" s="197"/>
      <c r="Q301" s="243">
        <f t="shared" si="65"/>
        <v>100000</v>
      </c>
      <c r="R301" s="446"/>
    </row>
    <row r="302" spans="1:18" ht="11.25" customHeight="1">
      <c r="A302" s="266"/>
      <c r="B302" s="274"/>
      <c r="C302" s="207"/>
      <c r="D302" s="157" t="s">
        <v>145</v>
      </c>
      <c r="E302" s="197"/>
      <c r="F302" s="197"/>
      <c r="G302" s="208"/>
      <c r="H302" s="197"/>
      <c r="I302" s="197">
        <v>100000</v>
      </c>
      <c r="J302" s="197"/>
      <c r="K302" s="197"/>
      <c r="L302" s="220">
        <f t="shared" si="64"/>
        <v>100000</v>
      </c>
      <c r="M302" s="197"/>
      <c r="N302" s="197"/>
      <c r="O302" s="197"/>
      <c r="P302" s="197"/>
      <c r="Q302" s="243">
        <f t="shared" si="65"/>
        <v>100000</v>
      </c>
      <c r="R302" s="446"/>
    </row>
    <row r="303" spans="1:18" ht="11.25" customHeight="1">
      <c r="A303" s="266"/>
      <c r="B303" s="274"/>
      <c r="C303" s="207"/>
      <c r="D303" s="157" t="s">
        <v>146</v>
      </c>
      <c r="E303" s="197"/>
      <c r="F303" s="197"/>
      <c r="G303" s="208"/>
      <c r="H303" s="197"/>
      <c r="I303" s="197">
        <v>100000</v>
      </c>
      <c r="J303" s="197"/>
      <c r="K303" s="197"/>
      <c r="L303" s="220">
        <f t="shared" si="64"/>
        <v>100000</v>
      </c>
      <c r="M303" s="197"/>
      <c r="N303" s="197"/>
      <c r="O303" s="197"/>
      <c r="P303" s="197"/>
      <c r="Q303" s="243">
        <f t="shared" si="65"/>
        <v>100000</v>
      </c>
      <c r="R303" s="446"/>
    </row>
    <row r="304" spans="1:18" ht="11.25" customHeight="1">
      <c r="A304" s="266"/>
      <c r="B304" s="274" t="s">
        <v>6</v>
      </c>
      <c r="C304" s="207" t="s">
        <v>107</v>
      </c>
      <c r="D304" s="235" t="s">
        <v>174</v>
      </c>
      <c r="E304" s="197"/>
      <c r="F304" s="197"/>
      <c r="G304" s="208"/>
      <c r="H304" s="197"/>
      <c r="I304" s="197"/>
      <c r="J304" s="197"/>
      <c r="K304" s="197"/>
      <c r="L304" s="220"/>
      <c r="M304" s="197"/>
      <c r="N304" s="197"/>
      <c r="O304" s="197"/>
      <c r="P304" s="197"/>
      <c r="Q304" s="243"/>
      <c r="R304" s="446"/>
    </row>
    <row r="305" spans="1:18" ht="11.25" customHeight="1">
      <c r="A305" s="205"/>
      <c r="B305" s="274"/>
      <c r="C305" s="207"/>
      <c r="D305" s="155" t="s">
        <v>144</v>
      </c>
      <c r="E305" s="197"/>
      <c r="F305" s="197"/>
      <c r="G305" s="208">
        <v>3500000</v>
      </c>
      <c r="H305" s="197"/>
      <c r="I305" s="197"/>
      <c r="J305" s="197"/>
      <c r="K305" s="197"/>
      <c r="L305" s="220">
        <f t="shared" si="64"/>
        <v>3500000</v>
      </c>
      <c r="M305" s="197"/>
      <c r="N305" s="197"/>
      <c r="O305" s="197"/>
      <c r="P305" s="197"/>
      <c r="Q305" s="243">
        <f t="shared" si="65"/>
        <v>3500000</v>
      </c>
      <c r="R305" s="446"/>
    </row>
    <row r="306" spans="1:18" ht="11.25" customHeight="1">
      <c r="A306" s="205"/>
      <c r="B306" s="274"/>
      <c r="C306" s="207"/>
      <c r="D306" s="157" t="s">
        <v>145</v>
      </c>
      <c r="E306" s="197"/>
      <c r="F306" s="197"/>
      <c r="G306" s="208">
        <v>3500000</v>
      </c>
      <c r="H306" s="197"/>
      <c r="I306" s="197"/>
      <c r="J306" s="197"/>
      <c r="K306" s="197"/>
      <c r="L306" s="220">
        <f t="shared" si="64"/>
        <v>3500000</v>
      </c>
      <c r="M306" s="197"/>
      <c r="N306" s="197"/>
      <c r="O306" s="197"/>
      <c r="P306" s="197"/>
      <c r="Q306" s="243">
        <f t="shared" si="65"/>
        <v>3500000</v>
      </c>
      <c r="R306" s="446"/>
    </row>
    <row r="307" spans="1:18" ht="11.25" customHeight="1" thickBot="1">
      <c r="A307" s="244"/>
      <c r="B307" s="275"/>
      <c r="C307" s="245"/>
      <c r="D307" s="246" t="s">
        <v>146</v>
      </c>
      <c r="E307" s="247"/>
      <c r="F307" s="247"/>
      <c r="G307" s="276">
        <f>4931698-2220591</f>
        <v>2711107</v>
      </c>
      <c r="H307" s="247"/>
      <c r="I307" s="247"/>
      <c r="J307" s="247"/>
      <c r="K307" s="247"/>
      <c r="L307" s="248">
        <f t="shared" si="64"/>
        <v>2711107</v>
      </c>
      <c r="M307" s="247"/>
      <c r="N307" s="247"/>
      <c r="O307" s="247"/>
      <c r="P307" s="247"/>
      <c r="Q307" s="262">
        <f t="shared" si="65"/>
        <v>2711107</v>
      </c>
      <c r="R307" s="448"/>
    </row>
    <row r="308" spans="1:18" s="16" customFormat="1" ht="11.25" customHeight="1">
      <c r="A308" s="228">
        <v>15</v>
      </c>
      <c r="B308" s="201" t="s">
        <v>53</v>
      </c>
      <c r="C308" s="202"/>
      <c r="D308" s="212" t="s">
        <v>94</v>
      </c>
      <c r="E308" s="285"/>
      <c r="F308" s="285"/>
      <c r="G308" s="222"/>
      <c r="H308" s="285"/>
      <c r="I308" s="285"/>
      <c r="J308" s="285"/>
      <c r="K308" s="285"/>
      <c r="L308" s="285"/>
      <c r="M308" s="285"/>
      <c r="N308" s="285"/>
      <c r="O308" s="285"/>
      <c r="P308" s="285"/>
      <c r="Q308" s="212"/>
      <c r="R308" s="458"/>
    </row>
    <row r="309" spans="1:18" s="16" customFormat="1" ht="11.25" customHeight="1">
      <c r="A309" s="205"/>
      <c r="B309" s="206"/>
      <c r="C309" s="207"/>
      <c r="D309" s="157" t="s">
        <v>144</v>
      </c>
      <c r="E309" s="220">
        <f>E313+E317</f>
        <v>0</v>
      </c>
      <c r="F309" s="220">
        <f aca="true" t="shared" si="66" ref="F309:Q309">F313+F317</f>
        <v>0</v>
      </c>
      <c r="G309" s="220">
        <f t="shared" si="66"/>
        <v>42100000</v>
      </c>
      <c r="H309" s="220">
        <f t="shared" si="66"/>
        <v>0</v>
      </c>
      <c r="I309" s="220">
        <f t="shared" si="66"/>
        <v>0</v>
      </c>
      <c r="J309" s="220"/>
      <c r="K309" s="220">
        <f t="shared" si="66"/>
        <v>0</v>
      </c>
      <c r="L309" s="220">
        <f t="shared" si="66"/>
        <v>42100000</v>
      </c>
      <c r="M309" s="220">
        <f t="shared" si="66"/>
        <v>0</v>
      </c>
      <c r="N309" s="220">
        <f t="shared" si="66"/>
        <v>0</v>
      </c>
      <c r="O309" s="220"/>
      <c r="P309" s="220">
        <f t="shared" si="66"/>
        <v>0</v>
      </c>
      <c r="Q309" s="220">
        <f t="shared" si="66"/>
        <v>42100000</v>
      </c>
      <c r="R309" s="446"/>
    </row>
    <row r="310" spans="1:18" s="16" customFormat="1" ht="11.25" customHeight="1">
      <c r="A310" s="205"/>
      <c r="B310" s="206"/>
      <c r="C310" s="207"/>
      <c r="D310" s="157" t="s">
        <v>145</v>
      </c>
      <c r="E310" s="220">
        <f>E314+E318</f>
        <v>0</v>
      </c>
      <c r="F310" s="220">
        <f aca="true" t="shared" si="67" ref="F310:Q310">F314+F318</f>
        <v>0</v>
      </c>
      <c r="G310" s="220">
        <f t="shared" si="67"/>
        <v>42439496</v>
      </c>
      <c r="H310" s="220">
        <f t="shared" si="67"/>
        <v>0</v>
      </c>
      <c r="I310" s="220">
        <f t="shared" si="67"/>
        <v>0</v>
      </c>
      <c r="J310" s="220"/>
      <c r="K310" s="220">
        <f t="shared" si="67"/>
        <v>0</v>
      </c>
      <c r="L310" s="220">
        <f t="shared" si="67"/>
        <v>42439496</v>
      </c>
      <c r="M310" s="220">
        <f t="shared" si="67"/>
        <v>0</v>
      </c>
      <c r="N310" s="220">
        <f t="shared" si="67"/>
        <v>0</v>
      </c>
      <c r="O310" s="220"/>
      <c r="P310" s="220">
        <f t="shared" si="67"/>
        <v>0</v>
      </c>
      <c r="Q310" s="220">
        <f t="shared" si="67"/>
        <v>42439496</v>
      </c>
      <c r="R310" s="446"/>
    </row>
    <row r="311" spans="1:18" s="16" customFormat="1" ht="11.25" customHeight="1">
      <c r="A311" s="228"/>
      <c r="B311" s="201"/>
      <c r="C311" s="207"/>
      <c r="D311" s="157" t="s">
        <v>146</v>
      </c>
      <c r="E311" s="220">
        <f>E315+E319</f>
        <v>0</v>
      </c>
      <c r="F311" s="220">
        <f aca="true" t="shared" si="68" ref="F311:Q311">F315+F319</f>
        <v>0</v>
      </c>
      <c r="G311" s="220">
        <f t="shared" si="68"/>
        <v>34737403</v>
      </c>
      <c r="H311" s="220">
        <f t="shared" si="68"/>
        <v>0</v>
      </c>
      <c r="I311" s="220">
        <f t="shared" si="68"/>
        <v>0</v>
      </c>
      <c r="J311" s="220"/>
      <c r="K311" s="220">
        <f t="shared" si="68"/>
        <v>0</v>
      </c>
      <c r="L311" s="220">
        <f t="shared" si="68"/>
        <v>34737403</v>
      </c>
      <c r="M311" s="220">
        <f t="shared" si="68"/>
        <v>0</v>
      </c>
      <c r="N311" s="220">
        <f t="shared" si="68"/>
        <v>0</v>
      </c>
      <c r="O311" s="220"/>
      <c r="P311" s="220">
        <f t="shared" si="68"/>
        <v>0</v>
      </c>
      <c r="Q311" s="220">
        <f t="shared" si="68"/>
        <v>34737403</v>
      </c>
      <c r="R311" s="446"/>
    </row>
    <row r="312" spans="1:18" ht="11.25" customHeight="1">
      <c r="A312" s="225"/>
      <c r="B312" s="206" t="s">
        <v>3</v>
      </c>
      <c r="C312" s="207" t="s">
        <v>106</v>
      </c>
      <c r="D312" s="235" t="s">
        <v>51</v>
      </c>
      <c r="E312" s="197"/>
      <c r="F312" s="197"/>
      <c r="G312" s="208"/>
      <c r="H312" s="197"/>
      <c r="I312" s="197"/>
      <c r="J312" s="197"/>
      <c r="K312" s="197"/>
      <c r="L312" s="220"/>
      <c r="M312" s="197"/>
      <c r="N312" s="197"/>
      <c r="O312" s="197"/>
      <c r="P312" s="197"/>
      <c r="Q312" s="243"/>
      <c r="R312" s="446"/>
    </row>
    <row r="313" spans="1:18" ht="11.25" customHeight="1">
      <c r="A313" s="277"/>
      <c r="B313" s="201"/>
      <c r="C313" s="207"/>
      <c r="D313" s="157" t="s">
        <v>144</v>
      </c>
      <c r="E313" s="197"/>
      <c r="F313" s="197"/>
      <c r="G313" s="208">
        <v>38800000</v>
      </c>
      <c r="H313" s="197"/>
      <c r="I313" s="197"/>
      <c r="J313" s="197"/>
      <c r="K313" s="197"/>
      <c r="L313" s="220">
        <f>SUM(E313:K313)</f>
        <v>38800000</v>
      </c>
      <c r="M313" s="197"/>
      <c r="N313" s="197"/>
      <c r="O313" s="197"/>
      <c r="P313" s="197"/>
      <c r="Q313" s="243">
        <f>SUM(L313:P313)</f>
        <v>38800000</v>
      </c>
      <c r="R313" s="446"/>
    </row>
    <row r="314" spans="1:18" ht="11.25" customHeight="1">
      <c r="A314" s="225"/>
      <c r="B314" s="206"/>
      <c r="C314" s="207"/>
      <c r="D314" s="157" t="s">
        <v>145</v>
      </c>
      <c r="E314" s="197"/>
      <c r="F314" s="197"/>
      <c r="G314" s="208">
        <v>38834696</v>
      </c>
      <c r="H314" s="197"/>
      <c r="I314" s="197"/>
      <c r="J314" s="197"/>
      <c r="K314" s="197"/>
      <c r="L314" s="220">
        <f aca="true" t="shared" si="69" ref="L314:L319">SUM(E314:K314)</f>
        <v>38834696</v>
      </c>
      <c r="M314" s="197"/>
      <c r="N314" s="197"/>
      <c r="O314" s="197"/>
      <c r="P314" s="197"/>
      <c r="Q314" s="243">
        <f aca="true" t="shared" si="70" ref="Q314:Q319">SUM(L314:P314)</f>
        <v>38834696</v>
      </c>
      <c r="R314" s="446"/>
    </row>
    <row r="315" spans="1:18" ht="11.25" customHeight="1">
      <c r="A315" s="225"/>
      <c r="B315" s="206"/>
      <c r="C315" s="207"/>
      <c r="D315" s="157" t="s">
        <v>146</v>
      </c>
      <c r="E315" s="197"/>
      <c r="F315" s="197"/>
      <c r="G315" s="208">
        <v>32061167</v>
      </c>
      <c r="H315" s="197"/>
      <c r="I315" s="197"/>
      <c r="J315" s="197"/>
      <c r="K315" s="197"/>
      <c r="L315" s="220">
        <f t="shared" si="69"/>
        <v>32061167</v>
      </c>
      <c r="M315" s="197"/>
      <c r="N315" s="197"/>
      <c r="O315" s="197"/>
      <c r="P315" s="197"/>
      <c r="Q315" s="243">
        <f t="shared" si="70"/>
        <v>32061167</v>
      </c>
      <c r="R315" s="446"/>
    </row>
    <row r="316" spans="1:18" ht="11.25" customHeight="1">
      <c r="A316" s="225"/>
      <c r="B316" s="206" t="s">
        <v>4</v>
      </c>
      <c r="C316" s="207" t="s">
        <v>107</v>
      </c>
      <c r="D316" s="235" t="s">
        <v>100</v>
      </c>
      <c r="E316" s="197"/>
      <c r="F316" s="197"/>
      <c r="G316" s="208"/>
      <c r="H316" s="197"/>
      <c r="I316" s="197"/>
      <c r="J316" s="197"/>
      <c r="K316" s="197"/>
      <c r="L316" s="220"/>
      <c r="M316" s="197"/>
      <c r="N316" s="197"/>
      <c r="O316" s="197"/>
      <c r="P316" s="197"/>
      <c r="Q316" s="243"/>
      <c r="R316" s="446"/>
    </row>
    <row r="317" spans="1:18" ht="11.25" customHeight="1">
      <c r="A317" s="225"/>
      <c r="B317" s="206"/>
      <c r="C317" s="207"/>
      <c r="D317" s="157" t="s">
        <v>144</v>
      </c>
      <c r="E317" s="197"/>
      <c r="F317" s="197"/>
      <c r="G317" s="208">
        <v>3300000</v>
      </c>
      <c r="H317" s="197"/>
      <c r="I317" s="197"/>
      <c r="J317" s="197"/>
      <c r="K317" s="197"/>
      <c r="L317" s="220">
        <f t="shared" si="69"/>
        <v>3300000</v>
      </c>
      <c r="M317" s="197"/>
      <c r="N317" s="197"/>
      <c r="O317" s="197"/>
      <c r="P317" s="197"/>
      <c r="Q317" s="243">
        <f t="shared" si="70"/>
        <v>3300000</v>
      </c>
      <c r="R317" s="446"/>
    </row>
    <row r="318" spans="1:18" ht="11.25" customHeight="1">
      <c r="A318" s="225"/>
      <c r="B318" s="206"/>
      <c r="C318" s="207"/>
      <c r="D318" s="157" t="s">
        <v>145</v>
      </c>
      <c r="E318" s="197"/>
      <c r="F318" s="197"/>
      <c r="G318" s="208">
        <v>3604800</v>
      </c>
      <c r="H318" s="197"/>
      <c r="I318" s="197"/>
      <c r="J318" s="197"/>
      <c r="K318" s="197"/>
      <c r="L318" s="220">
        <f t="shared" si="69"/>
        <v>3604800</v>
      </c>
      <c r="M318" s="197"/>
      <c r="N318" s="197"/>
      <c r="O318" s="197"/>
      <c r="P318" s="197"/>
      <c r="Q318" s="243">
        <f t="shared" si="70"/>
        <v>3604800</v>
      </c>
      <c r="R318" s="446"/>
    </row>
    <row r="319" spans="1:18" ht="11.25" customHeight="1" thickBot="1">
      <c r="A319" s="226"/>
      <c r="B319" s="227"/>
      <c r="C319" s="245"/>
      <c r="D319" s="246" t="s">
        <v>146</v>
      </c>
      <c r="E319" s="247"/>
      <c r="F319" s="247"/>
      <c r="G319" s="276">
        <v>2676236</v>
      </c>
      <c r="H319" s="247"/>
      <c r="I319" s="247"/>
      <c r="J319" s="247"/>
      <c r="K319" s="247"/>
      <c r="L319" s="248">
        <f t="shared" si="69"/>
        <v>2676236</v>
      </c>
      <c r="M319" s="247"/>
      <c r="N319" s="247"/>
      <c r="O319" s="247"/>
      <c r="P319" s="247"/>
      <c r="Q319" s="262">
        <f t="shared" si="70"/>
        <v>2676236</v>
      </c>
      <c r="R319" s="448"/>
    </row>
    <row r="320" spans="1:18" s="16" customFormat="1" ht="11.25" customHeight="1">
      <c r="A320" s="263">
        <v>16</v>
      </c>
      <c r="B320" s="256" t="s">
        <v>53</v>
      </c>
      <c r="C320" s="223"/>
      <c r="D320" s="257" t="s">
        <v>50</v>
      </c>
      <c r="E320" s="282"/>
      <c r="F320" s="282"/>
      <c r="G320" s="224"/>
      <c r="H320" s="282"/>
      <c r="I320" s="282"/>
      <c r="J320" s="282"/>
      <c r="K320" s="282"/>
      <c r="L320" s="282"/>
      <c r="M320" s="282"/>
      <c r="N320" s="282"/>
      <c r="O320" s="282"/>
      <c r="P320" s="282"/>
      <c r="Q320" s="257"/>
      <c r="R320" s="459"/>
    </row>
    <row r="321" spans="1:18" s="16" customFormat="1" ht="11.25" customHeight="1">
      <c r="A321" s="205"/>
      <c r="B321" s="206"/>
      <c r="C321" s="207"/>
      <c r="D321" s="157" t="s">
        <v>144</v>
      </c>
      <c r="E321" s="220">
        <f>E325+E329+E333</f>
        <v>0</v>
      </c>
      <c r="F321" s="220">
        <f aca="true" t="shared" si="71" ref="F321:K321">F325+F329+F333</f>
        <v>0</v>
      </c>
      <c r="G321" s="220">
        <f t="shared" si="71"/>
        <v>10623769</v>
      </c>
      <c r="H321" s="220">
        <f t="shared" si="71"/>
        <v>0</v>
      </c>
      <c r="I321" s="220">
        <f t="shared" si="71"/>
        <v>61256462</v>
      </c>
      <c r="J321" s="220">
        <f t="shared" si="71"/>
        <v>1198000</v>
      </c>
      <c r="K321" s="220">
        <f t="shared" si="71"/>
        <v>0</v>
      </c>
      <c r="L321" s="220">
        <f aca="true" t="shared" si="72" ref="L321:Q321">L325+L329+L333</f>
        <v>73078231</v>
      </c>
      <c r="M321" s="220">
        <f t="shared" si="72"/>
        <v>0</v>
      </c>
      <c r="N321" s="220">
        <f t="shared" si="72"/>
        <v>0</v>
      </c>
      <c r="O321" s="220">
        <f t="shared" si="72"/>
        <v>0</v>
      </c>
      <c r="P321" s="220">
        <f t="shared" si="72"/>
        <v>0</v>
      </c>
      <c r="Q321" s="220">
        <f t="shared" si="72"/>
        <v>73078231</v>
      </c>
      <c r="R321" s="446"/>
    </row>
    <row r="322" spans="1:18" s="16" customFormat="1" ht="11.25" customHeight="1">
      <c r="A322" s="205"/>
      <c r="B322" s="206"/>
      <c r="C322" s="207"/>
      <c r="D322" s="157" t="s">
        <v>145</v>
      </c>
      <c r="E322" s="220">
        <f aca="true" t="shared" si="73" ref="E322:L323">E326+E330+E334</f>
        <v>0</v>
      </c>
      <c r="F322" s="220">
        <f t="shared" si="73"/>
        <v>0</v>
      </c>
      <c r="G322" s="220">
        <f t="shared" si="73"/>
        <v>10623769</v>
      </c>
      <c r="H322" s="220">
        <f t="shared" si="73"/>
        <v>0</v>
      </c>
      <c r="I322" s="220">
        <f t="shared" si="73"/>
        <v>61256462</v>
      </c>
      <c r="J322" s="220">
        <f t="shared" si="73"/>
        <v>1198000</v>
      </c>
      <c r="K322" s="220">
        <f t="shared" si="73"/>
        <v>0</v>
      </c>
      <c r="L322" s="220">
        <f t="shared" si="73"/>
        <v>73078231</v>
      </c>
      <c r="M322" s="220">
        <f aca="true" t="shared" si="74" ref="M322:Q323">M326+M330+M334</f>
        <v>0</v>
      </c>
      <c r="N322" s="220">
        <f t="shared" si="74"/>
        <v>0</v>
      </c>
      <c r="O322" s="220">
        <f t="shared" si="74"/>
        <v>0</v>
      </c>
      <c r="P322" s="220">
        <f t="shared" si="74"/>
        <v>0</v>
      </c>
      <c r="Q322" s="220">
        <f t="shared" si="74"/>
        <v>73078231</v>
      </c>
      <c r="R322" s="446"/>
    </row>
    <row r="323" spans="1:18" s="16" customFormat="1" ht="11.25" customHeight="1">
      <c r="A323" s="205"/>
      <c r="B323" s="206"/>
      <c r="C323" s="207"/>
      <c r="D323" s="157" t="s">
        <v>146</v>
      </c>
      <c r="E323" s="220">
        <f t="shared" si="73"/>
        <v>0</v>
      </c>
      <c r="F323" s="220">
        <f t="shared" si="73"/>
        <v>0</v>
      </c>
      <c r="G323" s="220">
        <f t="shared" si="73"/>
        <v>4795566</v>
      </c>
      <c r="H323" s="220">
        <f t="shared" si="73"/>
        <v>0</v>
      </c>
      <c r="I323" s="220">
        <f t="shared" si="73"/>
        <v>61256462</v>
      </c>
      <c r="J323" s="220">
        <f t="shared" si="73"/>
        <v>0</v>
      </c>
      <c r="K323" s="220">
        <f t="shared" si="73"/>
        <v>0</v>
      </c>
      <c r="L323" s="220">
        <f t="shared" si="73"/>
        <v>66052028</v>
      </c>
      <c r="M323" s="220">
        <f t="shared" si="74"/>
        <v>0</v>
      </c>
      <c r="N323" s="220">
        <f t="shared" si="74"/>
        <v>0</v>
      </c>
      <c r="O323" s="220">
        <f t="shared" si="74"/>
        <v>0</v>
      </c>
      <c r="P323" s="220">
        <f t="shared" si="74"/>
        <v>0</v>
      </c>
      <c r="Q323" s="220">
        <f t="shared" si="74"/>
        <v>66052028</v>
      </c>
      <c r="R323" s="446"/>
    </row>
    <row r="324" spans="1:18" ht="11.25" customHeight="1">
      <c r="A324" s="205"/>
      <c r="B324" s="206">
        <v>1</v>
      </c>
      <c r="C324" s="207" t="s">
        <v>106</v>
      </c>
      <c r="D324" s="235" t="s">
        <v>99</v>
      </c>
      <c r="E324" s="197"/>
      <c r="F324" s="197"/>
      <c r="G324" s="197"/>
      <c r="H324" s="197"/>
      <c r="I324" s="197"/>
      <c r="J324" s="197"/>
      <c r="K324" s="197"/>
      <c r="L324" s="220"/>
      <c r="M324" s="197"/>
      <c r="N324" s="197"/>
      <c r="O324" s="197"/>
      <c r="P324" s="197"/>
      <c r="Q324" s="243"/>
      <c r="R324" s="446"/>
    </row>
    <row r="325" spans="1:18" ht="11.25" customHeight="1">
      <c r="A325" s="205"/>
      <c r="B325" s="206"/>
      <c r="C325" s="207"/>
      <c r="D325" s="157" t="s">
        <v>144</v>
      </c>
      <c r="E325" s="197"/>
      <c r="F325" s="197"/>
      <c r="G325" s="197">
        <v>5700000</v>
      </c>
      <c r="H325" s="197"/>
      <c r="I325" s="197"/>
      <c r="J325" s="197">
        <v>1198000</v>
      </c>
      <c r="K325" s="197"/>
      <c r="L325" s="220">
        <f>SUM(E325:K325)</f>
        <v>6898000</v>
      </c>
      <c r="M325" s="197"/>
      <c r="N325" s="197"/>
      <c r="O325" s="197"/>
      <c r="P325" s="197"/>
      <c r="Q325" s="243">
        <f>SUM(L325:P325)</f>
        <v>6898000</v>
      </c>
      <c r="R325" s="446"/>
    </row>
    <row r="326" spans="1:18" ht="11.25" customHeight="1">
      <c r="A326" s="205"/>
      <c r="B326" s="206"/>
      <c r="C326" s="207"/>
      <c r="D326" s="157" t="s">
        <v>145</v>
      </c>
      <c r="E326" s="197"/>
      <c r="F326" s="197"/>
      <c r="G326" s="197">
        <v>5700000</v>
      </c>
      <c r="H326" s="197"/>
      <c r="I326" s="197"/>
      <c r="J326" s="197">
        <v>1198000</v>
      </c>
      <c r="K326" s="197"/>
      <c r="L326" s="220">
        <f aca="true" t="shared" si="75" ref="L326:L335">SUM(E326:K326)</f>
        <v>6898000</v>
      </c>
      <c r="M326" s="197"/>
      <c r="N326" s="197"/>
      <c r="O326" s="197"/>
      <c r="P326" s="197"/>
      <c r="Q326" s="243">
        <f aca="true" t="shared" si="76" ref="Q326:Q335">SUM(L326:P326)</f>
        <v>6898000</v>
      </c>
      <c r="R326" s="446"/>
    </row>
    <row r="327" spans="1:18" ht="11.25" customHeight="1">
      <c r="A327" s="205"/>
      <c r="B327" s="206"/>
      <c r="C327" s="207"/>
      <c r="D327" s="157" t="s">
        <v>146</v>
      </c>
      <c r="E327" s="197"/>
      <c r="F327" s="197"/>
      <c r="G327" s="197">
        <v>4795566</v>
      </c>
      <c r="H327" s="197"/>
      <c r="I327" s="197"/>
      <c r="J327" s="197"/>
      <c r="K327" s="197"/>
      <c r="L327" s="220">
        <f>SUM(E327:K327)</f>
        <v>4795566</v>
      </c>
      <c r="M327" s="197"/>
      <c r="N327" s="197"/>
      <c r="O327" s="197"/>
      <c r="P327" s="197"/>
      <c r="Q327" s="243">
        <f t="shared" si="76"/>
        <v>4795566</v>
      </c>
      <c r="R327" s="446"/>
    </row>
    <row r="328" spans="1:18" ht="11.25" customHeight="1">
      <c r="A328" s="205"/>
      <c r="B328" s="206">
        <v>2</v>
      </c>
      <c r="C328" s="207" t="s">
        <v>106</v>
      </c>
      <c r="D328" s="235" t="s">
        <v>101</v>
      </c>
      <c r="E328" s="197"/>
      <c r="F328" s="197"/>
      <c r="G328" s="197"/>
      <c r="H328" s="197"/>
      <c r="I328" s="197"/>
      <c r="J328" s="197"/>
      <c r="K328" s="197"/>
      <c r="L328" s="220"/>
      <c r="M328" s="197"/>
      <c r="N328" s="197"/>
      <c r="O328" s="197"/>
      <c r="P328" s="197"/>
      <c r="Q328" s="243"/>
      <c r="R328" s="446"/>
    </row>
    <row r="329" spans="1:18" ht="11.25" customHeight="1">
      <c r="A329" s="205"/>
      <c r="B329" s="206"/>
      <c r="C329" s="207"/>
      <c r="D329" s="157" t="s">
        <v>144</v>
      </c>
      <c r="E329" s="197"/>
      <c r="F329" s="197"/>
      <c r="G329" s="197">
        <v>4923769</v>
      </c>
      <c r="H329" s="197"/>
      <c r="I329" s="197"/>
      <c r="J329" s="197"/>
      <c r="K329" s="197"/>
      <c r="L329" s="220">
        <f t="shared" si="75"/>
        <v>4923769</v>
      </c>
      <c r="M329" s="197"/>
      <c r="N329" s="197"/>
      <c r="O329" s="197"/>
      <c r="P329" s="197"/>
      <c r="Q329" s="243">
        <f t="shared" si="76"/>
        <v>4923769</v>
      </c>
      <c r="R329" s="446"/>
    </row>
    <row r="330" spans="1:18" ht="11.25" customHeight="1">
      <c r="A330" s="205"/>
      <c r="B330" s="206"/>
      <c r="C330" s="207"/>
      <c r="D330" s="157" t="s">
        <v>145</v>
      </c>
      <c r="E330" s="197"/>
      <c r="F330" s="197"/>
      <c r="G330" s="197">
        <v>4923769</v>
      </c>
      <c r="H330" s="197"/>
      <c r="I330" s="197"/>
      <c r="J330" s="197"/>
      <c r="K330" s="197"/>
      <c r="L330" s="220">
        <f t="shared" si="75"/>
        <v>4923769</v>
      </c>
      <c r="M330" s="197"/>
      <c r="N330" s="197"/>
      <c r="O330" s="197"/>
      <c r="P330" s="197"/>
      <c r="Q330" s="243">
        <f t="shared" si="76"/>
        <v>4923769</v>
      </c>
      <c r="R330" s="446"/>
    </row>
    <row r="331" spans="1:18" ht="11.25" customHeight="1">
      <c r="A331" s="205"/>
      <c r="B331" s="206"/>
      <c r="C331" s="207"/>
      <c r="D331" s="157" t="s">
        <v>146</v>
      </c>
      <c r="E331" s="197"/>
      <c r="F331" s="197"/>
      <c r="G331" s="197">
        <v>0</v>
      </c>
      <c r="H331" s="197"/>
      <c r="I331" s="197"/>
      <c r="J331" s="197"/>
      <c r="K331" s="197"/>
      <c r="L331" s="220">
        <f t="shared" si="75"/>
        <v>0</v>
      </c>
      <c r="M331" s="197"/>
      <c r="N331" s="197"/>
      <c r="O331" s="197"/>
      <c r="P331" s="197"/>
      <c r="Q331" s="243">
        <f>SUM(L331:P331)</f>
        <v>0</v>
      </c>
      <c r="R331" s="446"/>
    </row>
    <row r="332" spans="1:18" ht="11.25" customHeight="1">
      <c r="A332" s="205"/>
      <c r="B332" s="206">
        <v>3</v>
      </c>
      <c r="C332" s="207" t="s">
        <v>106</v>
      </c>
      <c r="D332" s="712" t="s">
        <v>678</v>
      </c>
      <c r="E332" s="197"/>
      <c r="F332" s="197"/>
      <c r="G332" s="197"/>
      <c r="H332" s="197"/>
      <c r="I332" s="197"/>
      <c r="J332" s="197"/>
      <c r="K332" s="197"/>
      <c r="L332" s="220"/>
      <c r="M332" s="197"/>
      <c r="N332" s="197"/>
      <c r="O332" s="197"/>
      <c r="P332" s="197"/>
      <c r="Q332" s="243"/>
      <c r="R332" s="446"/>
    </row>
    <row r="333" spans="1:18" ht="11.25" customHeight="1">
      <c r="A333" s="205"/>
      <c r="B333" s="206"/>
      <c r="C333" s="207"/>
      <c r="D333" s="157" t="s">
        <v>144</v>
      </c>
      <c r="E333" s="197"/>
      <c r="F333" s="197"/>
      <c r="G333" s="197"/>
      <c r="H333" s="197"/>
      <c r="I333" s="197">
        <v>61256462</v>
      </c>
      <c r="J333" s="197"/>
      <c r="K333" s="197"/>
      <c r="L333" s="220">
        <f t="shared" si="75"/>
        <v>61256462</v>
      </c>
      <c r="M333" s="197"/>
      <c r="N333" s="197"/>
      <c r="O333" s="197"/>
      <c r="P333" s="197"/>
      <c r="Q333" s="243">
        <f t="shared" si="76"/>
        <v>61256462</v>
      </c>
      <c r="R333" s="446"/>
    </row>
    <row r="334" spans="1:18" ht="11.25" customHeight="1">
      <c r="A334" s="205"/>
      <c r="B334" s="206"/>
      <c r="C334" s="207"/>
      <c r="D334" s="157" t="s">
        <v>145</v>
      </c>
      <c r="E334" s="197"/>
      <c r="F334" s="197"/>
      <c r="G334" s="197"/>
      <c r="H334" s="197"/>
      <c r="I334" s="197">
        <v>61256462</v>
      </c>
      <c r="J334" s="197"/>
      <c r="K334" s="197"/>
      <c r="L334" s="220">
        <f t="shared" si="75"/>
        <v>61256462</v>
      </c>
      <c r="M334" s="197"/>
      <c r="N334" s="197"/>
      <c r="O334" s="197"/>
      <c r="P334" s="197"/>
      <c r="Q334" s="243">
        <f t="shared" si="76"/>
        <v>61256462</v>
      </c>
      <c r="R334" s="446"/>
    </row>
    <row r="335" spans="1:18" ht="11.25" customHeight="1" thickBot="1">
      <c r="A335" s="266"/>
      <c r="B335" s="209"/>
      <c r="C335" s="268"/>
      <c r="D335" s="136" t="s">
        <v>146</v>
      </c>
      <c r="E335" s="211"/>
      <c r="F335" s="211"/>
      <c r="G335" s="211"/>
      <c r="H335" s="211"/>
      <c r="I335" s="211">
        <f>37995456+7348254+15912752</f>
        <v>61256462</v>
      </c>
      <c r="J335" s="211"/>
      <c r="K335" s="211"/>
      <c r="L335" s="270">
        <f t="shared" si="75"/>
        <v>61256462</v>
      </c>
      <c r="M335" s="211"/>
      <c r="N335" s="211"/>
      <c r="O335" s="211"/>
      <c r="P335" s="211"/>
      <c r="Q335" s="271">
        <f t="shared" si="76"/>
        <v>61256462</v>
      </c>
      <c r="R335" s="474"/>
    </row>
    <row r="336" spans="1:18" s="16" customFormat="1" ht="11.25" customHeight="1">
      <c r="A336" s="263">
        <v>17</v>
      </c>
      <c r="B336" s="256" t="s">
        <v>3</v>
      </c>
      <c r="C336" s="283" t="s">
        <v>106</v>
      </c>
      <c r="D336" s="257" t="s">
        <v>73</v>
      </c>
      <c r="E336" s="224"/>
      <c r="F336" s="224"/>
      <c r="G336" s="257"/>
      <c r="H336" s="224"/>
      <c r="I336" s="224"/>
      <c r="J336" s="224"/>
      <c r="K336" s="224"/>
      <c r="L336" s="224"/>
      <c r="M336" s="224"/>
      <c r="N336" s="224"/>
      <c r="O336" s="224"/>
      <c r="P336" s="224"/>
      <c r="Q336" s="257"/>
      <c r="R336" s="459"/>
    </row>
    <row r="337" spans="1:18" s="16" customFormat="1" ht="11.25" customHeight="1">
      <c r="A337" s="205"/>
      <c r="B337" s="206"/>
      <c r="C337" s="258"/>
      <c r="D337" s="157" t="s">
        <v>144</v>
      </c>
      <c r="E337" s="220"/>
      <c r="F337" s="220"/>
      <c r="G337" s="243">
        <v>3000000</v>
      </c>
      <c r="H337" s="220"/>
      <c r="I337" s="220"/>
      <c r="J337" s="220">
        <v>2000000</v>
      </c>
      <c r="K337" s="220"/>
      <c r="L337" s="220">
        <f>SUM(E337:K337)</f>
        <v>5000000</v>
      </c>
      <c r="M337" s="220"/>
      <c r="N337" s="220"/>
      <c r="O337" s="220"/>
      <c r="P337" s="220"/>
      <c r="Q337" s="243">
        <f>SUM(L337:P337)</f>
        <v>5000000</v>
      </c>
      <c r="R337" s="446"/>
    </row>
    <row r="338" spans="1:18" s="16" customFormat="1" ht="11.25" customHeight="1">
      <c r="A338" s="205"/>
      <c r="B338" s="206"/>
      <c r="C338" s="258"/>
      <c r="D338" s="157" t="s">
        <v>145</v>
      </c>
      <c r="E338" s="220"/>
      <c r="F338" s="220"/>
      <c r="G338" s="243">
        <v>3000000</v>
      </c>
      <c r="H338" s="220"/>
      <c r="I338" s="220"/>
      <c r="J338" s="220">
        <v>2000000</v>
      </c>
      <c r="K338" s="220"/>
      <c r="L338" s="220">
        <f>SUM(E338:K338)</f>
        <v>5000000</v>
      </c>
      <c r="M338" s="220"/>
      <c r="N338" s="220"/>
      <c r="O338" s="220"/>
      <c r="P338" s="220"/>
      <c r="Q338" s="243">
        <f>SUM(L338:P338)</f>
        <v>5000000</v>
      </c>
      <c r="R338" s="446"/>
    </row>
    <row r="339" spans="1:18" s="16" customFormat="1" ht="11.25" customHeight="1" thickBot="1">
      <c r="A339" s="244"/>
      <c r="B339" s="227"/>
      <c r="C339" s="261"/>
      <c r="D339" s="246" t="s">
        <v>146</v>
      </c>
      <c r="E339" s="248"/>
      <c r="F339" s="248"/>
      <c r="G339" s="262">
        <v>360793</v>
      </c>
      <c r="H339" s="248"/>
      <c r="I339" s="248"/>
      <c r="J339" s="248">
        <v>1769348</v>
      </c>
      <c r="K339" s="248"/>
      <c r="L339" s="248">
        <f>SUM(G339:J339)</f>
        <v>2130141</v>
      </c>
      <c r="M339" s="248"/>
      <c r="N339" s="248"/>
      <c r="O339" s="248"/>
      <c r="P339" s="248"/>
      <c r="Q339" s="262">
        <f>SUM(L339:P339)</f>
        <v>2130141</v>
      </c>
      <c r="R339" s="448"/>
    </row>
    <row r="340" spans="1:18" s="16" customFormat="1" ht="12.75" customHeight="1">
      <c r="A340" s="263">
        <v>18</v>
      </c>
      <c r="B340" s="256" t="s">
        <v>3</v>
      </c>
      <c r="C340" s="223" t="s">
        <v>107</v>
      </c>
      <c r="D340" s="257" t="s">
        <v>74</v>
      </c>
      <c r="E340" s="224"/>
      <c r="F340" s="224"/>
      <c r="G340" s="257"/>
      <c r="H340" s="224"/>
      <c r="I340" s="224"/>
      <c r="J340" s="224"/>
      <c r="K340" s="224"/>
      <c r="L340" s="224"/>
      <c r="M340" s="224"/>
      <c r="N340" s="224"/>
      <c r="O340" s="224"/>
      <c r="P340" s="224"/>
      <c r="Q340" s="257"/>
      <c r="R340" s="459"/>
    </row>
    <row r="341" spans="1:18" s="16" customFormat="1" ht="12.75" customHeight="1">
      <c r="A341" s="205"/>
      <c r="B341" s="206"/>
      <c r="C341" s="207"/>
      <c r="D341" s="157" t="s">
        <v>144</v>
      </c>
      <c r="E341" s="220">
        <v>500000</v>
      </c>
      <c r="F341" s="220">
        <v>330000</v>
      </c>
      <c r="G341" s="243">
        <v>745000</v>
      </c>
      <c r="H341" s="220"/>
      <c r="I341" s="220"/>
      <c r="J341" s="220"/>
      <c r="K341" s="220"/>
      <c r="L341" s="220">
        <f>SUM(E341:K341)</f>
        <v>1575000</v>
      </c>
      <c r="M341" s="220"/>
      <c r="N341" s="220"/>
      <c r="O341" s="220"/>
      <c r="P341" s="220"/>
      <c r="Q341" s="243">
        <f>SUM(L341:P341)</f>
        <v>1575000</v>
      </c>
      <c r="R341" s="446"/>
    </row>
    <row r="342" spans="1:18" s="16" customFormat="1" ht="12.75" customHeight="1">
      <c r="A342" s="205"/>
      <c r="B342" s="206"/>
      <c r="C342" s="207"/>
      <c r="D342" s="157" t="s">
        <v>145</v>
      </c>
      <c r="E342" s="220">
        <v>2733723</v>
      </c>
      <c r="F342" s="220">
        <v>1376277</v>
      </c>
      <c r="G342" s="243">
        <v>2065000</v>
      </c>
      <c r="H342" s="220"/>
      <c r="I342" s="220"/>
      <c r="J342" s="220"/>
      <c r="K342" s="220"/>
      <c r="L342" s="220">
        <f>SUM(E342:K342)</f>
        <v>6175000</v>
      </c>
      <c r="M342" s="220"/>
      <c r="N342" s="220"/>
      <c r="O342" s="220"/>
      <c r="P342" s="220"/>
      <c r="Q342" s="243">
        <f>SUM(L342:P342)</f>
        <v>6175000</v>
      </c>
      <c r="R342" s="446"/>
    </row>
    <row r="343" spans="1:18" s="16" customFormat="1" ht="12.75" customHeight="1" thickBot="1">
      <c r="A343" s="244"/>
      <c r="B343" s="227"/>
      <c r="C343" s="245"/>
      <c r="D343" s="246" t="s">
        <v>146</v>
      </c>
      <c r="E343" s="248">
        <f>233722+1350112</f>
        <v>1583834</v>
      </c>
      <c r="F343" s="248">
        <f>46277+745590</f>
        <v>791867</v>
      </c>
      <c r="G343" s="262">
        <f>556596+1214643</f>
        <v>1771239</v>
      </c>
      <c r="H343" s="248"/>
      <c r="I343" s="248"/>
      <c r="J343" s="248"/>
      <c r="K343" s="248"/>
      <c r="L343" s="248">
        <f>SUM(E343:K343)</f>
        <v>4146940</v>
      </c>
      <c r="M343" s="248"/>
      <c r="N343" s="248"/>
      <c r="O343" s="248"/>
      <c r="P343" s="248"/>
      <c r="Q343" s="262">
        <f>SUM(L343:P343)</f>
        <v>4146940</v>
      </c>
      <c r="R343" s="448"/>
    </row>
    <row r="344" spans="1:18" s="16" customFormat="1" ht="12.75" customHeight="1">
      <c r="A344" s="263">
        <v>19</v>
      </c>
      <c r="B344" s="256" t="s">
        <v>3</v>
      </c>
      <c r="C344" s="223" t="s">
        <v>107</v>
      </c>
      <c r="D344" s="257" t="s">
        <v>75</v>
      </c>
      <c r="E344" s="224"/>
      <c r="F344" s="224"/>
      <c r="G344" s="257"/>
      <c r="H344" s="224"/>
      <c r="I344" s="224"/>
      <c r="J344" s="224"/>
      <c r="K344" s="224"/>
      <c r="L344" s="224"/>
      <c r="M344" s="224"/>
      <c r="N344" s="224"/>
      <c r="O344" s="224"/>
      <c r="P344" s="224"/>
      <c r="Q344" s="257"/>
      <c r="R344" s="459"/>
    </row>
    <row r="345" spans="1:18" s="16" customFormat="1" ht="12.75" customHeight="1">
      <c r="A345" s="205"/>
      <c r="B345" s="206"/>
      <c r="C345" s="207"/>
      <c r="D345" s="157" t="s">
        <v>144</v>
      </c>
      <c r="E345" s="220">
        <v>2084000</v>
      </c>
      <c r="F345" s="220">
        <v>478000</v>
      </c>
      <c r="G345" s="243">
        <v>480000</v>
      </c>
      <c r="H345" s="220"/>
      <c r="I345" s="220"/>
      <c r="J345" s="220"/>
      <c r="K345" s="220"/>
      <c r="L345" s="220">
        <f>SUM(E345:K345)</f>
        <v>3042000</v>
      </c>
      <c r="M345" s="220"/>
      <c r="N345" s="220"/>
      <c r="O345" s="220"/>
      <c r="P345" s="220"/>
      <c r="Q345" s="243">
        <f>SUM(L345:P345)</f>
        <v>3042000</v>
      </c>
      <c r="R345" s="446">
        <v>1</v>
      </c>
    </row>
    <row r="346" spans="1:18" s="16" customFormat="1" ht="12.75" customHeight="1">
      <c r="A346" s="205"/>
      <c r="B346" s="206"/>
      <c r="C346" s="207"/>
      <c r="D346" s="157" t="s">
        <v>145</v>
      </c>
      <c r="E346" s="220">
        <v>2084000</v>
      </c>
      <c r="F346" s="220">
        <v>478000</v>
      </c>
      <c r="G346" s="243">
        <v>480000</v>
      </c>
      <c r="H346" s="220"/>
      <c r="I346" s="220"/>
      <c r="J346" s="220"/>
      <c r="K346" s="220"/>
      <c r="L346" s="220">
        <f>SUM(E346:G346)</f>
        <v>3042000</v>
      </c>
      <c r="M346" s="220"/>
      <c r="N346" s="220"/>
      <c r="O346" s="220"/>
      <c r="P346" s="220"/>
      <c r="Q346" s="243">
        <f>SUM(L346:P346)</f>
        <v>3042000</v>
      </c>
      <c r="R346" s="446">
        <v>1</v>
      </c>
    </row>
    <row r="347" spans="1:18" s="16" customFormat="1" ht="12.75" customHeight="1" thickBot="1">
      <c r="A347" s="244"/>
      <c r="B347" s="227"/>
      <c r="C347" s="245"/>
      <c r="D347" s="246" t="s">
        <v>146</v>
      </c>
      <c r="E347" s="248">
        <v>0</v>
      </c>
      <c r="F347" s="248">
        <v>0</v>
      </c>
      <c r="G347" s="262">
        <v>0</v>
      </c>
      <c r="H347" s="248"/>
      <c r="I347" s="248"/>
      <c r="J347" s="248"/>
      <c r="K347" s="248"/>
      <c r="L347" s="248">
        <f>SUM(E347:K347)</f>
        <v>0</v>
      </c>
      <c r="M347" s="248"/>
      <c r="N347" s="248"/>
      <c r="O347" s="248"/>
      <c r="P347" s="248"/>
      <c r="Q347" s="262">
        <f>SUM(L347:P347)</f>
        <v>0</v>
      </c>
      <c r="R347" s="448">
        <v>0</v>
      </c>
    </row>
    <row r="348" spans="1:18" s="16" customFormat="1" ht="12.75" customHeight="1">
      <c r="A348" s="193">
        <v>20</v>
      </c>
      <c r="B348" s="199"/>
      <c r="C348" s="195"/>
      <c r="D348" s="200" t="s">
        <v>76</v>
      </c>
      <c r="E348" s="351"/>
      <c r="F348" s="351"/>
      <c r="G348" s="272"/>
      <c r="H348" s="351"/>
      <c r="I348" s="351"/>
      <c r="J348" s="351"/>
      <c r="K348" s="351"/>
      <c r="L348" s="351"/>
      <c r="M348" s="351"/>
      <c r="N348" s="351"/>
      <c r="O348" s="351"/>
      <c r="P348" s="351"/>
      <c r="Q348" s="200"/>
      <c r="R348" s="357"/>
    </row>
    <row r="349" spans="1:18" s="16" customFormat="1" ht="12.75" customHeight="1">
      <c r="A349" s="193"/>
      <c r="B349" s="199"/>
      <c r="C349" s="195"/>
      <c r="D349" s="157" t="s">
        <v>144</v>
      </c>
      <c r="E349" s="272">
        <f>E353+E357+E365+E361+E369+E373</f>
        <v>100000</v>
      </c>
      <c r="F349" s="272">
        <f aca="true" t="shared" si="77" ref="F349:K349">F353+F357+F365+F361+F369+F373</f>
        <v>66000</v>
      </c>
      <c r="G349" s="272">
        <f t="shared" si="77"/>
        <v>5354000</v>
      </c>
      <c r="H349" s="272">
        <f t="shared" si="77"/>
        <v>0</v>
      </c>
      <c r="I349" s="272">
        <f t="shared" si="77"/>
        <v>750000</v>
      </c>
      <c r="J349" s="272">
        <f t="shared" si="77"/>
        <v>500000</v>
      </c>
      <c r="K349" s="272">
        <f t="shared" si="77"/>
        <v>0</v>
      </c>
      <c r="L349" s="272">
        <f>SUM(E349:K349)</f>
        <v>6770000</v>
      </c>
      <c r="M349" s="272">
        <f aca="true" t="shared" si="78" ref="M349:P351">M353+M357+M365+M361+M369+M373</f>
        <v>15000000</v>
      </c>
      <c r="N349" s="272">
        <f t="shared" si="78"/>
        <v>0</v>
      </c>
      <c r="O349" s="272">
        <f t="shared" si="78"/>
        <v>0</v>
      </c>
      <c r="P349" s="272">
        <f t="shared" si="78"/>
        <v>0</v>
      </c>
      <c r="Q349" s="272">
        <f>SUM(L349:P349)</f>
        <v>21770000</v>
      </c>
      <c r="R349" s="357"/>
    </row>
    <row r="350" spans="1:18" s="16" customFormat="1" ht="12.75" customHeight="1">
      <c r="A350" s="193"/>
      <c r="B350" s="199"/>
      <c r="C350" s="195"/>
      <c r="D350" s="157" t="s">
        <v>145</v>
      </c>
      <c r="E350" s="272">
        <f>E354+E358+E366+E362+E370+E374</f>
        <v>100000</v>
      </c>
      <c r="F350" s="272">
        <f aca="true" t="shared" si="79" ref="F350:K350">F354+F358+F366+F362+F370+F374</f>
        <v>66000</v>
      </c>
      <c r="G350" s="272">
        <f t="shared" si="79"/>
        <v>5380155</v>
      </c>
      <c r="H350" s="272">
        <f t="shared" si="79"/>
        <v>0</v>
      </c>
      <c r="I350" s="272">
        <f t="shared" si="79"/>
        <v>1250000</v>
      </c>
      <c r="J350" s="272">
        <f t="shared" si="79"/>
        <v>500000</v>
      </c>
      <c r="K350" s="272">
        <f t="shared" si="79"/>
        <v>0</v>
      </c>
      <c r="L350" s="272">
        <f>SUM(E350:K350)</f>
        <v>7296155</v>
      </c>
      <c r="M350" s="272">
        <f t="shared" si="78"/>
        <v>15000000</v>
      </c>
      <c r="N350" s="272">
        <f t="shared" si="78"/>
        <v>0</v>
      </c>
      <c r="O350" s="272">
        <f t="shared" si="78"/>
        <v>0</v>
      </c>
      <c r="P350" s="272">
        <f t="shared" si="78"/>
        <v>0</v>
      </c>
      <c r="Q350" s="272">
        <f>SUM(L350:P350)</f>
        <v>22296155</v>
      </c>
      <c r="R350" s="357"/>
    </row>
    <row r="351" spans="1:18" s="16" customFormat="1" ht="12.75" customHeight="1">
      <c r="A351" s="193"/>
      <c r="B351" s="199"/>
      <c r="C351" s="195"/>
      <c r="D351" s="157" t="s">
        <v>146</v>
      </c>
      <c r="E351" s="272">
        <f>E355+E359+E367+E363+E371+E375</f>
        <v>87108</v>
      </c>
      <c r="F351" s="272">
        <f aca="true" t="shared" si="80" ref="F351:K351">F355+F359+F367+F363+F371+F375</f>
        <v>48300</v>
      </c>
      <c r="G351" s="272">
        <f t="shared" si="80"/>
        <v>753089</v>
      </c>
      <c r="H351" s="272">
        <f t="shared" si="80"/>
        <v>0</v>
      </c>
      <c r="I351" s="272">
        <f t="shared" si="80"/>
        <v>713000</v>
      </c>
      <c r="J351" s="272">
        <f t="shared" si="80"/>
        <v>500000</v>
      </c>
      <c r="K351" s="272">
        <f t="shared" si="80"/>
        <v>0</v>
      </c>
      <c r="L351" s="272">
        <f>SUM(E351:K351)</f>
        <v>2101497</v>
      </c>
      <c r="M351" s="272">
        <f t="shared" si="78"/>
        <v>0</v>
      </c>
      <c r="N351" s="272">
        <f t="shared" si="78"/>
        <v>0</v>
      </c>
      <c r="O351" s="272">
        <f t="shared" si="78"/>
        <v>0</v>
      </c>
      <c r="P351" s="272">
        <f t="shared" si="78"/>
        <v>0</v>
      </c>
      <c r="Q351" s="272">
        <f>SUM(L351:P351)</f>
        <v>2101497</v>
      </c>
      <c r="R351" s="357"/>
    </row>
    <row r="352" spans="1:18" ht="11.25" customHeight="1">
      <c r="A352" s="205"/>
      <c r="B352" s="274" t="s">
        <v>3</v>
      </c>
      <c r="C352" s="207" t="s">
        <v>107</v>
      </c>
      <c r="D352" s="208" t="s">
        <v>136</v>
      </c>
      <c r="E352" s="197"/>
      <c r="F352" s="197"/>
      <c r="G352" s="208"/>
      <c r="H352" s="197"/>
      <c r="I352" s="197"/>
      <c r="J352" s="197"/>
      <c r="K352" s="197"/>
      <c r="L352" s="220"/>
      <c r="M352" s="197"/>
      <c r="N352" s="197"/>
      <c r="O352" s="197"/>
      <c r="P352" s="197"/>
      <c r="Q352" s="243"/>
      <c r="R352" s="446"/>
    </row>
    <row r="353" spans="1:18" ht="11.25" customHeight="1">
      <c r="A353" s="205"/>
      <c r="B353" s="274"/>
      <c r="C353" s="195"/>
      <c r="D353" s="157" t="s">
        <v>144</v>
      </c>
      <c r="E353" s="197"/>
      <c r="F353" s="197"/>
      <c r="G353" s="208">
        <v>4400000</v>
      </c>
      <c r="H353" s="197"/>
      <c r="I353" s="197"/>
      <c r="J353" s="197"/>
      <c r="K353" s="197"/>
      <c r="L353" s="220">
        <f>SUM(E353:K353)</f>
        <v>4400000</v>
      </c>
      <c r="M353" s="197">
        <v>15000000</v>
      </c>
      <c r="N353" s="197"/>
      <c r="O353" s="197"/>
      <c r="P353" s="197"/>
      <c r="Q353" s="243">
        <f>SUM(L353:P353)</f>
        <v>19400000</v>
      </c>
      <c r="R353" s="446"/>
    </row>
    <row r="354" spans="1:18" ht="11.25" customHeight="1">
      <c r="A354" s="205"/>
      <c r="B354" s="274"/>
      <c r="C354" s="195"/>
      <c r="D354" s="157" t="s">
        <v>145</v>
      </c>
      <c r="E354" s="197"/>
      <c r="F354" s="197"/>
      <c r="G354" s="208">
        <v>4401514</v>
      </c>
      <c r="H354" s="197"/>
      <c r="I354" s="197"/>
      <c r="J354" s="197"/>
      <c r="K354" s="197"/>
      <c r="L354" s="220">
        <f>SUM(E354:K354)</f>
        <v>4401514</v>
      </c>
      <c r="M354" s="197">
        <v>15000000</v>
      </c>
      <c r="N354" s="197"/>
      <c r="O354" s="197"/>
      <c r="P354" s="197"/>
      <c r="Q354" s="243">
        <f>SUM(L354:P354)</f>
        <v>19401514</v>
      </c>
      <c r="R354" s="446"/>
    </row>
    <row r="355" spans="1:18" ht="11.25" customHeight="1">
      <c r="A355" s="205"/>
      <c r="B355" s="274"/>
      <c r="C355" s="195"/>
      <c r="D355" s="157" t="s">
        <v>146</v>
      </c>
      <c r="E355" s="197"/>
      <c r="F355" s="197"/>
      <c r="G355" s="208">
        <f>727270-20000</f>
        <v>707270</v>
      </c>
      <c r="H355" s="197"/>
      <c r="I355" s="197"/>
      <c r="J355" s="197"/>
      <c r="K355" s="197"/>
      <c r="L355" s="220">
        <f>SUM(E355:K355)</f>
        <v>707270</v>
      </c>
      <c r="M355" s="197">
        <v>0</v>
      </c>
      <c r="N355" s="197"/>
      <c r="O355" s="197"/>
      <c r="P355" s="197"/>
      <c r="Q355" s="243">
        <f>SUM(L355:P355)</f>
        <v>707270</v>
      </c>
      <c r="R355" s="446"/>
    </row>
    <row r="356" spans="1:18" ht="11.25" customHeight="1">
      <c r="A356" s="205"/>
      <c r="B356" s="206" t="s">
        <v>4</v>
      </c>
      <c r="C356" s="195" t="s">
        <v>107</v>
      </c>
      <c r="D356" s="196" t="s">
        <v>77</v>
      </c>
      <c r="E356" s="197"/>
      <c r="F356" s="197"/>
      <c r="G356" s="208"/>
      <c r="H356" s="197"/>
      <c r="I356" s="197"/>
      <c r="J356" s="197"/>
      <c r="K356" s="197"/>
      <c r="L356" s="220"/>
      <c r="M356" s="197"/>
      <c r="N356" s="197"/>
      <c r="O356" s="197"/>
      <c r="P356" s="197"/>
      <c r="Q356" s="243"/>
      <c r="R356" s="446"/>
    </row>
    <row r="357" spans="1:18" ht="11.25" customHeight="1">
      <c r="A357" s="205"/>
      <c r="B357" s="206"/>
      <c r="C357" s="195"/>
      <c r="D357" s="157" t="s">
        <v>144</v>
      </c>
      <c r="E357" s="197"/>
      <c r="F357" s="197"/>
      <c r="G357" s="208">
        <v>160000</v>
      </c>
      <c r="H357" s="197"/>
      <c r="I357" s="197">
        <v>500000</v>
      </c>
      <c r="J357" s="197"/>
      <c r="K357" s="197"/>
      <c r="L357" s="220">
        <f>SUM(E357:K357)</f>
        <v>660000</v>
      </c>
      <c r="M357" s="197"/>
      <c r="N357" s="197"/>
      <c r="O357" s="197"/>
      <c r="P357" s="197"/>
      <c r="Q357" s="243">
        <f>SUM(L357:P357)</f>
        <v>660000</v>
      </c>
      <c r="R357" s="446"/>
    </row>
    <row r="358" spans="1:18" ht="11.25" customHeight="1">
      <c r="A358" s="205"/>
      <c r="B358" s="206"/>
      <c r="C358" s="195"/>
      <c r="D358" s="157" t="s">
        <v>145</v>
      </c>
      <c r="E358" s="197"/>
      <c r="F358" s="197"/>
      <c r="G358" s="208">
        <v>160000</v>
      </c>
      <c r="H358" s="197"/>
      <c r="I358" s="197">
        <v>500000</v>
      </c>
      <c r="J358" s="197"/>
      <c r="K358" s="197"/>
      <c r="L358" s="220">
        <f>SUM(E358:K358)</f>
        <v>660000</v>
      </c>
      <c r="M358" s="197"/>
      <c r="N358" s="197"/>
      <c r="O358" s="197"/>
      <c r="P358" s="197"/>
      <c r="Q358" s="243">
        <f>SUM(L358:P358)</f>
        <v>660000</v>
      </c>
      <c r="R358" s="446"/>
    </row>
    <row r="359" spans="1:18" ht="11.25" customHeight="1">
      <c r="A359" s="205"/>
      <c r="B359" s="206"/>
      <c r="C359" s="207"/>
      <c r="D359" s="157" t="s">
        <v>146</v>
      </c>
      <c r="E359" s="197"/>
      <c r="F359" s="197"/>
      <c r="G359" s="208">
        <v>2300</v>
      </c>
      <c r="H359" s="197"/>
      <c r="I359" s="197">
        <v>0</v>
      </c>
      <c r="J359" s="197"/>
      <c r="K359" s="197"/>
      <c r="L359" s="220">
        <f>SUM(E359:K359)</f>
        <v>2300</v>
      </c>
      <c r="M359" s="197"/>
      <c r="N359" s="197"/>
      <c r="O359" s="197"/>
      <c r="P359" s="197"/>
      <c r="Q359" s="243">
        <f>SUM(L359:P359)</f>
        <v>2300</v>
      </c>
      <c r="R359" s="446"/>
    </row>
    <row r="360" spans="1:18" ht="11.25" customHeight="1">
      <c r="A360" s="205"/>
      <c r="B360" s="206" t="s">
        <v>5</v>
      </c>
      <c r="C360" s="207" t="s">
        <v>107</v>
      </c>
      <c r="D360" s="509" t="s">
        <v>200</v>
      </c>
      <c r="E360" s="197"/>
      <c r="F360" s="197"/>
      <c r="G360" s="208"/>
      <c r="H360" s="197"/>
      <c r="I360" s="197"/>
      <c r="J360" s="197"/>
      <c r="K360" s="197"/>
      <c r="L360" s="220"/>
      <c r="M360" s="197"/>
      <c r="N360" s="197"/>
      <c r="O360" s="197"/>
      <c r="P360" s="197"/>
      <c r="Q360" s="243"/>
      <c r="R360" s="446"/>
    </row>
    <row r="361" spans="1:18" ht="11.25" customHeight="1">
      <c r="A361" s="205"/>
      <c r="B361" s="206"/>
      <c r="C361" s="207"/>
      <c r="D361" s="157" t="s">
        <v>144</v>
      </c>
      <c r="E361" s="197"/>
      <c r="F361" s="197"/>
      <c r="G361" s="208"/>
      <c r="H361" s="197"/>
      <c r="I361" s="197"/>
      <c r="J361" s="197">
        <v>500000</v>
      </c>
      <c r="K361" s="197"/>
      <c r="L361" s="220">
        <f>SUM(E361:K361)</f>
        <v>500000</v>
      </c>
      <c r="M361" s="197"/>
      <c r="N361" s="197"/>
      <c r="O361" s="197"/>
      <c r="P361" s="197"/>
      <c r="Q361" s="243">
        <f>SUM(L361:P361)</f>
        <v>500000</v>
      </c>
      <c r="R361" s="446"/>
    </row>
    <row r="362" spans="1:18" ht="11.25" customHeight="1">
      <c r="A362" s="205"/>
      <c r="B362" s="206"/>
      <c r="C362" s="207"/>
      <c r="D362" s="157" t="s">
        <v>145</v>
      </c>
      <c r="E362" s="197"/>
      <c r="F362" s="197"/>
      <c r="G362" s="208"/>
      <c r="H362" s="197"/>
      <c r="I362" s="197"/>
      <c r="J362" s="197">
        <v>500000</v>
      </c>
      <c r="K362" s="197"/>
      <c r="L362" s="220">
        <f>SUM(E362:K362)</f>
        <v>500000</v>
      </c>
      <c r="M362" s="197"/>
      <c r="N362" s="197"/>
      <c r="O362" s="197"/>
      <c r="P362" s="197"/>
      <c r="Q362" s="243">
        <f>SUM(L362:P362)</f>
        <v>500000</v>
      </c>
      <c r="R362" s="446"/>
    </row>
    <row r="363" spans="1:18" ht="11.25" customHeight="1">
      <c r="A363" s="205"/>
      <c r="B363" s="206"/>
      <c r="C363" s="207"/>
      <c r="D363" s="157" t="s">
        <v>146</v>
      </c>
      <c r="E363" s="197"/>
      <c r="F363" s="197"/>
      <c r="G363" s="208"/>
      <c r="H363" s="197"/>
      <c r="I363" s="197"/>
      <c r="J363" s="197">
        <v>500000</v>
      </c>
      <c r="K363" s="197"/>
      <c r="L363" s="220">
        <f>SUM(E363:K363)</f>
        <v>500000</v>
      </c>
      <c r="M363" s="197"/>
      <c r="N363" s="197"/>
      <c r="O363" s="197"/>
      <c r="P363" s="197"/>
      <c r="Q363" s="243">
        <f>SUM(L363:P363)</f>
        <v>500000</v>
      </c>
      <c r="R363" s="446"/>
    </row>
    <row r="364" spans="1:18" ht="11.25" customHeight="1">
      <c r="A364" s="205"/>
      <c r="B364" s="206" t="s">
        <v>6</v>
      </c>
      <c r="C364" s="207" t="s">
        <v>106</v>
      </c>
      <c r="D364" s="1595" t="s">
        <v>176</v>
      </c>
      <c r="E364" s="1596"/>
      <c r="F364" s="197"/>
      <c r="G364" s="208"/>
      <c r="H364" s="197"/>
      <c r="I364" s="197"/>
      <c r="J364" s="197"/>
      <c r="K364" s="197"/>
      <c r="L364" s="220"/>
      <c r="M364" s="197"/>
      <c r="N364" s="197"/>
      <c r="O364" s="197"/>
      <c r="P364" s="197"/>
      <c r="Q364" s="243"/>
      <c r="R364" s="446"/>
    </row>
    <row r="365" spans="1:18" ht="11.25" customHeight="1">
      <c r="A365" s="205"/>
      <c r="B365" s="206"/>
      <c r="C365" s="195"/>
      <c r="D365" s="157" t="s">
        <v>144</v>
      </c>
      <c r="E365" s="197">
        <v>100000</v>
      </c>
      <c r="F365" s="197">
        <v>66000</v>
      </c>
      <c r="G365" s="208">
        <v>234000</v>
      </c>
      <c r="H365" s="197"/>
      <c r="I365" s="197"/>
      <c r="J365" s="197"/>
      <c r="K365" s="197"/>
      <c r="L365" s="220">
        <f>SUM(E365:K365)</f>
        <v>400000</v>
      </c>
      <c r="M365" s="197"/>
      <c r="N365" s="197"/>
      <c r="O365" s="197"/>
      <c r="P365" s="197"/>
      <c r="Q365" s="243">
        <f>SUM(L365:P365)</f>
        <v>400000</v>
      </c>
      <c r="R365" s="446"/>
    </row>
    <row r="366" spans="1:18" ht="11.25" customHeight="1">
      <c r="A366" s="205"/>
      <c r="B366" s="206"/>
      <c r="C366" s="195"/>
      <c r="D366" s="157" t="s">
        <v>145</v>
      </c>
      <c r="E366" s="197">
        <v>100000</v>
      </c>
      <c r="F366" s="197">
        <v>66000</v>
      </c>
      <c r="G366" s="208">
        <v>238641</v>
      </c>
      <c r="H366" s="197"/>
      <c r="I366" s="197"/>
      <c r="J366" s="197"/>
      <c r="K366" s="197"/>
      <c r="L366" s="220">
        <f>SUM(E366:K366)</f>
        <v>404641</v>
      </c>
      <c r="M366" s="197"/>
      <c r="N366" s="197"/>
      <c r="O366" s="197"/>
      <c r="P366" s="197"/>
      <c r="Q366" s="243">
        <f>SUM(L366:P366)</f>
        <v>404641</v>
      </c>
      <c r="R366" s="446"/>
    </row>
    <row r="367" spans="1:18" ht="11.25" customHeight="1">
      <c r="A367" s="205"/>
      <c r="B367" s="206"/>
      <c r="C367" s="195"/>
      <c r="D367" s="157" t="s">
        <v>146</v>
      </c>
      <c r="E367" s="197">
        <v>87108</v>
      </c>
      <c r="F367" s="197">
        <v>48300</v>
      </c>
      <c r="G367" s="208">
        <v>23519</v>
      </c>
      <c r="H367" s="197"/>
      <c r="I367" s="197"/>
      <c r="J367" s="197"/>
      <c r="K367" s="197"/>
      <c r="L367" s="220">
        <f>SUM(E367:K367)</f>
        <v>158927</v>
      </c>
      <c r="M367" s="197"/>
      <c r="N367" s="197"/>
      <c r="O367" s="197"/>
      <c r="P367" s="197"/>
      <c r="Q367" s="243">
        <f>SUM(L367:P367)</f>
        <v>158927</v>
      </c>
      <c r="R367" s="446"/>
    </row>
    <row r="368" spans="1:18" ht="11.25" customHeight="1">
      <c r="A368" s="228"/>
      <c r="B368" s="201" t="s">
        <v>7</v>
      </c>
      <c r="C368" s="202" t="s">
        <v>107</v>
      </c>
      <c r="D368" s="1141" t="s">
        <v>751</v>
      </c>
      <c r="E368" s="203"/>
      <c r="F368" s="203"/>
      <c r="G368" s="204"/>
      <c r="H368" s="203"/>
      <c r="I368" s="203"/>
      <c r="J368" s="203"/>
      <c r="K368" s="203"/>
      <c r="L368" s="222"/>
      <c r="M368" s="203"/>
      <c r="N368" s="203"/>
      <c r="O368" s="203"/>
      <c r="P368" s="203"/>
      <c r="Q368" s="212"/>
      <c r="R368" s="458"/>
    </row>
    <row r="369" spans="1:18" ht="11.25" customHeight="1">
      <c r="A369" s="205"/>
      <c r="B369" s="206"/>
      <c r="C369" s="207"/>
      <c r="D369" s="157" t="s">
        <v>144</v>
      </c>
      <c r="E369" s="197"/>
      <c r="F369" s="197"/>
      <c r="G369" s="208">
        <v>560000</v>
      </c>
      <c r="H369" s="197"/>
      <c r="I369" s="197"/>
      <c r="J369" s="197"/>
      <c r="K369" s="197"/>
      <c r="L369" s="220">
        <f>SUM(E369:K369)</f>
        <v>560000</v>
      </c>
      <c r="M369" s="197"/>
      <c r="N369" s="197"/>
      <c r="O369" s="197"/>
      <c r="P369" s="197"/>
      <c r="Q369" s="243">
        <f>SUM(L369:P369)</f>
        <v>560000</v>
      </c>
      <c r="R369" s="446"/>
    </row>
    <row r="370" spans="1:18" ht="11.25" customHeight="1">
      <c r="A370" s="205"/>
      <c r="B370" s="206"/>
      <c r="C370" s="207"/>
      <c r="D370" s="157" t="s">
        <v>145</v>
      </c>
      <c r="E370" s="197"/>
      <c r="F370" s="197"/>
      <c r="G370" s="208">
        <v>580000</v>
      </c>
      <c r="H370" s="197"/>
      <c r="I370" s="197"/>
      <c r="J370" s="197"/>
      <c r="K370" s="197"/>
      <c r="L370" s="220">
        <f>SUM(E370:K370)</f>
        <v>580000</v>
      </c>
      <c r="M370" s="197"/>
      <c r="N370" s="197"/>
      <c r="O370" s="197"/>
      <c r="P370" s="197"/>
      <c r="Q370" s="243">
        <f>SUM(L370:P370)</f>
        <v>580000</v>
      </c>
      <c r="R370" s="446"/>
    </row>
    <row r="371" spans="1:18" ht="11.25" customHeight="1">
      <c r="A371" s="228"/>
      <c r="B371" s="201"/>
      <c r="C371" s="202"/>
      <c r="D371" s="210" t="s">
        <v>146</v>
      </c>
      <c r="E371" s="203"/>
      <c r="F371" s="203"/>
      <c r="G371" s="204">
        <v>20000</v>
      </c>
      <c r="H371" s="203"/>
      <c r="I371" s="203"/>
      <c r="J371" s="203"/>
      <c r="K371" s="203"/>
      <c r="L371" s="270">
        <f>SUM(E371:K371)</f>
        <v>20000</v>
      </c>
      <c r="M371" s="203"/>
      <c r="N371" s="203"/>
      <c r="O371" s="203"/>
      <c r="P371" s="203"/>
      <c r="Q371" s="271">
        <f>SUM(L371:P371)</f>
        <v>20000</v>
      </c>
      <c r="R371" s="458"/>
    </row>
    <row r="372" spans="1:18" ht="11.25" customHeight="1">
      <c r="A372" s="205"/>
      <c r="B372" s="206" t="s">
        <v>8</v>
      </c>
      <c r="C372" s="207" t="s">
        <v>107</v>
      </c>
      <c r="D372" s="712" t="s">
        <v>932</v>
      </c>
      <c r="E372" s="197"/>
      <c r="F372" s="197"/>
      <c r="G372" s="208"/>
      <c r="H372" s="197"/>
      <c r="I372" s="197"/>
      <c r="J372" s="197"/>
      <c r="K372" s="197"/>
      <c r="L372" s="220"/>
      <c r="M372" s="197"/>
      <c r="N372" s="197"/>
      <c r="O372" s="197"/>
      <c r="P372" s="197"/>
      <c r="Q372" s="243"/>
      <c r="R372" s="446"/>
    </row>
    <row r="373" spans="1:18" ht="11.25" customHeight="1">
      <c r="A373" s="205"/>
      <c r="B373" s="206"/>
      <c r="C373" s="207"/>
      <c r="D373" s="157" t="s">
        <v>144</v>
      </c>
      <c r="E373" s="197"/>
      <c r="F373" s="197"/>
      <c r="G373" s="208"/>
      <c r="H373" s="197"/>
      <c r="I373" s="197">
        <v>250000</v>
      </c>
      <c r="J373" s="197"/>
      <c r="K373" s="197"/>
      <c r="L373" s="220">
        <f>SUM(E373:K373)</f>
        <v>250000</v>
      </c>
      <c r="M373" s="197"/>
      <c r="N373" s="197"/>
      <c r="O373" s="197"/>
      <c r="P373" s="197"/>
      <c r="Q373" s="243">
        <f>SUM(L373:P373)</f>
        <v>250000</v>
      </c>
      <c r="R373" s="446"/>
    </row>
    <row r="374" spans="1:18" ht="11.25" customHeight="1">
      <c r="A374" s="205"/>
      <c r="B374" s="206"/>
      <c r="C374" s="207"/>
      <c r="D374" s="157" t="s">
        <v>145</v>
      </c>
      <c r="E374" s="197"/>
      <c r="F374" s="197"/>
      <c r="G374" s="208"/>
      <c r="H374" s="197"/>
      <c r="I374" s="197">
        <v>750000</v>
      </c>
      <c r="J374" s="197"/>
      <c r="K374" s="197"/>
      <c r="L374" s="220">
        <f>SUM(E374:K374)</f>
        <v>750000</v>
      </c>
      <c r="M374" s="197"/>
      <c r="N374" s="197"/>
      <c r="O374" s="197"/>
      <c r="P374" s="197"/>
      <c r="Q374" s="243">
        <f>SUM(L374:P374)</f>
        <v>750000</v>
      </c>
      <c r="R374" s="446"/>
    </row>
    <row r="375" spans="1:18" ht="11.25" customHeight="1" thickBot="1">
      <c r="A375" s="244"/>
      <c r="B375" s="227"/>
      <c r="C375" s="245"/>
      <c r="D375" s="246" t="s">
        <v>146</v>
      </c>
      <c r="E375" s="247"/>
      <c r="F375" s="247"/>
      <c r="G375" s="276"/>
      <c r="H375" s="247"/>
      <c r="I375" s="247">
        <v>713000</v>
      </c>
      <c r="J375" s="247"/>
      <c r="K375" s="247"/>
      <c r="L375" s="248">
        <f>SUM(I375:K375)</f>
        <v>713000</v>
      </c>
      <c r="M375" s="247"/>
      <c r="N375" s="247"/>
      <c r="O375" s="247"/>
      <c r="P375" s="247"/>
      <c r="Q375" s="262">
        <f>SUM(L375:P375)</f>
        <v>713000</v>
      </c>
      <c r="R375" s="448"/>
    </row>
    <row r="376" spans="1:18" s="16" customFormat="1" ht="12.75" customHeight="1">
      <c r="A376" s="263">
        <v>21</v>
      </c>
      <c r="B376" s="256" t="s">
        <v>3</v>
      </c>
      <c r="C376" s="223" t="s">
        <v>106</v>
      </c>
      <c r="D376" s="257" t="s">
        <v>78</v>
      </c>
      <c r="E376" s="224"/>
      <c r="F376" s="224"/>
      <c r="G376" s="257"/>
      <c r="H376" s="224"/>
      <c r="I376" s="224"/>
      <c r="J376" s="224"/>
      <c r="K376" s="224"/>
      <c r="L376" s="224"/>
      <c r="M376" s="224"/>
      <c r="N376" s="224"/>
      <c r="O376" s="224"/>
      <c r="P376" s="224"/>
      <c r="Q376" s="257"/>
      <c r="R376" s="459"/>
    </row>
    <row r="377" spans="1:18" s="16" customFormat="1" ht="10.5" customHeight="1">
      <c r="A377" s="205"/>
      <c r="B377" s="206"/>
      <c r="C377" s="207"/>
      <c r="D377" s="157" t="s">
        <v>144</v>
      </c>
      <c r="E377" s="220"/>
      <c r="F377" s="220"/>
      <c r="G377" s="208">
        <v>17000000</v>
      </c>
      <c r="H377" s="220"/>
      <c r="I377" s="220"/>
      <c r="J377" s="220"/>
      <c r="K377" s="220"/>
      <c r="L377" s="220">
        <f>SUM(E377:K377)</f>
        <v>17000000</v>
      </c>
      <c r="M377" s="220">
        <v>24976000</v>
      </c>
      <c r="N377" s="220"/>
      <c r="O377" s="220"/>
      <c r="P377" s="220"/>
      <c r="Q377" s="243">
        <f>SUM(L377:P377)</f>
        <v>41976000</v>
      </c>
      <c r="R377" s="446"/>
    </row>
    <row r="378" spans="1:18" s="16" customFormat="1" ht="10.5" customHeight="1">
      <c r="A378" s="205"/>
      <c r="B378" s="206"/>
      <c r="C378" s="207"/>
      <c r="D378" s="157" t="s">
        <v>145</v>
      </c>
      <c r="E378" s="220"/>
      <c r="F378" s="220"/>
      <c r="G378" s="208">
        <v>21243287</v>
      </c>
      <c r="H378" s="220"/>
      <c r="I378" s="220"/>
      <c r="J378" s="220"/>
      <c r="K378" s="220"/>
      <c r="L378" s="220">
        <f>SUM(E378:K378)</f>
        <v>21243287</v>
      </c>
      <c r="M378" s="220">
        <v>560125163</v>
      </c>
      <c r="N378" s="220"/>
      <c r="O378" s="220"/>
      <c r="P378" s="220"/>
      <c r="Q378" s="243">
        <f>SUM(L378:P378)</f>
        <v>581368450</v>
      </c>
      <c r="R378" s="446"/>
    </row>
    <row r="379" spans="1:18" s="16" customFormat="1" ht="10.5" customHeight="1" thickBot="1">
      <c r="A379" s="244"/>
      <c r="B379" s="227"/>
      <c r="C379" s="245"/>
      <c r="D379" s="246" t="s">
        <v>146</v>
      </c>
      <c r="E379" s="248"/>
      <c r="F379" s="248"/>
      <c r="G379" s="276">
        <v>13004349</v>
      </c>
      <c r="H379" s="248"/>
      <c r="I379" s="248"/>
      <c r="J379" s="248"/>
      <c r="K379" s="248"/>
      <c r="L379" s="248">
        <f>SUM(G379:K379)</f>
        <v>13004349</v>
      </c>
      <c r="M379" s="248">
        <f>6447399+5418677</f>
        <v>11866076</v>
      </c>
      <c r="N379" s="248"/>
      <c r="O379" s="248"/>
      <c r="P379" s="248"/>
      <c r="Q379" s="262">
        <f>SUM(L379:P379)</f>
        <v>24870425</v>
      </c>
      <c r="R379" s="448"/>
    </row>
    <row r="380" spans="1:18" ht="12.75" customHeight="1">
      <c r="A380" s="228">
        <v>22</v>
      </c>
      <c r="B380" s="201"/>
      <c r="C380" s="202"/>
      <c r="D380" s="212" t="s">
        <v>95</v>
      </c>
      <c r="E380" s="222"/>
      <c r="F380" s="222"/>
      <c r="G380" s="222"/>
      <c r="H380" s="222"/>
      <c r="I380" s="285"/>
      <c r="J380" s="285"/>
      <c r="K380" s="285"/>
      <c r="L380" s="285"/>
      <c r="M380" s="285"/>
      <c r="N380" s="285"/>
      <c r="O380" s="285"/>
      <c r="P380" s="285"/>
      <c r="Q380" s="212"/>
      <c r="R380" s="458"/>
    </row>
    <row r="381" spans="1:18" ht="12.75" customHeight="1">
      <c r="A381" s="205"/>
      <c r="B381" s="206"/>
      <c r="C381" s="207"/>
      <c r="D381" s="157" t="s">
        <v>144</v>
      </c>
      <c r="E381" s="220">
        <f>E385+E389+E393+E397+E401</f>
        <v>0</v>
      </c>
      <c r="F381" s="220">
        <f aca="true" t="shared" si="81" ref="F381:K381">F385+F389+F393+F397+F401</f>
        <v>0</v>
      </c>
      <c r="G381" s="220">
        <f t="shared" si="81"/>
        <v>57819300</v>
      </c>
      <c r="H381" s="220">
        <f t="shared" si="81"/>
        <v>0</v>
      </c>
      <c r="I381" s="220">
        <f t="shared" si="81"/>
        <v>0</v>
      </c>
      <c r="J381" s="220">
        <f t="shared" si="81"/>
        <v>2700000</v>
      </c>
      <c r="K381" s="220">
        <f t="shared" si="81"/>
        <v>0</v>
      </c>
      <c r="L381" s="220">
        <f>SUM(E381:K381)</f>
        <v>60519300</v>
      </c>
      <c r="M381" s="220">
        <f aca="true" t="shared" si="82" ref="M381:P383">M385+M389+M393+M397+M401</f>
        <v>44456726</v>
      </c>
      <c r="N381" s="220">
        <f t="shared" si="82"/>
        <v>0</v>
      </c>
      <c r="O381" s="220">
        <f t="shared" si="82"/>
        <v>0</v>
      </c>
      <c r="P381" s="220">
        <f t="shared" si="82"/>
        <v>0</v>
      </c>
      <c r="Q381" s="220">
        <f>SUM(L381:P381)</f>
        <v>104976026</v>
      </c>
      <c r="R381" s="446"/>
    </row>
    <row r="382" spans="1:18" ht="12.75" customHeight="1">
      <c r="A382" s="205"/>
      <c r="B382" s="206"/>
      <c r="C382" s="207"/>
      <c r="D382" s="157" t="s">
        <v>145</v>
      </c>
      <c r="E382" s="220">
        <f aca="true" t="shared" si="83" ref="E382:K383">E386+E390+E394+E398+E402</f>
        <v>0</v>
      </c>
      <c r="F382" s="220">
        <f t="shared" si="83"/>
        <v>0</v>
      </c>
      <c r="G382" s="220">
        <f>G386+G390+G394+G398+G402</f>
        <v>78019300</v>
      </c>
      <c r="H382" s="220">
        <f t="shared" si="83"/>
        <v>0</v>
      </c>
      <c r="I382" s="220">
        <f t="shared" si="83"/>
        <v>0</v>
      </c>
      <c r="J382" s="220">
        <f t="shared" si="83"/>
        <v>2924000</v>
      </c>
      <c r="K382" s="220">
        <f t="shared" si="83"/>
        <v>0</v>
      </c>
      <c r="L382" s="220">
        <f>SUM(E382:K382)</f>
        <v>80943300</v>
      </c>
      <c r="M382" s="220">
        <f t="shared" si="82"/>
        <v>473052910</v>
      </c>
      <c r="N382" s="220">
        <f t="shared" si="82"/>
        <v>0</v>
      </c>
      <c r="O382" s="220">
        <f t="shared" si="82"/>
        <v>0</v>
      </c>
      <c r="P382" s="220">
        <f t="shared" si="82"/>
        <v>0</v>
      </c>
      <c r="Q382" s="220">
        <f>SUM(L382:P382)</f>
        <v>553996210</v>
      </c>
      <c r="R382" s="446"/>
    </row>
    <row r="383" spans="1:18" ht="12.75" customHeight="1">
      <c r="A383" s="205"/>
      <c r="B383" s="206"/>
      <c r="C383" s="207"/>
      <c r="D383" s="157" t="s">
        <v>146</v>
      </c>
      <c r="E383" s="220">
        <f t="shared" si="83"/>
        <v>0</v>
      </c>
      <c r="F383" s="220">
        <f t="shared" si="83"/>
        <v>0</v>
      </c>
      <c r="G383" s="220">
        <f t="shared" si="83"/>
        <v>53635580</v>
      </c>
      <c r="H383" s="220">
        <f t="shared" si="83"/>
        <v>0</v>
      </c>
      <c r="I383" s="220">
        <f t="shared" si="83"/>
        <v>0</v>
      </c>
      <c r="J383" s="220">
        <f t="shared" si="83"/>
        <v>2182000</v>
      </c>
      <c r="K383" s="220">
        <f t="shared" si="83"/>
        <v>0</v>
      </c>
      <c r="L383" s="220">
        <f>SUM(E383:K383)</f>
        <v>55817580</v>
      </c>
      <c r="M383" s="220">
        <f t="shared" si="82"/>
        <v>10594727</v>
      </c>
      <c r="N383" s="220">
        <f t="shared" si="82"/>
        <v>0</v>
      </c>
      <c r="O383" s="220">
        <f t="shared" si="82"/>
        <v>0</v>
      </c>
      <c r="P383" s="220">
        <f t="shared" si="82"/>
        <v>0</v>
      </c>
      <c r="Q383" s="220">
        <f>SUM(L383:P383)</f>
        <v>66412307</v>
      </c>
      <c r="R383" s="446"/>
    </row>
    <row r="384" spans="1:18" ht="14.25" customHeight="1">
      <c r="A384" s="266"/>
      <c r="B384" s="206">
        <v>1</v>
      </c>
      <c r="C384" s="268" t="s">
        <v>107</v>
      </c>
      <c r="D384" s="1589" t="s">
        <v>96</v>
      </c>
      <c r="E384" s="1590"/>
      <c r="F384" s="1590"/>
      <c r="G384" s="1590"/>
      <c r="H384" s="1591"/>
      <c r="I384" s="211"/>
      <c r="J384" s="211"/>
      <c r="K384" s="211"/>
      <c r="L384" s="220"/>
      <c r="M384" s="211"/>
      <c r="N384" s="211"/>
      <c r="O384" s="211"/>
      <c r="P384" s="211"/>
      <c r="Q384" s="243"/>
      <c r="R384" s="474"/>
    </row>
    <row r="385" spans="1:18" ht="11.25" customHeight="1">
      <c r="A385" s="266"/>
      <c r="B385" s="209"/>
      <c r="C385" s="268"/>
      <c r="D385" s="157" t="s">
        <v>144</v>
      </c>
      <c r="E385" s="211"/>
      <c r="F385" s="211"/>
      <c r="G385" s="211"/>
      <c r="H385" s="211"/>
      <c r="I385" s="211"/>
      <c r="J385" s="211">
        <v>700000</v>
      </c>
      <c r="K385" s="211"/>
      <c r="L385" s="220">
        <f aca="true" t="shared" si="84" ref="L385:L399">SUM(E385:K385)</f>
        <v>700000</v>
      </c>
      <c r="M385" s="211"/>
      <c r="N385" s="211"/>
      <c r="O385" s="211"/>
      <c r="P385" s="211"/>
      <c r="Q385" s="243">
        <f aca="true" t="shared" si="85" ref="Q385:Q398">SUM(L385:P385)</f>
        <v>700000</v>
      </c>
      <c r="R385" s="474"/>
    </row>
    <row r="386" spans="1:18" ht="11.25" customHeight="1">
      <c r="A386" s="266"/>
      <c r="B386" s="209"/>
      <c r="C386" s="268"/>
      <c r="D386" s="157" t="s">
        <v>145</v>
      </c>
      <c r="E386" s="211"/>
      <c r="F386" s="211"/>
      <c r="G386" s="211"/>
      <c r="H386" s="211"/>
      <c r="I386" s="211"/>
      <c r="J386" s="211">
        <v>700000</v>
      </c>
      <c r="K386" s="211"/>
      <c r="L386" s="220">
        <f t="shared" si="84"/>
        <v>700000</v>
      </c>
      <c r="M386" s="211"/>
      <c r="N386" s="211"/>
      <c r="O386" s="211"/>
      <c r="P386" s="211"/>
      <c r="Q386" s="243">
        <f t="shared" si="85"/>
        <v>700000</v>
      </c>
      <c r="R386" s="474"/>
    </row>
    <row r="387" spans="1:18" ht="11.25" customHeight="1">
      <c r="A387" s="205"/>
      <c r="B387" s="206"/>
      <c r="C387" s="207"/>
      <c r="D387" s="157" t="s">
        <v>146</v>
      </c>
      <c r="E387" s="197"/>
      <c r="F387" s="197"/>
      <c r="G387" s="197"/>
      <c r="H387" s="197"/>
      <c r="I387" s="197"/>
      <c r="J387" s="197">
        <v>625000</v>
      </c>
      <c r="K387" s="197"/>
      <c r="L387" s="220">
        <f t="shared" si="84"/>
        <v>625000</v>
      </c>
      <c r="M387" s="197"/>
      <c r="N387" s="197"/>
      <c r="O387" s="197"/>
      <c r="P387" s="197"/>
      <c r="Q387" s="243">
        <f t="shared" si="85"/>
        <v>625000</v>
      </c>
      <c r="R387" s="446"/>
    </row>
    <row r="388" spans="1:18" ht="11.25" customHeight="1">
      <c r="A388" s="205"/>
      <c r="B388" s="206">
        <v>2</v>
      </c>
      <c r="C388" s="207" t="s">
        <v>107</v>
      </c>
      <c r="D388" s="235" t="s">
        <v>700</v>
      </c>
      <c r="E388" s="197"/>
      <c r="F388" s="197"/>
      <c r="G388" s="208"/>
      <c r="H388" s="197"/>
      <c r="I388" s="197"/>
      <c r="J388" s="197"/>
      <c r="K388" s="197"/>
      <c r="L388" s="220"/>
      <c r="M388" s="197"/>
      <c r="N388" s="197"/>
      <c r="O388" s="197"/>
      <c r="P388" s="197"/>
      <c r="Q388" s="243"/>
      <c r="R388" s="446"/>
    </row>
    <row r="389" spans="1:18" ht="11.25" customHeight="1">
      <c r="A389" s="266"/>
      <c r="B389" s="206"/>
      <c r="C389" s="207"/>
      <c r="D389" s="157" t="s">
        <v>144</v>
      </c>
      <c r="E389" s="211"/>
      <c r="F389" s="211"/>
      <c r="G389" s="269">
        <v>53340000</v>
      </c>
      <c r="H389" s="211"/>
      <c r="I389" s="211"/>
      <c r="J389" s="211"/>
      <c r="K389" s="211"/>
      <c r="L389" s="220">
        <f t="shared" si="84"/>
        <v>53340000</v>
      </c>
      <c r="M389" s="211"/>
      <c r="N389" s="211"/>
      <c r="O389" s="211"/>
      <c r="P389" s="211"/>
      <c r="Q389" s="243">
        <f t="shared" si="85"/>
        <v>53340000</v>
      </c>
      <c r="R389" s="474"/>
    </row>
    <row r="390" spans="1:18" ht="11.25" customHeight="1">
      <c r="A390" s="266"/>
      <c r="B390" s="206"/>
      <c r="C390" s="207"/>
      <c r="D390" s="157" t="s">
        <v>145</v>
      </c>
      <c r="E390" s="211"/>
      <c r="F390" s="211"/>
      <c r="G390" s="269">
        <v>53540000</v>
      </c>
      <c r="H390" s="211"/>
      <c r="I390" s="211"/>
      <c r="J390" s="211"/>
      <c r="K390" s="211"/>
      <c r="L390" s="220">
        <f t="shared" si="84"/>
        <v>53540000</v>
      </c>
      <c r="M390" s="211"/>
      <c r="N390" s="211"/>
      <c r="O390" s="211"/>
      <c r="P390" s="211"/>
      <c r="Q390" s="243">
        <f t="shared" si="85"/>
        <v>53540000</v>
      </c>
      <c r="R390" s="474"/>
    </row>
    <row r="391" spans="1:18" ht="11.25" customHeight="1">
      <c r="A391" s="266"/>
      <c r="B391" s="206"/>
      <c r="C391" s="207"/>
      <c r="D391" s="157" t="s">
        <v>146</v>
      </c>
      <c r="E391" s="211"/>
      <c r="F391" s="211"/>
      <c r="G391" s="269">
        <v>53535580</v>
      </c>
      <c r="H391" s="211"/>
      <c r="I391" s="211"/>
      <c r="J391" s="211"/>
      <c r="K391" s="211"/>
      <c r="L391" s="220">
        <f t="shared" si="84"/>
        <v>53535580</v>
      </c>
      <c r="M391" s="211"/>
      <c r="N391" s="211"/>
      <c r="O391" s="211"/>
      <c r="P391" s="211"/>
      <c r="Q391" s="243">
        <f t="shared" si="85"/>
        <v>53535580</v>
      </c>
      <c r="R391" s="474"/>
    </row>
    <row r="392" spans="1:18" ht="11.25" customHeight="1">
      <c r="A392" s="266"/>
      <c r="B392" s="206">
        <v>3</v>
      </c>
      <c r="C392" s="207" t="s">
        <v>106</v>
      </c>
      <c r="D392" s="208" t="s">
        <v>752</v>
      </c>
      <c r="E392" s="211"/>
      <c r="F392" s="211"/>
      <c r="G392" s="269"/>
      <c r="H392" s="211"/>
      <c r="I392" s="211"/>
      <c r="J392" s="211"/>
      <c r="K392" s="211"/>
      <c r="L392" s="220"/>
      <c r="M392" s="211"/>
      <c r="N392" s="211"/>
      <c r="O392" s="211"/>
      <c r="P392" s="211"/>
      <c r="Q392" s="243"/>
      <c r="R392" s="474"/>
    </row>
    <row r="393" spans="1:18" ht="11.25" customHeight="1">
      <c r="A393" s="266"/>
      <c r="B393" s="209"/>
      <c r="C393" s="268"/>
      <c r="D393" s="157" t="s">
        <v>144</v>
      </c>
      <c r="E393" s="211"/>
      <c r="F393" s="211"/>
      <c r="G393" s="269">
        <v>4479300</v>
      </c>
      <c r="H393" s="211"/>
      <c r="I393" s="211"/>
      <c r="J393" s="211"/>
      <c r="K393" s="211"/>
      <c r="L393" s="220">
        <f t="shared" si="84"/>
        <v>4479300</v>
      </c>
      <c r="M393" s="211">
        <v>3456726</v>
      </c>
      <c r="N393" s="211"/>
      <c r="O393" s="211"/>
      <c r="P393" s="211"/>
      <c r="Q393" s="243">
        <f t="shared" si="85"/>
        <v>7936026</v>
      </c>
      <c r="R393" s="474"/>
    </row>
    <row r="394" spans="1:18" ht="11.25" customHeight="1">
      <c r="A394" s="266"/>
      <c r="B394" s="209"/>
      <c r="C394" s="268"/>
      <c r="D394" s="157" t="s">
        <v>145</v>
      </c>
      <c r="E394" s="211"/>
      <c r="F394" s="211"/>
      <c r="G394" s="269">
        <v>24479300</v>
      </c>
      <c r="H394" s="211"/>
      <c r="I394" s="211"/>
      <c r="J394" s="211"/>
      <c r="K394" s="211"/>
      <c r="L394" s="220">
        <f t="shared" si="84"/>
        <v>24479300</v>
      </c>
      <c r="M394" s="211">
        <v>430338346</v>
      </c>
      <c r="N394" s="211"/>
      <c r="O394" s="211"/>
      <c r="P394" s="211"/>
      <c r="Q394" s="243">
        <f t="shared" si="85"/>
        <v>454817646</v>
      </c>
      <c r="R394" s="474"/>
    </row>
    <row r="395" spans="1:18" ht="11.25" customHeight="1">
      <c r="A395" s="266"/>
      <c r="B395" s="209"/>
      <c r="C395" s="268"/>
      <c r="D395" s="157" t="s">
        <v>146</v>
      </c>
      <c r="E395" s="211"/>
      <c r="F395" s="211"/>
      <c r="G395" s="269">
        <v>100000</v>
      </c>
      <c r="H395" s="211"/>
      <c r="I395" s="211"/>
      <c r="J395" s="211"/>
      <c r="K395" s="211"/>
      <c r="L395" s="220">
        <f t="shared" si="84"/>
        <v>100000</v>
      </c>
      <c r="M395" s="211">
        <f>8880163</f>
        <v>8880163</v>
      </c>
      <c r="N395" s="211"/>
      <c r="O395" s="211"/>
      <c r="P395" s="211"/>
      <c r="Q395" s="243">
        <f>SUM(L395:P395)</f>
        <v>8980163</v>
      </c>
      <c r="R395" s="474"/>
    </row>
    <row r="396" spans="1:18" ht="11.25" customHeight="1">
      <c r="A396" s="266"/>
      <c r="B396" s="209">
        <v>4</v>
      </c>
      <c r="C396" s="268" t="s">
        <v>106</v>
      </c>
      <c r="D396" s="269" t="s">
        <v>933</v>
      </c>
      <c r="E396" s="211"/>
      <c r="F396" s="211"/>
      <c r="G396" s="269"/>
      <c r="H396" s="211"/>
      <c r="I396" s="211"/>
      <c r="J396" s="211"/>
      <c r="K396" s="211"/>
      <c r="L396" s="220"/>
      <c r="M396" s="211"/>
      <c r="N396" s="211"/>
      <c r="O396" s="211"/>
      <c r="P396" s="211"/>
      <c r="Q396" s="243"/>
      <c r="R396" s="474"/>
    </row>
    <row r="397" spans="1:18" ht="11.25" customHeight="1">
      <c r="A397" s="266"/>
      <c r="B397" s="209"/>
      <c r="C397" s="268"/>
      <c r="D397" s="157" t="s">
        <v>144</v>
      </c>
      <c r="E397" s="211"/>
      <c r="F397" s="211"/>
      <c r="G397" s="269"/>
      <c r="H397" s="211"/>
      <c r="I397" s="211"/>
      <c r="J397" s="211"/>
      <c r="K397" s="211"/>
      <c r="L397" s="220">
        <f t="shared" si="84"/>
        <v>0</v>
      </c>
      <c r="M397" s="211">
        <v>41000000</v>
      </c>
      <c r="N397" s="211"/>
      <c r="O397" s="211"/>
      <c r="P397" s="211"/>
      <c r="Q397" s="243">
        <f t="shared" si="85"/>
        <v>41000000</v>
      </c>
      <c r="R397" s="474"/>
    </row>
    <row r="398" spans="1:18" ht="11.25" customHeight="1">
      <c r="A398" s="266"/>
      <c r="B398" s="209"/>
      <c r="C398" s="268"/>
      <c r="D398" s="157" t="s">
        <v>145</v>
      </c>
      <c r="E398" s="211"/>
      <c r="F398" s="211"/>
      <c r="G398" s="269"/>
      <c r="H398" s="211"/>
      <c r="I398" s="211"/>
      <c r="J398" s="211"/>
      <c r="K398" s="211"/>
      <c r="L398" s="220">
        <f t="shared" si="84"/>
        <v>0</v>
      </c>
      <c r="M398" s="211">
        <v>42714564</v>
      </c>
      <c r="N398" s="211"/>
      <c r="O398" s="211"/>
      <c r="P398" s="211"/>
      <c r="Q398" s="243">
        <f t="shared" si="85"/>
        <v>42714564</v>
      </c>
      <c r="R398" s="474"/>
    </row>
    <row r="399" spans="1:18" ht="11.25" customHeight="1">
      <c r="A399" s="266"/>
      <c r="B399" s="209"/>
      <c r="C399" s="268"/>
      <c r="D399" s="157" t="s">
        <v>146</v>
      </c>
      <c r="E399" s="211"/>
      <c r="F399" s="211"/>
      <c r="G399" s="269"/>
      <c r="H399" s="211"/>
      <c r="I399" s="211"/>
      <c r="J399" s="211"/>
      <c r="K399" s="211"/>
      <c r="L399" s="220">
        <f t="shared" si="84"/>
        <v>0</v>
      </c>
      <c r="M399" s="211">
        <v>1714564</v>
      </c>
      <c r="N399" s="211"/>
      <c r="O399" s="211"/>
      <c r="P399" s="211"/>
      <c r="Q399" s="243">
        <f>SUM(L399:P399)</f>
        <v>1714564</v>
      </c>
      <c r="R399" s="474"/>
    </row>
    <row r="400" spans="1:18" ht="13.5" customHeight="1">
      <c r="A400" s="266"/>
      <c r="B400" s="209">
        <v>5</v>
      </c>
      <c r="C400" s="268" t="s">
        <v>107</v>
      </c>
      <c r="D400" s="1586" t="s">
        <v>753</v>
      </c>
      <c r="E400" s="1587"/>
      <c r="F400" s="1587"/>
      <c r="G400" s="1588"/>
      <c r="H400" s="211"/>
      <c r="I400" s="211"/>
      <c r="J400" s="211"/>
      <c r="K400" s="211"/>
      <c r="L400" s="220"/>
      <c r="M400" s="211"/>
      <c r="N400" s="211"/>
      <c r="O400" s="211"/>
      <c r="P400" s="211"/>
      <c r="Q400" s="243"/>
      <c r="R400" s="474"/>
    </row>
    <row r="401" spans="1:18" ht="11.25" customHeight="1">
      <c r="A401" s="266"/>
      <c r="B401" s="209"/>
      <c r="C401" s="268"/>
      <c r="D401" s="157" t="s">
        <v>144</v>
      </c>
      <c r="E401" s="211"/>
      <c r="F401" s="211"/>
      <c r="G401" s="269"/>
      <c r="H401" s="211"/>
      <c r="I401" s="211"/>
      <c r="J401" s="211">
        <v>2000000</v>
      </c>
      <c r="K401" s="211"/>
      <c r="L401" s="220">
        <f>SUM(E401:K401)</f>
        <v>2000000</v>
      </c>
      <c r="M401" s="211"/>
      <c r="N401" s="211"/>
      <c r="O401" s="211"/>
      <c r="P401" s="211"/>
      <c r="Q401" s="243">
        <f>SUM(L401:P401)</f>
        <v>2000000</v>
      </c>
      <c r="R401" s="474"/>
    </row>
    <row r="402" spans="1:18" ht="11.25" customHeight="1">
      <c r="A402" s="266"/>
      <c r="B402" s="209"/>
      <c r="C402" s="268"/>
      <c r="D402" s="157" t="s">
        <v>145</v>
      </c>
      <c r="E402" s="211"/>
      <c r="F402" s="211"/>
      <c r="G402" s="269"/>
      <c r="H402" s="211"/>
      <c r="I402" s="211"/>
      <c r="J402" s="211">
        <v>2224000</v>
      </c>
      <c r="K402" s="211"/>
      <c r="L402" s="220">
        <f>SUM(E402:K402)</f>
        <v>2224000</v>
      </c>
      <c r="M402" s="211"/>
      <c r="N402" s="211"/>
      <c r="O402" s="211"/>
      <c r="P402" s="211"/>
      <c r="Q402" s="243">
        <f>SUM(L402:P402)</f>
        <v>2224000</v>
      </c>
      <c r="R402" s="474"/>
    </row>
    <row r="403" spans="1:18" ht="11.25" customHeight="1" thickBot="1">
      <c r="A403" s="266"/>
      <c r="B403" s="209"/>
      <c r="C403" s="268"/>
      <c r="D403" s="157" t="s">
        <v>146</v>
      </c>
      <c r="E403" s="211"/>
      <c r="F403" s="211"/>
      <c r="G403" s="269"/>
      <c r="H403" s="211"/>
      <c r="I403" s="211"/>
      <c r="J403" s="211">
        <v>1557000</v>
      </c>
      <c r="K403" s="211"/>
      <c r="L403" s="220">
        <f>SUM(E403:K403)</f>
        <v>1557000</v>
      </c>
      <c r="M403" s="211"/>
      <c r="N403" s="211"/>
      <c r="O403" s="211"/>
      <c r="P403" s="211"/>
      <c r="Q403" s="243">
        <f>SUM(L403:P403)</f>
        <v>1557000</v>
      </c>
      <c r="R403" s="474"/>
    </row>
    <row r="404" spans="1:18" s="16" customFormat="1" ht="12.75" customHeight="1">
      <c r="A404" s="238">
        <v>23</v>
      </c>
      <c r="B404" s="239" t="s">
        <v>3</v>
      </c>
      <c r="C404" s="240" t="s">
        <v>106</v>
      </c>
      <c r="D404" s="1648" t="s">
        <v>177</v>
      </c>
      <c r="E404" s="1649"/>
      <c r="F404" s="1650"/>
      <c r="G404" s="241"/>
      <c r="H404" s="216"/>
      <c r="I404" s="216"/>
      <c r="J404" s="216"/>
      <c r="K404" s="216"/>
      <c r="L404" s="216"/>
      <c r="M404" s="216"/>
      <c r="N404" s="216"/>
      <c r="O404" s="216"/>
      <c r="P404" s="291"/>
      <c r="Q404" s="241"/>
      <c r="R404" s="359"/>
    </row>
    <row r="405" spans="1:18" s="16" customFormat="1" ht="12.75" customHeight="1">
      <c r="A405" s="205"/>
      <c r="B405" s="206"/>
      <c r="C405" s="292"/>
      <c r="D405" s="157" t="s">
        <v>144</v>
      </c>
      <c r="E405" s="284"/>
      <c r="F405" s="284"/>
      <c r="G405" s="243"/>
      <c r="H405" s="220"/>
      <c r="I405" s="220"/>
      <c r="J405" s="220">
        <v>7515000</v>
      </c>
      <c r="K405" s="220"/>
      <c r="L405" s="220">
        <f>SUM(E405:K405)</f>
        <v>7515000</v>
      </c>
      <c r="M405" s="220"/>
      <c r="N405" s="220"/>
      <c r="O405" s="220"/>
      <c r="P405" s="284"/>
      <c r="Q405" s="243">
        <f>SUM(L405:P405)</f>
        <v>7515000</v>
      </c>
      <c r="R405" s="446"/>
    </row>
    <row r="406" spans="1:18" s="16" customFormat="1" ht="12.75" customHeight="1">
      <c r="A406" s="205"/>
      <c r="B406" s="206"/>
      <c r="C406" s="292"/>
      <c r="D406" s="157" t="s">
        <v>145</v>
      </c>
      <c r="E406" s="284"/>
      <c r="F406" s="284"/>
      <c r="G406" s="243"/>
      <c r="H406" s="220"/>
      <c r="I406" s="220"/>
      <c r="J406" s="220">
        <v>7515000</v>
      </c>
      <c r="K406" s="220"/>
      <c r="L406" s="220">
        <f>SUM(E406:K406)</f>
        <v>7515000</v>
      </c>
      <c r="M406" s="220"/>
      <c r="N406" s="220"/>
      <c r="O406" s="220"/>
      <c r="P406" s="284"/>
      <c r="Q406" s="243">
        <f>SUM(L406:P406)</f>
        <v>7515000</v>
      </c>
      <c r="R406" s="446"/>
    </row>
    <row r="407" spans="1:18" s="16" customFormat="1" ht="10.5" customHeight="1" thickBot="1">
      <c r="A407" s="244"/>
      <c r="B407" s="227"/>
      <c r="C407" s="245"/>
      <c r="D407" s="246" t="s">
        <v>146</v>
      </c>
      <c r="E407" s="348"/>
      <c r="F407" s="348"/>
      <c r="G407" s="262"/>
      <c r="H407" s="248"/>
      <c r="I407" s="248"/>
      <c r="J407" s="248">
        <v>7514604</v>
      </c>
      <c r="K407" s="248"/>
      <c r="L407" s="248">
        <f>SUM(E407:K407)</f>
        <v>7514604</v>
      </c>
      <c r="M407" s="248"/>
      <c r="N407" s="248"/>
      <c r="O407" s="248"/>
      <c r="P407" s="348"/>
      <c r="Q407" s="262">
        <f>SUM(L407:P407)</f>
        <v>7514604</v>
      </c>
      <c r="R407" s="448"/>
    </row>
    <row r="408" spans="1:18" ht="12.75" customHeight="1">
      <c r="A408" s="263">
        <v>24</v>
      </c>
      <c r="B408" s="264"/>
      <c r="C408" s="273"/>
      <c r="D408" s="257" t="s">
        <v>755</v>
      </c>
      <c r="E408" s="282"/>
      <c r="F408" s="282"/>
      <c r="G408" s="224"/>
      <c r="H408" s="282"/>
      <c r="I408" s="282"/>
      <c r="J408" s="282"/>
      <c r="K408" s="282"/>
      <c r="L408" s="282"/>
      <c r="M408" s="282"/>
      <c r="N408" s="282"/>
      <c r="O408" s="282"/>
      <c r="P408" s="282"/>
      <c r="Q408" s="257"/>
      <c r="R408" s="459"/>
    </row>
    <row r="409" spans="1:18" ht="12.75" customHeight="1">
      <c r="A409" s="193"/>
      <c r="B409" s="194"/>
      <c r="C409" s="294"/>
      <c r="D409" s="157" t="s">
        <v>144</v>
      </c>
      <c r="E409" s="272">
        <f>E413+E417+E421</f>
        <v>0</v>
      </c>
      <c r="F409" s="272">
        <f aca="true" t="shared" si="86" ref="F409:K409">F413+F417+F421</f>
        <v>0</v>
      </c>
      <c r="G409" s="272">
        <f t="shared" si="86"/>
        <v>130000</v>
      </c>
      <c r="H409" s="272">
        <f t="shared" si="86"/>
        <v>7600000</v>
      </c>
      <c r="I409" s="272">
        <f t="shared" si="86"/>
        <v>0</v>
      </c>
      <c r="J409" s="272">
        <f t="shared" si="86"/>
        <v>0</v>
      </c>
      <c r="K409" s="272">
        <f t="shared" si="86"/>
        <v>0</v>
      </c>
      <c r="L409" s="272">
        <f>SUM(E409:K409)</f>
        <v>7730000</v>
      </c>
      <c r="M409" s="272">
        <f>M413+M417+M421</f>
        <v>0</v>
      </c>
      <c r="N409" s="272">
        <f>N413+N417+N421</f>
        <v>0</v>
      </c>
      <c r="O409" s="272">
        <f>O413+O417+O421</f>
        <v>0</v>
      </c>
      <c r="P409" s="272">
        <f>P413+P417+P421</f>
        <v>0</v>
      </c>
      <c r="Q409" s="272">
        <f>SUM(L409:P409)</f>
        <v>7730000</v>
      </c>
      <c r="R409" s="357"/>
    </row>
    <row r="410" spans="1:18" ht="12.75" customHeight="1">
      <c r="A410" s="193"/>
      <c r="B410" s="194"/>
      <c r="C410" s="294"/>
      <c r="D410" s="157" t="s">
        <v>145</v>
      </c>
      <c r="E410" s="272">
        <f aca="true" t="shared" si="87" ref="E410:K411">E414+E418+E422</f>
        <v>0</v>
      </c>
      <c r="F410" s="272">
        <f t="shared" si="87"/>
        <v>0</v>
      </c>
      <c r="G410" s="272">
        <f t="shared" si="87"/>
        <v>130000</v>
      </c>
      <c r="H410" s="272">
        <f>H414+H418+H422+H426</f>
        <v>11543500</v>
      </c>
      <c r="I410" s="272">
        <f t="shared" si="87"/>
        <v>0</v>
      </c>
      <c r="J410" s="272">
        <f t="shared" si="87"/>
        <v>0</v>
      </c>
      <c r="K410" s="272">
        <f t="shared" si="87"/>
        <v>0</v>
      </c>
      <c r="L410" s="272">
        <f>SUM(E410:K410)</f>
        <v>11673500</v>
      </c>
      <c r="M410" s="272">
        <f aca="true" t="shared" si="88" ref="M410:P411">M414+M418+M422</f>
        <v>0</v>
      </c>
      <c r="N410" s="272">
        <f t="shared" si="88"/>
        <v>0</v>
      </c>
      <c r="O410" s="272">
        <f t="shared" si="88"/>
        <v>0</v>
      </c>
      <c r="P410" s="272">
        <f t="shared" si="88"/>
        <v>0</v>
      </c>
      <c r="Q410" s="272">
        <f>SUM(L410:P410)</f>
        <v>11673500</v>
      </c>
      <c r="R410" s="357"/>
    </row>
    <row r="411" spans="1:18" ht="12.75" customHeight="1">
      <c r="A411" s="193"/>
      <c r="B411" s="194"/>
      <c r="C411" s="294"/>
      <c r="D411" s="157" t="s">
        <v>146</v>
      </c>
      <c r="E411" s="272">
        <f t="shared" si="87"/>
        <v>0</v>
      </c>
      <c r="F411" s="272">
        <f t="shared" si="87"/>
        <v>0</v>
      </c>
      <c r="G411" s="272">
        <f t="shared" si="87"/>
        <v>11501</v>
      </c>
      <c r="H411" s="272">
        <f>H415+H419+H423+H427</f>
        <v>7029209</v>
      </c>
      <c r="I411" s="272">
        <f t="shared" si="87"/>
        <v>0</v>
      </c>
      <c r="J411" s="272">
        <f t="shared" si="87"/>
        <v>0</v>
      </c>
      <c r="K411" s="272">
        <f t="shared" si="87"/>
        <v>0</v>
      </c>
      <c r="L411" s="272">
        <f>SUM(E411:K411)</f>
        <v>7040710</v>
      </c>
      <c r="M411" s="272">
        <f t="shared" si="88"/>
        <v>0</v>
      </c>
      <c r="N411" s="272">
        <f t="shared" si="88"/>
        <v>0</v>
      </c>
      <c r="O411" s="272">
        <f t="shared" si="88"/>
        <v>0</v>
      </c>
      <c r="P411" s="272">
        <f t="shared" si="88"/>
        <v>0</v>
      </c>
      <c r="Q411" s="272">
        <f>SUM(L411:P411)</f>
        <v>7040710</v>
      </c>
      <c r="R411" s="357"/>
    </row>
    <row r="412" spans="1:18" ht="11.25" customHeight="1">
      <c r="A412" s="205"/>
      <c r="B412" s="206" t="s">
        <v>3</v>
      </c>
      <c r="C412" s="207" t="s">
        <v>107</v>
      </c>
      <c r="D412" s="235" t="s">
        <v>201</v>
      </c>
      <c r="E412" s="197"/>
      <c r="F412" s="197"/>
      <c r="G412" s="208"/>
      <c r="H412" s="197"/>
      <c r="I412" s="197"/>
      <c r="J412" s="197"/>
      <c r="K412" s="197"/>
      <c r="L412" s="220"/>
      <c r="M412" s="197"/>
      <c r="N412" s="197"/>
      <c r="O412" s="197"/>
      <c r="P412" s="197"/>
      <c r="Q412" s="243"/>
      <c r="R412" s="446"/>
    </row>
    <row r="413" spans="1:18" ht="11.25" customHeight="1">
      <c r="A413" s="205"/>
      <c r="B413" s="206"/>
      <c r="C413" s="207"/>
      <c r="D413" s="157" t="s">
        <v>144</v>
      </c>
      <c r="E413" s="197"/>
      <c r="F413" s="197"/>
      <c r="G413" s="208">
        <v>130000</v>
      </c>
      <c r="H413" s="197"/>
      <c r="I413" s="197"/>
      <c r="J413" s="197"/>
      <c r="K413" s="197"/>
      <c r="L413" s="220">
        <f>SUM(E413:K413)</f>
        <v>130000</v>
      </c>
      <c r="M413" s="197"/>
      <c r="N413" s="197"/>
      <c r="O413" s="197"/>
      <c r="P413" s="197"/>
      <c r="Q413" s="243">
        <f>SUM(L413:P413)</f>
        <v>130000</v>
      </c>
      <c r="R413" s="446"/>
    </row>
    <row r="414" spans="1:18" ht="11.25" customHeight="1">
      <c r="A414" s="205"/>
      <c r="B414" s="206"/>
      <c r="C414" s="207"/>
      <c r="D414" s="157" t="s">
        <v>145</v>
      </c>
      <c r="E414" s="197"/>
      <c r="F414" s="197"/>
      <c r="G414" s="208">
        <v>130000</v>
      </c>
      <c r="H414" s="197"/>
      <c r="I414" s="197"/>
      <c r="J414" s="197"/>
      <c r="K414" s="197"/>
      <c r="L414" s="220">
        <f aca="true" t="shared" si="89" ref="L414:L423">SUM(E414:K414)</f>
        <v>130000</v>
      </c>
      <c r="M414" s="197"/>
      <c r="N414" s="197"/>
      <c r="O414" s="197"/>
      <c r="P414" s="197"/>
      <c r="Q414" s="243">
        <f aca="true" t="shared" si="90" ref="Q414:Q423">SUM(L414:P414)</f>
        <v>130000</v>
      </c>
      <c r="R414" s="446"/>
    </row>
    <row r="415" spans="1:18" ht="11.25" customHeight="1">
      <c r="A415" s="205"/>
      <c r="B415" s="206"/>
      <c r="C415" s="207"/>
      <c r="D415" s="157" t="s">
        <v>146</v>
      </c>
      <c r="E415" s="197"/>
      <c r="F415" s="197"/>
      <c r="G415" s="208">
        <v>11501</v>
      </c>
      <c r="H415" s="197"/>
      <c r="I415" s="197"/>
      <c r="J415" s="197"/>
      <c r="K415" s="197"/>
      <c r="L415" s="220">
        <f t="shared" si="89"/>
        <v>11501</v>
      </c>
      <c r="M415" s="197"/>
      <c r="N415" s="197"/>
      <c r="O415" s="197"/>
      <c r="P415" s="197"/>
      <c r="Q415" s="243">
        <f t="shared" si="90"/>
        <v>11501</v>
      </c>
      <c r="R415" s="446"/>
    </row>
    <row r="416" spans="1:18" ht="11.25" customHeight="1">
      <c r="A416" s="205"/>
      <c r="B416" s="206" t="s">
        <v>4</v>
      </c>
      <c r="C416" s="207" t="s">
        <v>106</v>
      </c>
      <c r="D416" s="235" t="s">
        <v>57</v>
      </c>
      <c r="E416" s="197"/>
      <c r="F416" s="197"/>
      <c r="G416" s="208"/>
      <c r="H416" s="197"/>
      <c r="I416" s="197"/>
      <c r="J416" s="197"/>
      <c r="K416" s="197"/>
      <c r="L416" s="220"/>
      <c r="M416" s="197"/>
      <c r="N416" s="197"/>
      <c r="O416" s="197"/>
      <c r="P416" s="197"/>
      <c r="Q416" s="243"/>
      <c r="R416" s="446"/>
    </row>
    <row r="417" spans="1:18" ht="11.25" customHeight="1">
      <c r="A417" s="205"/>
      <c r="B417" s="206"/>
      <c r="C417" s="207"/>
      <c r="D417" s="157" t="s">
        <v>144</v>
      </c>
      <c r="E417" s="197"/>
      <c r="F417" s="197"/>
      <c r="G417" s="208"/>
      <c r="H417" s="197">
        <v>600000</v>
      </c>
      <c r="I417" s="197"/>
      <c r="J417" s="197"/>
      <c r="K417" s="197"/>
      <c r="L417" s="220">
        <f t="shared" si="89"/>
        <v>600000</v>
      </c>
      <c r="M417" s="197"/>
      <c r="N417" s="197"/>
      <c r="O417" s="197"/>
      <c r="P417" s="197"/>
      <c r="Q417" s="243">
        <f t="shared" si="90"/>
        <v>600000</v>
      </c>
      <c r="R417" s="446"/>
    </row>
    <row r="418" spans="1:18" ht="11.25" customHeight="1">
      <c r="A418" s="205"/>
      <c r="B418" s="206"/>
      <c r="C418" s="207"/>
      <c r="D418" s="157" t="s">
        <v>145</v>
      </c>
      <c r="E418" s="197"/>
      <c r="F418" s="197"/>
      <c r="G418" s="208"/>
      <c r="H418" s="197">
        <v>600000</v>
      </c>
      <c r="I418" s="197"/>
      <c r="J418" s="197"/>
      <c r="K418" s="197"/>
      <c r="L418" s="220">
        <f t="shared" si="89"/>
        <v>600000</v>
      </c>
      <c r="M418" s="197"/>
      <c r="N418" s="197"/>
      <c r="O418" s="197"/>
      <c r="P418" s="197"/>
      <c r="Q418" s="243">
        <f t="shared" si="90"/>
        <v>600000</v>
      </c>
      <c r="R418" s="446"/>
    </row>
    <row r="419" spans="1:18" ht="11.25" customHeight="1">
      <c r="A419" s="205"/>
      <c r="B419" s="206"/>
      <c r="C419" s="207"/>
      <c r="D419" s="157" t="s">
        <v>146</v>
      </c>
      <c r="E419" s="197"/>
      <c r="F419" s="197"/>
      <c r="G419" s="208"/>
      <c r="H419" s="197">
        <v>311610</v>
      </c>
      <c r="I419" s="197"/>
      <c r="J419" s="197"/>
      <c r="K419" s="197"/>
      <c r="L419" s="220">
        <f t="shared" si="89"/>
        <v>311610</v>
      </c>
      <c r="M419" s="197"/>
      <c r="N419" s="197"/>
      <c r="O419" s="197"/>
      <c r="P419" s="197"/>
      <c r="Q419" s="243">
        <f t="shared" si="90"/>
        <v>311610</v>
      </c>
      <c r="R419" s="446"/>
    </row>
    <row r="420" spans="1:18" ht="11.25" customHeight="1">
      <c r="A420" s="205"/>
      <c r="B420" s="206" t="s">
        <v>5</v>
      </c>
      <c r="C420" s="207" t="s">
        <v>106</v>
      </c>
      <c r="D420" s="712" t="s">
        <v>754</v>
      </c>
      <c r="E420" s="197"/>
      <c r="F420" s="197"/>
      <c r="G420" s="208"/>
      <c r="H420" s="197"/>
      <c r="I420" s="197"/>
      <c r="J420" s="197"/>
      <c r="K420" s="197"/>
      <c r="L420" s="220"/>
      <c r="M420" s="197"/>
      <c r="N420" s="197"/>
      <c r="O420" s="197"/>
      <c r="P420" s="197"/>
      <c r="Q420" s="243"/>
      <c r="R420" s="446"/>
    </row>
    <row r="421" spans="1:18" ht="11.25" customHeight="1">
      <c r="A421" s="205"/>
      <c r="B421" s="206"/>
      <c r="C421" s="207"/>
      <c r="D421" s="157" t="s">
        <v>144</v>
      </c>
      <c r="E421" s="197"/>
      <c r="F421" s="197"/>
      <c r="G421" s="208"/>
      <c r="H421" s="197">
        <v>7000000</v>
      </c>
      <c r="I421" s="197"/>
      <c r="J421" s="197"/>
      <c r="K421" s="197"/>
      <c r="L421" s="220">
        <f t="shared" si="89"/>
        <v>7000000</v>
      </c>
      <c r="M421" s="197"/>
      <c r="N421" s="197"/>
      <c r="O421" s="197"/>
      <c r="P421" s="197"/>
      <c r="Q421" s="243">
        <f t="shared" si="90"/>
        <v>7000000</v>
      </c>
      <c r="R421" s="446"/>
    </row>
    <row r="422" spans="1:18" ht="11.25" customHeight="1">
      <c r="A422" s="205"/>
      <c r="B422" s="206"/>
      <c r="C422" s="207"/>
      <c r="D422" s="157" t="s">
        <v>145</v>
      </c>
      <c r="E422" s="197"/>
      <c r="F422" s="197"/>
      <c r="G422" s="208"/>
      <c r="H422" s="197">
        <v>7000000</v>
      </c>
      <c r="I422" s="197"/>
      <c r="J422" s="197"/>
      <c r="K422" s="197"/>
      <c r="L422" s="220">
        <f t="shared" si="89"/>
        <v>7000000</v>
      </c>
      <c r="M422" s="197"/>
      <c r="N422" s="197"/>
      <c r="O422" s="197"/>
      <c r="P422" s="197"/>
      <c r="Q422" s="243">
        <f t="shared" si="90"/>
        <v>7000000</v>
      </c>
      <c r="R422" s="446"/>
    </row>
    <row r="423" spans="1:18" ht="11.25" customHeight="1">
      <c r="A423" s="205"/>
      <c r="B423" s="206"/>
      <c r="C423" s="207"/>
      <c r="D423" s="157" t="s">
        <v>146</v>
      </c>
      <c r="E423" s="197"/>
      <c r="F423" s="197"/>
      <c r="G423" s="208"/>
      <c r="H423" s="197">
        <f>3085709-311610</f>
        <v>2774099</v>
      </c>
      <c r="I423" s="197"/>
      <c r="J423" s="197"/>
      <c r="K423" s="197"/>
      <c r="L423" s="220">
        <f t="shared" si="89"/>
        <v>2774099</v>
      </c>
      <c r="M423" s="197"/>
      <c r="N423" s="197"/>
      <c r="O423" s="197"/>
      <c r="P423" s="197"/>
      <c r="Q423" s="243">
        <f t="shared" si="90"/>
        <v>2774099</v>
      </c>
      <c r="R423" s="446"/>
    </row>
    <row r="424" spans="1:18" ht="11.25" customHeight="1">
      <c r="A424" s="193"/>
      <c r="B424" s="199" t="s">
        <v>6</v>
      </c>
      <c r="C424" s="195" t="s">
        <v>106</v>
      </c>
      <c r="D424" s="1272" t="s">
        <v>939</v>
      </c>
      <c r="E424" s="198"/>
      <c r="F424" s="198"/>
      <c r="G424" s="194"/>
      <c r="H424" s="198"/>
      <c r="I424" s="198"/>
      <c r="J424" s="198"/>
      <c r="K424" s="198"/>
      <c r="L424" s="272"/>
      <c r="M424" s="198"/>
      <c r="N424" s="198"/>
      <c r="O424" s="198"/>
      <c r="P424" s="198"/>
      <c r="Q424" s="200"/>
      <c r="R424" s="357"/>
    </row>
    <row r="425" spans="1:18" ht="11.25" customHeight="1">
      <c r="A425" s="193"/>
      <c r="B425" s="199"/>
      <c r="C425" s="195"/>
      <c r="D425" s="157" t="s">
        <v>144</v>
      </c>
      <c r="E425" s="198"/>
      <c r="F425" s="198"/>
      <c r="G425" s="194"/>
      <c r="H425" s="198">
        <v>0</v>
      </c>
      <c r="I425" s="198"/>
      <c r="J425" s="198"/>
      <c r="K425" s="198"/>
      <c r="L425" s="272">
        <v>0</v>
      </c>
      <c r="M425" s="198"/>
      <c r="N425" s="198"/>
      <c r="O425" s="198"/>
      <c r="P425" s="198"/>
      <c r="Q425" s="200">
        <v>0</v>
      </c>
      <c r="R425" s="357"/>
    </row>
    <row r="426" spans="1:18" ht="11.25" customHeight="1">
      <c r="A426" s="193"/>
      <c r="B426" s="199"/>
      <c r="C426" s="195"/>
      <c r="D426" s="157" t="s">
        <v>145</v>
      </c>
      <c r="E426" s="198"/>
      <c r="F426" s="198"/>
      <c r="G426" s="194"/>
      <c r="H426" s="198">
        <v>3943500</v>
      </c>
      <c r="I426" s="198"/>
      <c r="J426" s="198"/>
      <c r="K426" s="198"/>
      <c r="L426" s="272">
        <f>SUM(H426:K426)</f>
        <v>3943500</v>
      </c>
      <c r="M426" s="198"/>
      <c r="N426" s="198"/>
      <c r="O426" s="198"/>
      <c r="P426" s="198"/>
      <c r="Q426" s="200">
        <f>SUM(L426:P426)</f>
        <v>3943500</v>
      </c>
      <c r="R426" s="357"/>
    </row>
    <row r="427" spans="1:18" ht="11.25" customHeight="1" thickBot="1">
      <c r="A427" s="193"/>
      <c r="B427" s="199"/>
      <c r="C427" s="195"/>
      <c r="D427" s="157" t="s">
        <v>146</v>
      </c>
      <c r="E427" s="198"/>
      <c r="F427" s="198"/>
      <c r="G427" s="194"/>
      <c r="H427" s="198">
        <v>3943500</v>
      </c>
      <c r="I427" s="198"/>
      <c r="J427" s="198"/>
      <c r="K427" s="198"/>
      <c r="L427" s="272">
        <f>SUM(H427:K427)</f>
        <v>3943500</v>
      </c>
      <c r="M427" s="198"/>
      <c r="N427" s="198"/>
      <c r="O427" s="198"/>
      <c r="P427" s="198"/>
      <c r="Q427" s="200">
        <f>SUM(L427:P427)</f>
        <v>3943500</v>
      </c>
      <c r="R427" s="357"/>
    </row>
    <row r="428" spans="1:18" ht="12.75" customHeight="1">
      <c r="A428" s="263">
        <v>25</v>
      </c>
      <c r="B428" s="256"/>
      <c r="C428" s="273"/>
      <c r="D428" s="257" t="s">
        <v>79</v>
      </c>
      <c r="E428" s="282"/>
      <c r="F428" s="282"/>
      <c r="G428" s="224"/>
      <c r="H428" s="282"/>
      <c r="I428" s="282"/>
      <c r="J428" s="282"/>
      <c r="K428" s="282"/>
      <c r="L428" s="282"/>
      <c r="M428" s="282"/>
      <c r="N428" s="282"/>
      <c r="O428" s="282"/>
      <c r="P428" s="282"/>
      <c r="Q428" s="257"/>
      <c r="R428" s="459"/>
    </row>
    <row r="429" spans="1:18" ht="12.75" customHeight="1">
      <c r="A429" s="193"/>
      <c r="B429" s="199"/>
      <c r="C429" s="294"/>
      <c r="D429" s="157" t="s">
        <v>144</v>
      </c>
      <c r="E429" s="272">
        <f>E433+E437+E441+E445</f>
        <v>5300000</v>
      </c>
      <c r="F429" s="272">
        <f aca="true" t="shared" si="91" ref="F429:K429">F433+F437+F441+F445</f>
        <v>1096000</v>
      </c>
      <c r="G429" s="272">
        <f t="shared" si="91"/>
        <v>18804000</v>
      </c>
      <c r="H429" s="272">
        <f t="shared" si="91"/>
        <v>0</v>
      </c>
      <c r="I429" s="272">
        <f t="shared" si="91"/>
        <v>5900000</v>
      </c>
      <c r="J429" s="272">
        <f t="shared" si="91"/>
        <v>0</v>
      </c>
      <c r="K429" s="272">
        <f t="shared" si="91"/>
        <v>0</v>
      </c>
      <c r="L429" s="272">
        <f>SUM(E429:K429)</f>
        <v>31100000</v>
      </c>
      <c r="M429" s="272">
        <f aca="true" t="shared" si="92" ref="M429:P431">M433+M437+M441+M445</f>
        <v>0</v>
      </c>
      <c r="N429" s="272">
        <f t="shared" si="92"/>
        <v>0</v>
      </c>
      <c r="O429" s="272">
        <f t="shared" si="92"/>
        <v>0</v>
      </c>
      <c r="P429" s="272">
        <f t="shared" si="92"/>
        <v>0</v>
      </c>
      <c r="Q429" s="272">
        <f>SUM(L429:P429)</f>
        <v>31100000</v>
      </c>
      <c r="R429" s="357">
        <f>R433+R445</f>
        <v>2</v>
      </c>
    </row>
    <row r="430" spans="1:18" ht="12.75" customHeight="1">
      <c r="A430" s="193"/>
      <c r="B430" s="199"/>
      <c r="C430" s="294"/>
      <c r="D430" s="157" t="s">
        <v>145</v>
      </c>
      <c r="E430" s="272">
        <f aca="true" t="shared" si="93" ref="E430:K431">E434+E438+E442+E446</f>
        <v>5012000</v>
      </c>
      <c r="F430" s="272">
        <f t="shared" si="93"/>
        <v>1181000</v>
      </c>
      <c r="G430" s="272">
        <f t="shared" si="93"/>
        <v>19977997</v>
      </c>
      <c r="H430" s="272">
        <f t="shared" si="93"/>
        <v>0</v>
      </c>
      <c r="I430" s="272">
        <f t="shared" si="93"/>
        <v>5900000</v>
      </c>
      <c r="J430" s="272">
        <f t="shared" si="93"/>
        <v>0</v>
      </c>
      <c r="K430" s="272">
        <f t="shared" si="93"/>
        <v>0</v>
      </c>
      <c r="L430" s="272">
        <f>SUM(E430:K430)</f>
        <v>32070997</v>
      </c>
      <c r="M430" s="272">
        <f t="shared" si="92"/>
        <v>500000</v>
      </c>
      <c r="N430" s="272">
        <f t="shared" si="92"/>
        <v>0</v>
      </c>
      <c r="O430" s="272">
        <f t="shared" si="92"/>
        <v>0</v>
      </c>
      <c r="P430" s="272">
        <f t="shared" si="92"/>
        <v>0</v>
      </c>
      <c r="Q430" s="272">
        <f>SUM(L430:P430)</f>
        <v>32570997</v>
      </c>
      <c r="R430" s="357">
        <f>R434+R446</f>
        <v>2</v>
      </c>
    </row>
    <row r="431" spans="1:18" ht="12.75" customHeight="1">
      <c r="A431" s="193"/>
      <c r="B431" s="199"/>
      <c r="C431" s="294"/>
      <c r="D431" s="157" t="s">
        <v>146</v>
      </c>
      <c r="E431" s="272">
        <f t="shared" si="93"/>
        <v>5011191</v>
      </c>
      <c r="F431" s="272">
        <f t="shared" si="93"/>
        <v>1180716</v>
      </c>
      <c r="G431" s="272">
        <f>G435+G439+G443+G447</f>
        <v>18823807</v>
      </c>
      <c r="H431" s="272">
        <f t="shared" si="93"/>
        <v>0</v>
      </c>
      <c r="I431" s="272">
        <f t="shared" si="93"/>
        <v>5400000</v>
      </c>
      <c r="J431" s="272">
        <f t="shared" si="93"/>
        <v>0</v>
      </c>
      <c r="K431" s="272">
        <f t="shared" si="93"/>
        <v>0</v>
      </c>
      <c r="L431" s="272">
        <f>SUM(E431:K431)</f>
        <v>30415714</v>
      </c>
      <c r="M431" s="272">
        <f t="shared" si="92"/>
        <v>321880</v>
      </c>
      <c r="N431" s="272">
        <f t="shared" si="92"/>
        <v>0</v>
      </c>
      <c r="O431" s="272">
        <f t="shared" si="92"/>
        <v>0</v>
      </c>
      <c r="P431" s="272">
        <f t="shared" si="92"/>
        <v>0</v>
      </c>
      <c r="Q431" s="272">
        <f>SUM(L431:P431)</f>
        <v>30737594</v>
      </c>
      <c r="R431" s="357">
        <f>R435+R447</f>
        <v>3</v>
      </c>
    </row>
    <row r="432" spans="1:18" ht="15" customHeight="1">
      <c r="A432" s="205"/>
      <c r="B432" s="206" t="s">
        <v>3</v>
      </c>
      <c r="C432" s="207" t="s">
        <v>107</v>
      </c>
      <c r="D432" s="1142" t="s">
        <v>835</v>
      </c>
      <c r="E432" s="1150"/>
      <c r="F432" s="1143"/>
      <c r="G432" s="208"/>
      <c r="H432" s="197"/>
      <c r="I432" s="197"/>
      <c r="J432" s="197"/>
      <c r="K432" s="197"/>
      <c r="L432" s="272"/>
      <c r="M432" s="197"/>
      <c r="N432" s="197"/>
      <c r="O432" s="197"/>
      <c r="P432" s="197"/>
      <c r="Q432" s="200"/>
      <c r="R432" s="446"/>
    </row>
    <row r="433" spans="1:18" ht="11.25" customHeight="1">
      <c r="A433" s="205"/>
      <c r="B433" s="206"/>
      <c r="C433" s="207"/>
      <c r="D433" s="157" t="s">
        <v>144</v>
      </c>
      <c r="E433" s="197">
        <v>5300000</v>
      </c>
      <c r="F433" s="197">
        <v>1096000</v>
      </c>
      <c r="G433" s="208">
        <v>18804000</v>
      </c>
      <c r="H433" s="197"/>
      <c r="I433" s="197"/>
      <c r="J433" s="197"/>
      <c r="K433" s="197"/>
      <c r="L433" s="272">
        <f>SUM(E433:K433)</f>
        <v>25200000</v>
      </c>
      <c r="M433" s="197">
        <v>0</v>
      </c>
      <c r="N433" s="197"/>
      <c r="O433" s="197"/>
      <c r="P433" s="197"/>
      <c r="Q433" s="200">
        <f>SUM(L433:P433)</f>
        <v>25200000</v>
      </c>
      <c r="R433" s="446">
        <v>2</v>
      </c>
    </row>
    <row r="434" spans="1:18" ht="11.25" customHeight="1">
      <c r="A434" s="205"/>
      <c r="B434" s="206"/>
      <c r="C434" s="207"/>
      <c r="D434" s="157" t="s">
        <v>145</v>
      </c>
      <c r="E434" s="197">
        <v>5012000</v>
      </c>
      <c r="F434" s="197">
        <v>1181000</v>
      </c>
      <c r="G434" s="208">
        <v>19977997</v>
      </c>
      <c r="H434" s="197"/>
      <c r="I434" s="197"/>
      <c r="J434" s="197">
        <v>0</v>
      </c>
      <c r="K434" s="197"/>
      <c r="L434" s="272">
        <f aca="true" t="shared" si="94" ref="L434:L443">SUM(E434:K434)</f>
        <v>26170997</v>
      </c>
      <c r="M434" s="197">
        <v>500000</v>
      </c>
      <c r="N434" s="197"/>
      <c r="O434" s="197"/>
      <c r="P434" s="197"/>
      <c r="Q434" s="200">
        <f aca="true" t="shared" si="95" ref="Q434:Q443">SUM(L434:P434)</f>
        <v>26670997</v>
      </c>
      <c r="R434" s="446">
        <v>2</v>
      </c>
    </row>
    <row r="435" spans="1:18" ht="11.25" customHeight="1">
      <c r="A435" s="205"/>
      <c r="B435" s="206"/>
      <c r="C435" s="207"/>
      <c r="D435" s="157" t="s">
        <v>146</v>
      </c>
      <c r="E435" s="197">
        <v>5011191</v>
      </c>
      <c r="F435" s="197">
        <v>1180716</v>
      </c>
      <c r="G435" s="208">
        <f>18835308-11501</f>
        <v>18823807</v>
      </c>
      <c r="H435" s="197"/>
      <c r="I435" s="197"/>
      <c r="J435" s="197"/>
      <c r="K435" s="197"/>
      <c r="L435" s="272">
        <f>SUM(E435:K435)</f>
        <v>25015714</v>
      </c>
      <c r="M435" s="197">
        <f>153059+168821</f>
        <v>321880</v>
      </c>
      <c r="N435" s="197"/>
      <c r="O435" s="197"/>
      <c r="P435" s="197"/>
      <c r="Q435" s="200">
        <f>SUM(L435:P435)</f>
        <v>25337594</v>
      </c>
      <c r="R435" s="446">
        <v>3</v>
      </c>
    </row>
    <row r="436" spans="1:18" ht="15.75" customHeight="1">
      <c r="A436" s="205"/>
      <c r="B436" s="206" t="s">
        <v>4</v>
      </c>
      <c r="C436" s="207" t="s">
        <v>106</v>
      </c>
      <c r="D436" s="1600" t="s">
        <v>97</v>
      </c>
      <c r="E436" s="1601"/>
      <c r="F436" s="1601"/>
      <c r="G436" s="1601"/>
      <c r="H436" s="1602"/>
      <c r="I436" s="197"/>
      <c r="J436" s="197"/>
      <c r="K436" s="197"/>
      <c r="L436" s="272"/>
      <c r="M436" s="197"/>
      <c r="N436" s="208"/>
      <c r="O436" s="208"/>
      <c r="P436" s="208"/>
      <c r="Q436" s="200"/>
      <c r="R436" s="446"/>
    </row>
    <row r="437" spans="1:18" ht="12" customHeight="1">
      <c r="A437" s="205"/>
      <c r="B437" s="206"/>
      <c r="C437" s="207"/>
      <c r="D437" s="157" t="s">
        <v>144</v>
      </c>
      <c r="E437" s="197"/>
      <c r="F437" s="197"/>
      <c r="G437" s="208"/>
      <c r="H437" s="197"/>
      <c r="I437" s="197">
        <v>500000</v>
      </c>
      <c r="J437" s="197"/>
      <c r="K437" s="197"/>
      <c r="L437" s="272">
        <f t="shared" si="94"/>
        <v>500000</v>
      </c>
      <c r="M437" s="197"/>
      <c r="N437" s="208"/>
      <c r="O437" s="208"/>
      <c r="P437" s="208"/>
      <c r="Q437" s="200">
        <f t="shared" si="95"/>
        <v>500000</v>
      </c>
      <c r="R437" s="446"/>
    </row>
    <row r="438" spans="1:18" ht="12" customHeight="1">
      <c r="A438" s="205"/>
      <c r="B438" s="206"/>
      <c r="C438" s="207"/>
      <c r="D438" s="157" t="s">
        <v>145</v>
      </c>
      <c r="E438" s="197"/>
      <c r="F438" s="197"/>
      <c r="G438" s="208"/>
      <c r="H438" s="197"/>
      <c r="I438" s="197">
        <v>500000</v>
      </c>
      <c r="J438" s="197"/>
      <c r="K438" s="197"/>
      <c r="L438" s="272">
        <f t="shared" si="94"/>
        <v>500000</v>
      </c>
      <c r="M438" s="197"/>
      <c r="N438" s="208"/>
      <c r="O438" s="208"/>
      <c r="P438" s="208"/>
      <c r="Q438" s="200">
        <f t="shared" si="95"/>
        <v>500000</v>
      </c>
      <c r="R438" s="446"/>
    </row>
    <row r="439" spans="1:18" ht="12" customHeight="1">
      <c r="A439" s="205"/>
      <c r="B439" s="206"/>
      <c r="C439" s="207"/>
      <c r="D439" s="157" t="s">
        <v>146</v>
      </c>
      <c r="E439" s="197"/>
      <c r="F439" s="197"/>
      <c r="G439" s="208"/>
      <c r="H439" s="197"/>
      <c r="I439" s="197">
        <v>0</v>
      </c>
      <c r="J439" s="197"/>
      <c r="K439" s="197"/>
      <c r="L439" s="272">
        <f t="shared" si="94"/>
        <v>0</v>
      </c>
      <c r="M439" s="197"/>
      <c r="N439" s="208"/>
      <c r="O439" s="208"/>
      <c r="P439" s="208"/>
      <c r="Q439" s="200">
        <f t="shared" si="95"/>
        <v>0</v>
      </c>
      <c r="R439" s="446"/>
    </row>
    <row r="440" spans="1:18" s="1153" customFormat="1" ht="25.5" customHeight="1">
      <c r="A440" s="361"/>
      <c r="B440" s="232" t="s">
        <v>5</v>
      </c>
      <c r="C440" s="207" t="s">
        <v>106</v>
      </c>
      <c r="D440" s="1597" t="s">
        <v>756</v>
      </c>
      <c r="E440" s="1598"/>
      <c r="F440" s="1598"/>
      <c r="G440" s="1599"/>
      <c r="H440" s="232"/>
      <c r="I440" s="232"/>
      <c r="J440" s="232"/>
      <c r="K440" s="232"/>
      <c r="L440" s="1151"/>
      <c r="M440" s="232"/>
      <c r="N440" s="232"/>
      <c r="O440" s="232"/>
      <c r="P440" s="232"/>
      <c r="Q440" s="1151"/>
      <c r="R440" s="1152"/>
    </row>
    <row r="441" spans="1:18" ht="12.75" customHeight="1">
      <c r="A441" s="205"/>
      <c r="B441" s="206"/>
      <c r="C441" s="207"/>
      <c r="D441" s="157" t="s">
        <v>144</v>
      </c>
      <c r="E441" s="197"/>
      <c r="F441" s="197"/>
      <c r="G441" s="208"/>
      <c r="H441" s="197"/>
      <c r="I441" s="197">
        <v>5400000</v>
      </c>
      <c r="J441" s="197"/>
      <c r="K441" s="197"/>
      <c r="L441" s="272">
        <f t="shared" si="94"/>
        <v>5400000</v>
      </c>
      <c r="M441" s="197"/>
      <c r="N441" s="208"/>
      <c r="O441" s="208"/>
      <c r="P441" s="208"/>
      <c r="Q441" s="200">
        <f t="shared" si="95"/>
        <v>5400000</v>
      </c>
      <c r="R441" s="446"/>
    </row>
    <row r="442" spans="1:18" ht="12.75" customHeight="1">
      <c r="A442" s="205"/>
      <c r="B442" s="206"/>
      <c r="C442" s="207"/>
      <c r="D442" s="157" t="s">
        <v>145</v>
      </c>
      <c r="E442" s="197"/>
      <c r="F442" s="197"/>
      <c r="G442" s="208"/>
      <c r="H442" s="197"/>
      <c r="I442" s="197">
        <v>5400000</v>
      </c>
      <c r="J442" s="197"/>
      <c r="K442" s="197"/>
      <c r="L442" s="272">
        <f t="shared" si="94"/>
        <v>5400000</v>
      </c>
      <c r="M442" s="197"/>
      <c r="N442" s="208"/>
      <c r="O442" s="208"/>
      <c r="P442" s="208"/>
      <c r="Q442" s="200">
        <f t="shared" si="95"/>
        <v>5400000</v>
      </c>
      <c r="R442" s="446"/>
    </row>
    <row r="443" spans="1:18" ht="12.75" customHeight="1">
      <c r="A443" s="266"/>
      <c r="B443" s="209"/>
      <c r="C443" s="268"/>
      <c r="D443" s="136" t="s">
        <v>146</v>
      </c>
      <c r="E443" s="211"/>
      <c r="F443" s="211"/>
      <c r="G443" s="269"/>
      <c r="H443" s="211"/>
      <c r="I443" s="211">
        <v>5400000</v>
      </c>
      <c r="J443" s="211"/>
      <c r="K443" s="211"/>
      <c r="L443" s="222">
        <f t="shared" si="94"/>
        <v>5400000</v>
      </c>
      <c r="M443" s="211"/>
      <c r="N443" s="269"/>
      <c r="O443" s="269"/>
      <c r="P443" s="269"/>
      <c r="Q443" s="212">
        <f t="shared" si="95"/>
        <v>5400000</v>
      </c>
      <c r="R443" s="474"/>
    </row>
    <row r="444" spans="1:18" ht="14.25" customHeight="1">
      <c r="A444" s="205"/>
      <c r="B444" s="206" t="s">
        <v>6</v>
      </c>
      <c r="C444" s="207" t="s">
        <v>106</v>
      </c>
      <c r="D444" s="1586" t="s">
        <v>679</v>
      </c>
      <c r="E444" s="1587"/>
      <c r="F444" s="1587"/>
      <c r="G444" s="1588"/>
      <c r="H444" s="197"/>
      <c r="I444" s="197"/>
      <c r="J444" s="197"/>
      <c r="K444" s="197"/>
      <c r="L444" s="220"/>
      <c r="M444" s="197"/>
      <c r="N444" s="208"/>
      <c r="O444" s="208"/>
      <c r="P444" s="208"/>
      <c r="Q444" s="243"/>
      <c r="R444" s="446"/>
    </row>
    <row r="445" spans="1:18" ht="12.75" customHeight="1">
      <c r="A445" s="205"/>
      <c r="B445" s="206"/>
      <c r="C445" s="207"/>
      <c r="D445" s="157" t="s">
        <v>144</v>
      </c>
      <c r="E445" s="197"/>
      <c r="F445" s="197"/>
      <c r="G445" s="208"/>
      <c r="H445" s="197"/>
      <c r="I445" s="197"/>
      <c r="J445" s="197"/>
      <c r="K445" s="197"/>
      <c r="L445" s="220">
        <f>SUM(E445:K445)</f>
        <v>0</v>
      </c>
      <c r="M445" s="197"/>
      <c r="N445" s="208"/>
      <c r="O445" s="208"/>
      <c r="P445" s="208"/>
      <c r="Q445" s="243">
        <f>SUM(L445:P445)</f>
        <v>0</v>
      </c>
      <c r="R445" s="446"/>
    </row>
    <row r="446" spans="1:18" ht="12.75" customHeight="1">
      <c r="A446" s="205"/>
      <c r="B446" s="206"/>
      <c r="C446" s="207"/>
      <c r="D446" s="157" t="s">
        <v>145</v>
      </c>
      <c r="E446" s="197"/>
      <c r="F446" s="197"/>
      <c r="G446" s="208"/>
      <c r="H446" s="197"/>
      <c r="I446" s="197"/>
      <c r="J446" s="197"/>
      <c r="K446" s="197"/>
      <c r="L446" s="220">
        <f>SUM(E446:K446)</f>
        <v>0</v>
      </c>
      <c r="M446" s="197"/>
      <c r="N446" s="208"/>
      <c r="O446" s="208"/>
      <c r="P446" s="208"/>
      <c r="Q446" s="243">
        <f>SUM(L446:P446)</f>
        <v>0</v>
      </c>
      <c r="R446" s="446"/>
    </row>
    <row r="447" spans="1:18" ht="12.75" customHeight="1" thickBot="1">
      <c r="A447" s="244"/>
      <c r="B447" s="227"/>
      <c r="C447" s="245"/>
      <c r="D447" s="246" t="s">
        <v>146</v>
      </c>
      <c r="E447" s="247"/>
      <c r="F447" s="247"/>
      <c r="G447" s="276"/>
      <c r="H447" s="247"/>
      <c r="I447" s="247"/>
      <c r="J447" s="247"/>
      <c r="K447" s="247"/>
      <c r="L447" s="248">
        <f>SUM(E447:K447)</f>
        <v>0</v>
      </c>
      <c r="M447" s="247"/>
      <c r="N447" s="276"/>
      <c r="O447" s="276"/>
      <c r="P447" s="276"/>
      <c r="Q447" s="262">
        <f>SUM(L447:P447)</f>
        <v>0</v>
      </c>
      <c r="R447" s="448"/>
    </row>
    <row r="448" spans="1:18" ht="25.5" customHeight="1">
      <c r="A448" s="263">
        <v>26</v>
      </c>
      <c r="B448" s="256" t="s">
        <v>3</v>
      </c>
      <c r="C448" s="223" t="s">
        <v>107</v>
      </c>
      <c r="D448" s="980" t="s">
        <v>130</v>
      </c>
      <c r="E448" s="981"/>
      <c r="F448" s="981"/>
      <c r="G448" s="264"/>
      <c r="H448" s="981"/>
      <c r="I448" s="981"/>
      <c r="J448" s="981"/>
      <c r="K448" s="981"/>
      <c r="L448" s="224"/>
      <c r="M448" s="981"/>
      <c r="N448" s="264"/>
      <c r="O448" s="264"/>
      <c r="P448" s="264"/>
      <c r="Q448" s="257"/>
      <c r="R448" s="459"/>
    </row>
    <row r="449" spans="1:18" ht="13.5" customHeight="1">
      <c r="A449" s="205"/>
      <c r="B449" s="206"/>
      <c r="C449" s="207"/>
      <c r="D449" s="157" t="s">
        <v>144</v>
      </c>
      <c r="E449" s="197"/>
      <c r="F449" s="197"/>
      <c r="G449" s="208"/>
      <c r="H449" s="197"/>
      <c r="I449" s="197">
        <v>650000</v>
      </c>
      <c r="J449" s="197"/>
      <c r="K449" s="197"/>
      <c r="L449" s="220">
        <f>SUM(I449:K449)</f>
        <v>650000</v>
      </c>
      <c r="M449" s="197"/>
      <c r="N449" s="208"/>
      <c r="O449" s="208"/>
      <c r="P449" s="208"/>
      <c r="Q449" s="243">
        <f>SUM(L449:P449)</f>
        <v>650000</v>
      </c>
      <c r="R449" s="446"/>
    </row>
    <row r="450" spans="1:18" ht="13.5" customHeight="1">
      <c r="A450" s="205"/>
      <c r="B450" s="206"/>
      <c r="C450" s="207"/>
      <c r="D450" s="157" t="s">
        <v>145</v>
      </c>
      <c r="E450" s="197"/>
      <c r="F450" s="197"/>
      <c r="G450" s="208"/>
      <c r="H450" s="197"/>
      <c r="I450" s="197">
        <v>650000</v>
      </c>
      <c r="J450" s="197"/>
      <c r="K450" s="197"/>
      <c r="L450" s="220">
        <f>SUM(E450:K450)</f>
        <v>650000</v>
      </c>
      <c r="M450" s="197"/>
      <c r="N450" s="208"/>
      <c r="O450" s="208"/>
      <c r="P450" s="208"/>
      <c r="Q450" s="243">
        <f>SUM(L450:P450)</f>
        <v>650000</v>
      </c>
      <c r="R450" s="446"/>
    </row>
    <row r="451" spans="1:18" ht="13.5" customHeight="1" thickBot="1">
      <c r="A451" s="244"/>
      <c r="B451" s="227"/>
      <c r="C451" s="245"/>
      <c r="D451" s="246" t="s">
        <v>146</v>
      </c>
      <c r="E451" s="247"/>
      <c r="F451" s="247"/>
      <c r="G451" s="276"/>
      <c r="H451" s="247"/>
      <c r="I451" s="247">
        <v>650000</v>
      </c>
      <c r="J451" s="247"/>
      <c r="K451" s="247"/>
      <c r="L451" s="248">
        <f>I451</f>
        <v>650000</v>
      </c>
      <c r="M451" s="247"/>
      <c r="N451" s="276"/>
      <c r="O451" s="276"/>
      <c r="P451" s="276"/>
      <c r="Q451" s="262">
        <f>L451</f>
        <v>650000</v>
      </c>
      <c r="R451" s="448"/>
    </row>
    <row r="452" spans="1:18" s="16" customFormat="1" ht="12.75" customHeight="1">
      <c r="A452" s="263">
        <v>27</v>
      </c>
      <c r="B452" s="256">
        <v>1</v>
      </c>
      <c r="C452" s="223" t="s">
        <v>53</v>
      </c>
      <c r="D452" s="257" t="s">
        <v>0</v>
      </c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57"/>
      <c r="R452" s="459"/>
    </row>
    <row r="453" spans="1:18" s="16" customFormat="1" ht="12.75" customHeight="1">
      <c r="A453" s="205"/>
      <c r="B453" s="206"/>
      <c r="C453" s="207" t="s">
        <v>106</v>
      </c>
      <c r="D453" s="157" t="s">
        <v>144</v>
      </c>
      <c r="E453" s="220">
        <v>76320000</v>
      </c>
      <c r="F453" s="220">
        <v>8396000</v>
      </c>
      <c r="G453" s="220">
        <v>27100000</v>
      </c>
      <c r="H453" s="220"/>
      <c r="I453" s="220"/>
      <c r="J453" s="220"/>
      <c r="K453" s="220"/>
      <c r="L453" s="220">
        <f>SUM(E453:K453)</f>
        <v>111816000</v>
      </c>
      <c r="M453" s="220">
        <v>5000000</v>
      </c>
      <c r="N453" s="220"/>
      <c r="O453" s="220"/>
      <c r="P453" s="220"/>
      <c r="Q453" s="220">
        <f>SUM(L453:P453)</f>
        <v>116816000</v>
      </c>
      <c r="R453" s="446">
        <v>100</v>
      </c>
    </row>
    <row r="454" spans="1:18" s="16" customFormat="1" ht="12.75" customHeight="1">
      <c r="A454" s="205"/>
      <c r="B454" s="206"/>
      <c r="C454" s="207"/>
      <c r="D454" s="157" t="s">
        <v>145</v>
      </c>
      <c r="E454" s="220">
        <v>73820000</v>
      </c>
      <c r="F454" s="220">
        <v>8396000</v>
      </c>
      <c r="G454" s="220">
        <v>29641494</v>
      </c>
      <c r="H454" s="220"/>
      <c r="I454" s="220"/>
      <c r="J454" s="220"/>
      <c r="K454" s="220">
        <v>0</v>
      </c>
      <c r="L454" s="220">
        <f>SUM(E454:K454)</f>
        <v>111857494</v>
      </c>
      <c r="M454" s="220">
        <v>5000000</v>
      </c>
      <c r="N454" s="220"/>
      <c r="O454" s="220"/>
      <c r="P454" s="220"/>
      <c r="Q454" s="220">
        <f>SUM(L454:P454)</f>
        <v>116857494</v>
      </c>
      <c r="R454" s="446">
        <v>100</v>
      </c>
    </row>
    <row r="455" spans="1:18" s="16" customFormat="1" ht="12.75" customHeight="1">
      <c r="A455" s="266"/>
      <c r="B455" s="209"/>
      <c r="C455" s="268"/>
      <c r="D455" s="136" t="s">
        <v>146</v>
      </c>
      <c r="E455" s="270">
        <v>65211480</v>
      </c>
      <c r="F455" s="270">
        <v>7471694</v>
      </c>
      <c r="G455" s="270">
        <f>13865347+179943+15359735</f>
        <v>29405025</v>
      </c>
      <c r="H455" s="270"/>
      <c r="I455" s="270"/>
      <c r="J455" s="270"/>
      <c r="K455" s="270"/>
      <c r="L455" s="270">
        <f>SUM(E455:K455)</f>
        <v>102088199</v>
      </c>
      <c r="M455" s="270">
        <f>557930+387770</f>
        <v>945700</v>
      </c>
      <c r="N455" s="270"/>
      <c r="O455" s="270"/>
      <c r="P455" s="270"/>
      <c r="Q455" s="270">
        <f>SUM(L455:P455)</f>
        <v>103033899</v>
      </c>
      <c r="R455" s="474">
        <v>68</v>
      </c>
    </row>
    <row r="456" spans="1:18" s="16" customFormat="1" ht="12.75" customHeight="1">
      <c r="A456" s="205"/>
      <c r="B456" s="206">
        <v>2</v>
      </c>
      <c r="C456" s="207" t="s">
        <v>106</v>
      </c>
      <c r="D456" s="1268" t="s">
        <v>936</v>
      </c>
      <c r="E456" s="220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446"/>
    </row>
    <row r="457" spans="1:18" s="16" customFormat="1" ht="12.75" customHeight="1">
      <c r="A457" s="205"/>
      <c r="B457" s="206"/>
      <c r="C457" s="207"/>
      <c r="D457" s="157" t="s">
        <v>144</v>
      </c>
      <c r="E457" s="220">
        <v>0</v>
      </c>
      <c r="F457" s="220">
        <v>0</v>
      </c>
      <c r="G457" s="220">
        <v>0</v>
      </c>
      <c r="H457" s="220"/>
      <c r="I457" s="220"/>
      <c r="J457" s="220"/>
      <c r="K457" s="220"/>
      <c r="L457" s="220">
        <v>0</v>
      </c>
      <c r="M457" s="220"/>
      <c r="N457" s="220"/>
      <c r="O457" s="220"/>
      <c r="P457" s="220"/>
      <c r="Q457" s="220">
        <v>0</v>
      </c>
      <c r="R457" s="446"/>
    </row>
    <row r="458" spans="1:18" s="16" customFormat="1" ht="12.75" customHeight="1">
      <c r="A458" s="205"/>
      <c r="B458" s="206"/>
      <c r="C458" s="207"/>
      <c r="D458" s="157" t="s">
        <v>145</v>
      </c>
      <c r="E458" s="220">
        <v>1200000</v>
      </c>
      <c r="F458" s="220">
        <v>237600</v>
      </c>
      <c r="G458" s="220">
        <v>8562400</v>
      </c>
      <c r="H458" s="220"/>
      <c r="I458" s="220"/>
      <c r="J458" s="220"/>
      <c r="K458" s="220"/>
      <c r="L458" s="220">
        <f>SUM(E458:K458)</f>
        <v>10000000</v>
      </c>
      <c r="M458" s="220"/>
      <c r="N458" s="220"/>
      <c r="O458" s="220"/>
      <c r="P458" s="220"/>
      <c r="Q458" s="220">
        <f>SUM(L458:P458)</f>
        <v>10000000</v>
      </c>
      <c r="R458" s="446"/>
    </row>
    <row r="459" spans="1:18" s="16" customFormat="1" ht="12.75" customHeight="1" thickBot="1">
      <c r="A459" s="228"/>
      <c r="B459" s="201"/>
      <c r="C459" s="202"/>
      <c r="D459" s="210" t="s">
        <v>146</v>
      </c>
      <c r="E459" s="222">
        <v>942400</v>
      </c>
      <c r="F459" s="222">
        <v>162800</v>
      </c>
      <c r="G459" s="222">
        <v>2222500</v>
      </c>
      <c r="H459" s="222"/>
      <c r="I459" s="222"/>
      <c r="J459" s="222"/>
      <c r="K459" s="222"/>
      <c r="L459" s="222">
        <f>SUM(E459:K459)</f>
        <v>3327700</v>
      </c>
      <c r="M459" s="222"/>
      <c r="N459" s="222"/>
      <c r="O459" s="222"/>
      <c r="P459" s="222"/>
      <c r="Q459" s="222">
        <f>SUM(L459:P459)</f>
        <v>3327700</v>
      </c>
      <c r="R459" s="458"/>
    </row>
    <row r="460" spans="1:18" s="16" customFormat="1" ht="12.75" customHeight="1">
      <c r="A460" s="263">
        <v>28</v>
      </c>
      <c r="B460" s="256"/>
      <c r="C460" s="223"/>
      <c r="D460" s="257" t="s">
        <v>80</v>
      </c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57"/>
      <c r="R460" s="459"/>
    </row>
    <row r="461" spans="1:18" s="16" customFormat="1" ht="12.75" customHeight="1">
      <c r="A461" s="193"/>
      <c r="B461" s="199"/>
      <c r="C461" s="195"/>
      <c r="D461" s="157" t="s">
        <v>144</v>
      </c>
      <c r="E461" s="272">
        <f>E465+E469+E481+E497+E473+E477+E485+E489+E493</f>
        <v>1900000</v>
      </c>
      <c r="F461" s="272">
        <f aca="true" t="shared" si="96" ref="F461:K461">F465+F469+F481+F497+F473+F477+F485+F489+F493</f>
        <v>1256000</v>
      </c>
      <c r="G461" s="272">
        <f t="shared" si="96"/>
        <v>27225000</v>
      </c>
      <c r="H461" s="272">
        <f t="shared" si="96"/>
        <v>0</v>
      </c>
      <c r="I461" s="272">
        <f t="shared" si="96"/>
        <v>1300000</v>
      </c>
      <c r="J461" s="272">
        <f t="shared" si="96"/>
        <v>500000</v>
      </c>
      <c r="K461" s="272">
        <f t="shared" si="96"/>
        <v>0</v>
      </c>
      <c r="L461" s="272">
        <f>SUM(E461:K461)</f>
        <v>32181000</v>
      </c>
      <c r="M461" s="272">
        <f aca="true" t="shared" si="97" ref="M461:P463">M465+M469+M481+M497+M473+M477+M485+M489+M493</f>
        <v>0</v>
      </c>
      <c r="N461" s="272">
        <f t="shared" si="97"/>
        <v>0</v>
      </c>
      <c r="O461" s="272">
        <f t="shared" si="97"/>
        <v>0</v>
      </c>
      <c r="P461" s="272">
        <f t="shared" si="97"/>
        <v>0</v>
      </c>
      <c r="Q461" s="272">
        <f>SUM(L461:P461)</f>
        <v>32181000</v>
      </c>
      <c r="R461" s="357"/>
    </row>
    <row r="462" spans="1:18" s="16" customFormat="1" ht="12.75" customHeight="1">
      <c r="A462" s="193"/>
      <c r="B462" s="199"/>
      <c r="C462" s="195"/>
      <c r="D462" s="157" t="s">
        <v>145</v>
      </c>
      <c r="E462" s="272">
        <f aca="true" t="shared" si="98" ref="E462:K462">E466+E470+E482+E498+E474+E478+E486+E490+E494</f>
        <v>1533890</v>
      </c>
      <c r="F462" s="272">
        <f t="shared" si="98"/>
        <v>709110</v>
      </c>
      <c r="G462" s="272">
        <f t="shared" si="98"/>
        <v>50572479</v>
      </c>
      <c r="H462" s="272">
        <f t="shared" si="98"/>
        <v>0</v>
      </c>
      <c r="I462" s="272">
        <f t="shared" si="98"/>
        <v>21030000</v>
      </c>
      <c r="J462" s="272">
        <f t="shared" si="98"/>
        <v>0</v>
      </c>
      <c r="K462" s="272">
        <f t="shared" si="98"/>
        <v>0</v>
      </c>
      <c r="L462" s="272">
        <f>SUM(E462:K462)</f>
        <v>73845479</v>
      </c>
      <c r="M462" s="272">
        <f t="shared" si="97"/>
        <v>9099191</v>
      </c>
      <c r="N462" s="272">
        <f t="shared" si="97"/>
        <v>0</v>
      </c>
      <c r="O462" s="272">
        <f t="shared" si="97"/>
        <v>0</v>
      </c>
      <c r="P462" s="272">
        <f t="shared" si="97"/>
        <v>0</v>
      </c>
      <c r="Q462" s="272">
        <f>SUM(L462:P462)</f>
        <v>82944670</v>
      </c>
      <c r="R462" s="357"/>
    </row>
    <row r="463" spans="1:18" s="16" customFormat="1" ht="12.75" customHeight="1">
      <c r="A463" s="193"/>
      <c r="B463" s="199"/>
      <c r="C463" s="195"/>
      <c r="D463" s="155" t="s">
        <v>146</v>
      </c>
      <c r="E463" s="272">
        <f>E467+E471+E483+E499+E475+E479+E487+E491+E495</f>
        <v>24111</v>
      </c>
      <c r="F463" s="272">
        <f aca="true" t="shared" si="99" ref="F463:K463">F467+F471+F483+F499+F475+F479+F487+F491+F495</f>
        <v>10479</v>
      </c>
      <c r="G463" s="272">
        <f t="shared" si="99"/>
        <v>37814320</v>
      </c>
      <c r="H463" s="272">
        <f t="shared" si="99"/>
        <v>0</v>
      </c>
      <c r="I463" s="272">
        <f t="shared" si="99"/>
        <v>20429900</v>
      </c>
      <c r="J463" s="272">
        <f t="shared" si="99"/>
        <v>0</v>
      </c>
      <c r="K463" s="272">
        <f t="shared" si="99"/>
        <v>0</v>
      </c>
      <c r="L463" s="272">
        <f>SUM(E463:K463)</f>
        <v>58278810</v>
      </c>
      <c r="M463" s="272">
        <f t="shared" si="97"/>
        <v>0</v>
      </c>
      <c r="N463" s="272">
        <f t="shared" si="97"/>
        <v>0</v>
      </c>
      <c r="O463" s="272">
        <f t="shared" si="97"/>
        <v>0</v>
      </c>
      <c r="P463" s="272">
        <f t="shared" si="97"/>
        <v>0</v>
      </c>
      <c r="Q463" s="272">
        <f>SUM(L463:P463)</f>
        <v>58278810</v>
      </c>
      <c r="R463" s="357"/>
    </row>
    <row r="464" spans="1:18" ht="10.5" customHeight="1">
      <c r="A464" s="193"/>
      <c r="B464" s="296" t="s">
        <v>3</v>
      </c>
      <c r="C464" s="195" t="s">
        <v>107</v>
      </c>
      <c r="D464" s="208" t="s">
        <v>81</v>
      </c>
      <c r="E464" s="198"/>
      <c r="F464" s="198"/>
      <c r="G464" s="194"/>
      <c r="H464" s="194"/>
      <c r="I464" s="198"/>
      <c r="J464" s="198"/>
      <c r="K464" s="198"/>
      <c r="L464" s="220"/>
      <c r="M464" s="194"/>
      <c r="N464" s="194"/>
      <c r="O464" s="194"/>
      <c r="P464" s="194"/>
      <c r="Q464" s="243"/>
      <c r="R464" s="357"/>
    </row>
    <row r="465" spans="1:18" ht="10.5" customHeight="1">
      <c r="A465" s="193"/>
      <c r="B465" s="296"/>
      <c r="C465" s="195"/>
      <c r="D465" s="157" t="s">
        <v>144</v>
      </c>
      <c r="E465" s="198">
        <v>1200000</v>
      </c>
      <c r="F465" s="198">
        <v>793000</v>
      </c>
      <c r="G465" s="194">
        <v>12000000</v>
      </c>
      <c r="H465" s="194"/>
      <c r="I465" s="198"/>
      <c r="J465" s="198"/>
      <c r="K465" s="198"/>
      <c r="L465" s="272">
        <f>SUM(E465:K465)</f>
        <v>13993000</v>
      </c>
      <c r="M465" s="194"/>
      <c r="N465" s="194"/>
      <c r="O465" s="194"/>
      <c r="P465" s="194"/>
      <c r="Q465" s="200">
        <f>SUM(L465:P465)</f>
        <v>13993000</v>
      </c>
      <c r="R465" s="357"/>
    </row>
    <row r="466" spans="1:18" ht="10.5" customHeight="1">
      <c r="A466" s="193"/>
      <c r="B466" s="296"/>
      <c r="C466" s="195"/>
      <c r="D466" s="157" t="s">
        <v>145</v>
      </c>
      <c r="E466" s="198">
        <v>0</v>
      </c>
      <c r="F466" s="198">
        <v>0</v>
      </c>
      <c r="G466" s="194">
        <v>4000000</v>
      </c>
      <c r="H466" s="194"/>
      <c r="I466" s="198"/>
      <c r="J466" s="198"/>
      <c r="K466" s="198"/>
      <c r="L466" s="272">
        <f>SUM(E466:K466)</f>
        <v>4000000</v>
      </c>
      <c r="M466" s="194"/>
      <c r="N466" s="194"/>
      <c r="O466" s="194"/>
      <c r="P466" s="194"/>
      <c r="Q466" s="200">
        <f>SUM(L466:P466)</f>
        <v>4000000</v>
      </c>
      <c r="R466" s="357"/>
    </row>
    <row r="467" spans="1:18" ht="10.5" customHeight="1">
      <c r="A467" s="193"/>
      <c r="B467" s="296"/>
      <c r="C467" s="195"/>
      <c r="D467" s="155" t="s">
        <v>146</v>
      </c>
      <c r="E467" s="198">
        <v>0</v>
      </c>
      <c r="F467" s="198">
        <v>0</v>
      </c>
      <c r="G467" s="194">
        <v>2772208</v>
      </c>
      <c r="H467" s="194"/>
      <c r="I467" s="198"/>
      <c r="J467" s="198"/>
      <c r="K467" s="198"/>
      <c r="L467" s="272">
        <f>SUM(E467:K467)</f>
        <v>2772208</v>
      </c>
      <c r="M467" s="194"/>
      <c r="N467" s="194"/>
      <c r="O467" s="194"/>
      <c r="P467" s="194"/>
      <c r="Q467" s="200">
        <f>SUM(L467:P467)</f>
        <v>2772208</v>
      </c>
      <c r="R467" s="357"/>
    </row>
    <row r="468" spans="1:18" ht="10.5" customHeight="1">
      <c r="A468" s="193"/>
      <c r="B468" s="296" t="s">
        <v>4</v>
      </c>
      <c r="C468" s="195" t="s">
        <v>107</v>
      </c>
      <c r="D468" s="196" t="s">
        <v>132</v>
      </c>
      <c r="E468" s="198"/>
      <c r="F468" s="198"/>
      <c r="G468" s="194"/>
      <c r="H468" s="194"/>
      <c r="I468" s="198"/>
      <c r="J468" s="198"/>
      <c r="K468" s="198"/>
      <c r="L468" s="272"/>
      <c r="M468" s="194"/>
      <c r="N468" s="194"/>
      <c r="O468" s="194"/>
      <c r="P468" s="194"/>
      <c r="Q468" s="200"/>
      <c r="R468" s="357"/>
    </row>
    <row r="469" spans="1:18" ht="10.5" customHeight="1">
      <c r="A469" s="193"/>
      <c r="B469" s="296"/>
      <c r="C469" s="195"/>
      <c r="D469" s="157" t="s">
        <v>144</v>
      </c>
      <c r="E469" s="198">
        <v>700000</v>
      </c>
      <c r="F469" s="198">
        <v>463000</v>
      </c>
      <c r="G469" s="194">
        <v>13225000</v>
      </c>
      <c r="H469" s="194"/>
      <c r="I469" s="198"/>
      <c r="J469" s="198"/>
      <c r="K469" s="198"/>
      <c r="L469" s="272">
        <f>SUM(E469:K469)</f>
        <v>14388000</v>
      </c>
      <c r="M469" s="194"/>
      <c r="N469" s="194"/>
      <c r="O469" s="194"/>
      <c r="P469" s="194"/>
      <c r="Q469" s="200">
        <f>SUM(L469:P469)</f>
        <v>14388000</v>
      </c>
      <c r="R469" s="357"/>
    </row>
    <row r="470" spans="1:18" ht="10.5" customHeight="1">
      <c r="A470" s="193"/>
      <c r="B470" s="296"/>
      <c r="C470" s="195"/>
      <c r="D470" s="157" t="s">
        <v>145</v>
      </c>
      <c r="E470" s="198">
        <v>700000</v>
      </c>
      <c r="F470" s="198">
        <v>463000</v>
      </c>
      <c r="G470" s="194">
        <v>7927927</v>
      </c>
      <c r="H470" s="194"/>
      <c r="I470" s="198"/>
      <c r="J470" s="198"/>
      <c r="K470" s="198"/>
      <c r="L470" s="272">
        <f>SUM(E470:K470)</f>
        <v>9090927</v>
      </c>
      <c r="M470" s="194"/>
      <c r="N470" s="194"/>
      <c r="O470" s="194"/>
      <c r="P470" s="194"/>
      <c r="Q470" s="200">
        <f>SUM(L470:P470)</f>
        <v>9090927</v>
      </c>
      <c r="R470" s="357"/>
    </row>
    <row r="471" spans="1:18" ht="10.5" customHeight="1">
      <c r="A471" s="193"/>
      <c r="B471" s="296"/>
      <c r="C471" s="195"/>
      <c r="D471" s="155" t="s">
        <v>146</v>
      </c>
      <c r="E471" s="198">
        <v>24111</v>
      </c>
      <c r="F471" s="198">
        <v>10479</v>
      </c>
      <c r="G471" s="194">
        <v>5427589</v>
      </c>
      <c r="H471" s="194"/>
      <c r="I471" s="198"/>
      <c r="J471" s="198"/>
      <c r="K471" s="198"/>
      <c r="L471" s="272">
        <f>SUM(E471:K471)</f>
        <v>5462179</v>
      </c>
      <c r="M471" s="194"/>
      <c r="N471" s="194"/>
      <c r="O471" s="194"/>
      <c r="P471" s="194"/>
      <c r="Q471" s="200">
        <f>SUM(L471:P471)</f>
        <v>5462179</v>
      </c>
      <c r="R471" s="357"/>
    </row>
    <row r="472" spans="1:18" ht="10.5" customHeight="1">
      <c r="A472" s="193"/>
      <c r="B472" s="296" t="s">
        <v>5</v>
      </c>
      <c r="C472" s="195" t="s">
        <v>107</v>
      </c>
      <c r="D472" s="196" t="s">
        <v>134</v>
      </c>
      <c r="E472" s="198"/>
      <c r="F472" s="198"/>
      <c r="G472" s="194"/>
      <c r="H472" s="194"/>
      <c r="I472" s="198"/>
      <c r="J472" s="198"/>
      <c r="K472" s="198"/>
      <c r="L472" s="272"/>
      <c r="M472" s="194"/>
      <c r="N472" s="194"/>
      <c r="O472" s="194"/>
      <c r="P472" s="194"/>
      <c r="Q472" s="200"/>
      <c r="R472" s="357"/>
    </row>
    <row r="473" spans="1:18" ht="10.5" customHeight="1">
      <c r="A473" s="193"/>
      <c r="B473" s="296"/>
      <c r="C473" s="195"/>
      <c r="D473" s="157" t="s">
        <v>144</v>
      </c>
      <c r="E473" s="198"/>
      <c r="F473" s="198"/>
      <c r="G473" s="194">
        <v>2000000</v>
      </c>
      <c r="H473" s="194"/>
      <c r="I473" s="198"/>
      <c r="J473" s="198"/>
      <c r="K473" s="198"/>
      <c r="L473" s="272">
        <f>SUM(E473:K473)</f>
        <v>2000000</v>
      </c>
      <c r="M473" s="194"/>
      <c r="N473" s="194"/>
      <c r="O473" s="194"/>
      <c r="P473" s="194"/>
      <c r="Q473" s="200">
        <f aca="true" t="shared" si="100" ref="Q473:Q479">SUM(L473:P473)</f>
        <v>2000000</v>
      </c>
      <c r="R473" s="357"/>
    </row>
    <row r="474" spans="1:18" ht="10.5" customHeight="1">
      <c r="A474" s="193"/>
      <c r="B474" s="296"/>
      <c r="C474" s="195"/>
      <c r="D474" s="157" t="s">
        <v>145</v>
      </c>
      <c r="E474" s="198"/>
      <c r="F474" s="198"/>
      <c r="G474" s="194">
        <v>2000000</v>
      </c>
      <c r="H474" s="194"/>
      <c r="I474" s="198"/>
      <c r="J474" s="198"/>
      <c r="K474" s="198"/>
      <c r="L474" s="272">
        <f>SUM(E474:K474)</f>
        <v>2000000</v>
      </c>
      <c r="M474" s="194"/>
      <c r="N474" s="194"/>
      <c r="O474" s="194"/>
      <c r="P474" s="194"/>
      <c r="Q474" s="200">
        <f t="shared" si="100"/>
        <v>2000000</v>
      </c>
      <c r="R474" s="357"/>
    </row>
    <row r="475" spans="1:18" ht="10.5" customHeight="1">
      <c r="A475" s="193"/>
      <c r="B475" s="296"/>
      <c r="C475" s="195"/>
      <c r="D475" s="155" t="s">
        <v>146</v>
      </c>
      <c r="E475" s="198"/>
      <c r="F475" s="198"/>
      <c r="G475" s="194">
        <v>744910</v>
      </c>
      <c r="H475" s="194"/>
      <c r="I475" s="198"/>
      <c r="J475" s="198"/>
      <c r="K475" s="198"/>
      <c r="L475" s="272">
        <f>SUM(E475:K475)</f>
        <v>744910</v>
      </c>
      <c r="M475" s="194"/>
      <c r="N475" s="194"/>
      <c r="O475" s="194"/>
      <c r="P475" s="194"/>
      <c r="Q475" s="200">
        <f t="shared" si="100"/>
        <v>744910</v>
      </c>
      <c r="R475" s="357"/>
    </row>
    <row r="476" spans="1:18" ht="10.5" customHeight="1">
      <c r="A476" s="193"/>
      <c r="B476" s="296" t="s">
        <v>6</v>
      </c>
      <c r="C476" s="195" t="s">
        <v>107</v>
      </c>
      <c r="D476" s="196" t="s">
        <v>178</v>
      </c>
      <c r="E476" s="198"/>
      <c r="F476" s="198"/>
      <c r="G476" s="194"/>
      <c r="H476" s="194"/>
      <c r="I476" s="198"/>
      <c r="J476" s="198"/>
      <c r="K476" s="198"/>
      <c r="L476" s="272"/>
      <c r="M476" s="194"/>
      <c r="N476" s="194"/>
      <c r="O476" s="194"/>
      <c r="P476" s="194"/>
      <c r="Q476" s="200"/>
      <c r="R476" s="357"/>
    </row>
    <row r="477" spans="1:18" ht="10.5" customHeight="1">
      <c r="A477" s="193"/>
      <c r="B477" s="296"/>
      <c r="C477" s="195"/>
      <c r="D477" s="157" t="s">
        <v>144</v>
      </c>
      <c r="E477" s="198"/>
      <c r="F477" s="198"/>
      <c r="G477" s="194"/>
      <c r="H477" s="194"/>
      <c r="I477" s="198">
        <v>800000</v>
      </c>
      <c r="J477" s="198"/>
      <c r="K477" s="198"/>
      <c r="L477" s="272">
        <f>SUM(E477:K477)</f>
        <v>800000</v>
      </c>
      <c r="M477" s="194"/>
      <c r="N477" s="194"/>
      <c r="O477" s="194"/>
      <c r="P477" s="194"/>
      <c r="Q477" s="200">
        <f t="shared" si="100"/>
        <v>800000</v>
      </c>
      <c r="R477" s="357"/>
    </row>
    <row r="478" spans="1:18" ht="10.5" customHeight="1">
      <c r="A478" s="193"/>
      <c r="B478" s="296"/>
      <c r="C478" s="195"/>
      <c r="D478" s="157" t="s">
        <v>145</v>
      </c>
      <c r="E478" s="198"/>
      <c r="F478" s="198"/>
      <c r="G478" s="194"/>
      <c r="H478" s="194"/>
      <c r="I478" s="198">
        <v>800000</v>
      </c>
      <c r="J478" s="198"/>
      <c r="K478" s="198"/>
      <c r="L478" s="272">
        <f>SUM(E478:K478)</f>
        <v>800000</v>
      </c>
      <c r="M478" s="194"/>
      <c r="N478" s="194"/>
      <c r="O478" s="194"/>
      <c r="P478" s="194"/>
      <c r="Q478" s="200">
        <f t="shared" si="100"/>
        <v>800000</v>
      </c>
      <c r="R478" s="357"/>
    </row>
    <row r="479" spans="1:18" ht="10.5" customHeight="1">
      <c r="A479" s="193"/>
      <c r="B479" s="296"/>
      <c r="C479" s="195"/>
      <c r="D479" s="155" t="s">
        <v>146</v>
      </c>
      <c r="E479" s="198"/>
      <c r="F479" s="198"/>
      <c r="G479" s="194"/>
      <c r="H479" s="194"/>
      <c r="I479" s="198">
        <v>200000</v>
      </c>
      <c r="J479" s="198"/>
      <c r="K479" s="198"/>
      <c r="L479" s="272">
        <f>SUM(E479:K479)</f>
        <v>200000</v>
      </c>
      <c r="M479" s="194"/>
      <c r="N479" s="194"/>
      <c r="O479" s="194"/>
      <c r="P479" s="194"/>
      <c r="Q479" s="200">
        <f t="shared" si="100"/>
        <v>200000</v>
      </c>
      <c r="R479" s="357"/>
    </row>
    <row r="480" spans="1:18" ht="10.5" customHeight="1">
      <c r="A480" s="193"/>
      <c r="B480" s="296" t="s">
        <v>7</v>
      </c>
      <c r="C480" s="195" t="s">
        <v>107</v>
      </c>
      <c r="D480" s="1589" t="s">
        <v>129</v>
      </c>
      <c r="E480" s="1590"/>
      <c r="F480" s="1591"/>
      <c r="G480" s="194"/>
      <c r="H480" s="194"/>
      <c r="I480" s="198"/>
      <c r="J480" s="198"/>
      <c r="K480" s="198"/>
      <c r="L480" s="272"/>
      <c r="M480" s="194"/>
      <c r="N480" s="194"/>
      <c r="O480" s="194"/>
      <c r="P480" s="194"/>
      <c r="Q480" s="200"/>
      <c r="R480" s="357"/>
    </row>
    <row r="481" spans="1:18" ht="10.5" customHeight="1">
      <c r="A481" s="193"/>
      <c r="B481" s="296"/>
      <c r="C481" s="195"/>
      <c r="D481" s="157" t="s">
        <v>144</v>
      </c>
      <c r="E481" s="198"/>
      <c r="F481" s="198"/>
      <c r="G481" s="194"/>
      <c r="H481" s="194"/>
      <c r="I481" s="198">
        <v>500000</v>
      </c>
      <c r="J481" s="198"/>
      <c r="K481" s="198"/>
      <c r="L481" s="272">
        <f>SUM(E481:K481)</f>
        <v>500000</v>
      </c>
      <c r="M481" s="194"/>
      <c r="N481" s="194"/>
      <c r="O481" s="194"/>
      <c r="P481" s="194"/>
      <c r="Q481" s="200">
        <f>SUM(L481:P481)</f>
        <v>500000</v>
      </c>
      <c r="R481" s="357"/>
    </row>
    <row r="482" spans="1:18" ht="10.5" customHeight="1">
      <c r="A482" s="193"/>
      <c r="B482" s="296"/>
      <c r="C482" s="195"/>
      <c r="D482" s="157" t="s">
        <v>145</v>
      </c>
      <c r="E482" s="198"/>
      <c r="F482" s="198"/>
      <c r="G482" s="194"/>
      <c r="H482" s="194"/>
      <c r="I482" s="198">
        <v>500000</v>
      </c>
      <c r="J482" s="198"/>
      <c r="K482" s="198"/>
      <c r="L482" s="272">
        <f>SUM(E482:K482)</f>
        <v>500000</v>
      </c>
      <c r="M482" s="194"/>
      <c r="N482" s="194"/>
      <c r="O482" s="194"/>
      <c r="P482" s="194"/>
      <c r="Q482" s="200">
        <f>SUM(L482:P482)</f>
        <v>500000</v>
      </c>
      <c r="R482" s="357"/>
    </row>
    <row r="483" spans="1:18" ht="10.5" customHeight="1">
      <c r="A483" s="193"/>
      <c r="B483" s="296"/>
      <c r="C483" s="195"/>
      <c r="D483" s="155" t="s">
        <v>146</v>
      </c>
      <c r="E483" s="198"/>
      <c r="F483" s="198"/>
      <c r="G483" s="194"/>
      <c r="H483" s="194"/>
      <c r="I483" s="198">
        <v>500000</v>
      </c>
      <c r="J483" s="198"/>
      <c r="K483" s="198"/>
      <c r="L483" s="272">
        <f>SUM(E483:K483)</f>
        <v>500000</v>
      </c>
      <c r="M483" s="194"/>
      <c r="N483" s="194"/>
      <c r="O483" s="194"/>
      <c r="P483" s="194"/>
      <c r="Q483" s="200">
        <f>SUM(L483:P483)</f>
        <v>500000</v>
      </c>
      <c r="R483" s="357"/>
    </row>
    <row r="484" spans="1:18" ht="16.5" customHeight="1">
      <c r="A484" s="193"/>
      <c r="B484" s="296" t="s">
        <v>8</v>
      </c>
      <c r="C484" s="195" t="s">
        <v>107</v>
      </c>
      <c r="D484" s="1589" t="s">
        <v>934</v>
      </c>
      <c r="E484" s="1590"/>
      <c r="F484" s="1591"/>
      <c r="G484" s="194"/>
      <c r="H484" s="194"/>
      <c r="I484" s="198"/>
      <c r="J484" s="198"/>
      <c r="K484" s="198"/>
      <c r="L484" s="272"/>
      <c r="M484" s="194"/>
      <c r="N484" s="194"/>
      <c r="O484" s="194"/>
      <c r="P484" s="194"/>
      <c r="Q484" s="200"/>
      <c r="R484" s="357"/>
    </row>
    <row r="485" spans="1:18" ht="12" customHeight="1">
      <c r="A485" s="193"/>
      <c r="B485" s="296"/>
      <c r="C485" s="195"/>
      <c r="D485" s="157" t="s">
        <v>144</v>
      </c>
      <c r="E485" s="251"/>
      <c r="F485" s="1267"/>
      <c r="G485" s="194">
        <v>0</v>
      </c>
      <c r="H485" s="194"/>
      <c r="I485" s="198">
        <v>0</v>
      </c>
      <c r="J485" s="198">
        <v>500000</v>
      </c>
      <c r="K485" s="198"/>
      <c r="L485" s="272">
        <f>SUM(E485:K485)</f>
        <v>500000</v>
      </c>
      <c r="M485" s="194"/>
      <c r="N485" s="194"/>
      <c r="O485" s="194"/>
      <c r="P485" s="194"/>
      <c r="Q485" s="200">
        <f>SUM(L485:P485)</f>
        <v>500000</v>
      </c>
      <c r="R485" s="357"/>
    </row>
    <row r="486" spans="1:18" ht="12" customHeight="1">
      <c r="A486" s="193"/>
      <c r="B486" s="296"/>
      <c r="C486" s="195"/>
      <c r="D486" s="157" t="s">
        <v>145</v>
      </c>
      <c r="E486" s="251"/>
      <c r="F486" s="1267"/>
      <c r="G486" s="194">
        <v>28575000</v>
      </c>
      <c r="H486" s="194"/>
      <c r="I486" s="198">
        <v>500000</v>
      </c>
      <c r="J486" s="198">
        <v>0</v>
      </c>
      <c r="K486" s="198"/>
      <c r="L486" s="272">
        <f>SUM(E486:K486)</f>
        <v>29075000</v>
      </c>
      <c r="M486" s="194"/>
      <c r="N486" s="194"/>
      <c r="O486" s="194"/>
      <c r="P486" s="194"/>
      <c r="Q486" s="200">
        <f aca="true" t="shared" si="101" ref="Q486:Q495">SUM(L486:P486)</f>
        <v>29075000</v>
      </c>
      <c r="R486" s="357"/>
    </row>
    <row r="487" spans="1:18" ht="12" customHeight="1">
      <c r="A487" s="193"/>
      <c r="B487" s="296"/>
      <c r="C487" s="195"/>
      <c r="D487" s="155" t="s">
        <v>146</v>
      </c>
      <c r="E487" s="251"/>
      <c r="F487" s="1267"/>
      <c r="G487" s="194">
        <v>24492858</v>
      </c>
      <c r="H487" s="194"/>
      <c r="I487" s="198">
        <v>499900</v>
      </c>
      <c r="J487" s="198">
        <v>0</v>
      </c>
      <c r="K487" s="198"/>
      <c r="L487" s="272">
        <f>SUM(E487:K487)</f>
        <v>24992758</v>
      </c>
      <c r="M487" s="194"/>
      <c r="N487" s="194"/>
      <c r="O487" s="194"/>
      <c r="P487" s="194"/>
      <c r="Q487" s="200">
        <f t="shared" si="101"/>
        <v>24992758</v>
      </c>
      <c r="R487" s="357"/>
    </row>
    <row r="488" spans="1:18" ht="23.25" customHeight="1">
      <c r="A488" s="193"/>
      <c r="B488" s="296" t="s">
        <v>9</v>
      </c>
      <c r="C488" s="195" t="s">
        <v>107</v>
      </c>
      <c r="D488" s="1600" t="s">
        <v>940</v>
      </c>
      <c r="E488" s="1601"/>
      <c r="F488" s="1602"/>
      <c r="G488" s="194"/>
      <c r="H488" s="194"/>
      <c r="I488" s="198"/>
      <c r="J488" s="198"/>
      <c r="K488" s="198"/>
      <c r="L488" s="272"/>
      <c r="M488" s="194"/>
      <c r="N488" s="194"/>
      <c r="O488" s="194"/>
      <c r="P488" s="194"/>
      <c r="Q488" s="200"/>
      <c r="R488" s="357"/>
    </row>
    <row r="489" spans="1:18" ht="12" customHeight="1">
      <c r="A489" s="193"/>
      <c r="B489" s="296"/>
      <c r="C489" s="195"/>
      <c r="D489" s="157" t="s">
        <v>144</v>
      </c>
      <c r="E489" s="1334">
        <v>0</v>
      </c>
      <c r="F489" s="1335">
        <v>0</v>
      </c>
      <c r="G489" s="198">
        <v>0</v>
      </c>
      <c r="H489" s="198"/>
      <c r="I489" s="198">
        <v>0</v>
      </c>
      <c r="J489" s="198"/>
      <c r="K489" s="198"/>
      <c r="L489" s="272">
        <f>SUM(E489:L489)</f>
        <v>0</v>
      </c>
      <c r="M489" s="194"/>
      <c r="N489" s="194"/>
      <c r="O489" s="194"/>
      <c r="P489" s="194"/>
      <c r="Q489" s="200">
        <f t="shared" si="101"/>
        <v>0</v>
      </c>
      <c r="R489" s="357"/>
    </row>
    <row r="490" spans="1:18" ht="12" customHeight="1">
      <c r="A490" s="193"/>
      <c r="B490" s="296"/>
      <c r="C490" s="195"/>
      <c r="D490" s="157" t="s">
        <v>145</v>
      </c>
      <c r="E490" s="1150">
        <v>500000</v>
      </c>
      <c r="F490" s="1273">
        <v>180000</v>
      </c>
      <c r="G490" s="194">
        <v>4379600</v>
      </c>
      <c r="H490" s="194"/>
      <c r="I490" s="194">
        <v>19230000</v>
      </c>
      <c r="J490" s="194"/>
      <c r="K490" s="194"/>
      <c r="L490" s="272">
        <f>SUM(E490:K490)</f>
        <v>24289600</v>
      </c>
      <c r="M490" s="194"/>
      <c r="N490" s="194"/>
      <c r="O490" s="194"/>
      <c r="P490" s="194"/>
      <c r="Q490" s="200">
        <f t="shared" si="101"/>
        <v>24289600</v>
      </c>
      <c r="R490" s="357"/>
    </row>
    <row r="491" spans="1:18" ht="12" customHeight="1">
      <c r="A491" s="193"/>
      <c r="B491" s="296"/>
      <c r="C491" s="195"/>
      <c r="D491" s="155" t="s">
        <v>146</v>
      </c>
      <c r="E491" s="1334">
        <v>0</v>
      </c>
      <c r="F491" s="1335">
        <v>0</v>
      </c>
      <c r="G491" s="198">
        <f>4576755-200000</f>
        <v>4376755</v>
      </c>
      <c r="H491" s="198"/>
      <c r="I491" s="198">
        <v>19230000</v>
      </c>
      <c r="J491" s="198"/>
      <c r="K491" s="198"/>
      <c r="L491" s="272">
        <f>SUM(E491:L491)</f>
        <v>0</v>
      </c>
      <c r="M491" s="194"/>
      <c r="N491" s="194"/>
      <c r="O491" s="194"/>
      <c r="P491" s="194"/>
      <c r="Q491" s="200">
        <f t="shared" si="101"/>
        <v>0</v>
      </c>
      <c r="R491" s="357"/>
    </row>
    <row r="492" spans="1:18" ht="25.5" customHeight="1">
      <c r="A492" s="193"/>
      <c r="B492" s="296" t="s">
        <v>10</v>
      </c>
      <c r="C492" s="195" t="s">
        <v>107</v>
      </c>
      <c r="D492" s="1600" t="s">
        <v>891</v>
      </c>
      <c r="E492" s="1601"/>
      <c r="F492" s="1602"/>
      <c r="G492" s="194"/>
      <c r="H492" s="194"/>
      <c r="I492" s="198"/>
      <c r="J492" s="198"/>
      <c r="K492" s="198"/>
      <c r="L492" s="272"/>
      <c r="M492" s="194"/>
      <c r="N492" s="194"/>
      <c r="O492" s="194"/>
      <c r="P492" s="194"/>
      <c r="Q492" s="200"/>
      <c r="R492" s="357"/>
    </row>
    <row r="493" spans="1:18" ht="12" customHeight="1">
      <c r="A493" s="193"/>
      <c r="B493" s="296"/>
      <c r="C493" s="195"/>
      <c r="D493" s="157" t="s">
        <v>144</v>
      </c>
      <c r="E493" s="1334">
        <v>0</v>
      </c>
      <c r="F493" s="1335">
        <v>0</v>
      </c>
      <c r="G493" s="198">
        <v>0</v>
      </c>
      <c r="H493" s="194"/>
      <c r="I493" s="198"/>
      <c r="J493" s="198"/>
      <c r="K493" s="198"/>
      <c r="L493" s="272">
        <f>SUM(E493:L493)</f>
        <v>0</v>
      </c>
      <c r="M493" s="194">
        <v>0</v>
      </c>
      <c r="N493" s="194"/>
      <c r="O493" s="194"/>
      <c r="P493" s="194"/>
      <c r="Q493" s="200">
        <f t="shared" si="101"/>
        <v>0</v>
      </c>
      <c r="R493" s="357"/>
    </row>
    <row r="494" spans="1:18" ht="12" customHeight="1">
      <c r="A494" s="193"/>
      <c r="B494" s="296"/>
      <c r="C494" s="195"/>
      <c r="D494" s="157" t="s">
        <v>145</v>
      </c>
      <c r="E494" s="1150">
        <v>333890</v>
      </c>
      <c r="F494" s="1273">
        <v>66110</v>
      </c>
      <c r="G494" s="194">
        <v>2107000</v>
      </c>
      <c r="H494" s="194"/>
      <c r="I494" s="194"/>
      <c r="J494" s="194"/>
      <c r="K494" s="194"/>
      <c r="L494" s="272">
        <f>SUM(E494:K494)</f>
        <v>2507000</v>
      </c>
      <c r="M494" s="194">
        <v>7493000</v>
      </c>
      <c r="N494" s="194"/>
      <c r="O494" s="194"/>
      <c r="P494" s="194"/>
      <c r="Q494" s="200">
        <f t="shared" si="101"/>
        <v>10000000</v>
      </c>
      <c r="R494" s="357"/>
    </row>
    <row r="495" spans="1:18" ht="12" customHeight="1">
      <c r="A495" s="193"/>
      <c r="B495" s="296"/>
      <c r="C495" s="195"/>
      <c r="D495" s="155" t="s">
        <v>146</v>
      </c>
      <c r="E495" s="1150">
        <v>0</v>
      </c>
      <c r="F495" s="1273">
        <v>0</v>
      </c>
      <c r="G495" s="194">
        <v>0</v>
      </c>
      <c r="H495" s="194"/>
      <c r="I495" s="194"/>
      <c r="J495" s="194"/>
      <c r="K495" s="194"/>
      <c r="L495" s="272">
        <f>SUM(E495:L495)</f>
        <v>0</v>
      </c>
      <c r="M495" s="194">
        <v>0</v>
      </c>
      <c r="N495" s="194"/>
      <c r="O495" s="194"/>
      <c r="P495" s="194"/>
      <c r="Q495" s="200">
        <f t="shared" si="101"/>
        <v>0</v>
      </c>
      <c r="R495" s="357"/>
    </row>
    <row r="496" spans="1:18" ht="12" customHeight="1">
      <c r="A496" s="193"/>
      <c r="B496" s="296" t="s">
        <v>11</v>
      </c>
      <c r="C496" s="195" t="s">
        <v>107</v>
      </c>
      <c r="D496" s="1266" t="s">
        <v>892</v>
      </c>
      <c r="E496" s="251"/>
      <c r="F496" s="1267"/>
      <c r="G496" s="194"/>
      <c r="H496" s="194"/>
      <c r="I496" s="198"/>
      <c r="J496" s="198"/>
      <c r="K496" s="198"/>
      <c r="L496" s="272"/>
      <c r="M496" s="194"/>
      <c r="N496" s="194"/>
      <c r="O496" s="194"/>
      <c r="P496" s="194"/>
      <c r="Q496" s="200"/>
      <c r="R496" s="357"/>
    </row>
    <row r="497" spans="1:18" ht="12" customHeight="1">
      <c r="A497" s="193"/>
      <c r="B497" s="296"/>
      <c r="C497" s="195"/>
      <c r="D497" s="157" t="s">
        <v>144</v>
      </c>
      <c r="E497" s="198"/>
      <c r="F497" s="198"/>
      <c r="G497" s="198">
        <v>0</v>
      </c>
      <c r="H497" s="198"/>
      <c r="I497" s="198"/>
      <c r="J497" s="198"/>
      <c r="K497" s="198"/>
      <c r="L497" s="272">
        <f>SUM(E497:K497)</f>
        <v>0</v>
      </c>
      <c r="M497" s="194">
        <v>0</v>
      </c>
      <c r="N497" s="194"/>
      <c r="O497" s="194"/>
      <c r="P497" s="194"/>
      <c r="Q497" s="200">
        <f>SUM(L497:P497)</f>
        <v>0</v>
      </c>
      <c r="R497" s="357"/>
    </row>
    <row r="498" spans="1:18" ht="12" customHeight="1">
      <c r="A498" s="193"/>
      <c r="B498" s="296"/>
      <c r="C498" s="195"/>
      <c r="D498" s="157" t="s">
        <v>145</v>
      </c>
      <c r="E498" s="198"/>
      <c r="F498" s="198"/>
      <c r="G498" s="198">
        <v>1582952</v>
      </c>
      <c r="H498" s="198"/>
      <c r="I498" s="198"/>
      <c r="J498" s="198"/>
      <c r="K498" s="198"/>
      <c r="L498" s="272">
        <f>SUM(E498:K498)</f>
        <v>1582952</v>
      </c>
      <c r="M498" s="194">
        <v>1606191</v>
      </c>
      <c r="N498" s="194"/>
      <c r="O498" s="194"/>
      <c r="P498" s="194"/>
      <c r="Q498" s="200">
        <f>SUM(L498:P498)</f>
        <v>3189143</v>
      </c>
      <c r="R498" s="357"/>
    </row>
    <row r="499" spans="1:18" ht="12" customHeight="1" thickBot="1">
      <c r="A499" s="193"/>
      <c r="B499" s="296"/>
      <c r="C499" s="195"/>
      <c r="D499" s="155" t="s">
        <v>146</v>
      </c>
      <c r="E499" s="198"/>
      <c r="F499" s="198"/>
      <c r="G499" s="198">
        <v>0</v>
      </c>
      <c r="H499" s="198"/>
      <c r="I499" s="198"/>
      <c r="J499" s="198"/>
      <c r="K499" s="198"/>
      <c r="L499" s="272">
        <f>SUM(E499:K499)</f>
        <v>0</v>
      </c>
      <c r="M499" s="194">
        <v>0</v>
      </c>
      <c r="N499" s="194"/>
      <c r="O499" s="194"/>
      <c r="P499" s="194"/>
      <c r="Q499" s="200">
        <f>SUM(L499:P499)</f>
        <v>0</v>
      </c>
      <c r="R499" s="357"/>
    </row>
    <row r="500" spans="1:18" s="16" customFormat="1" ht="12.75" customHeight="1">
      <c r="A500" s="263">
        <v>29</v>
      </c>
      <c r="B500" s="256"/>
      <c r="C500" s="273"/>
      <c r="D500" s="257" t="s">
        <v>82</v>
      </c>
      <c r="E500" s="282"/>
      <c r="F500" s="282"/>
      <c r="G500" s="224"/>
      <c r="H500" s="282"/>
      <c r="I500" s="282"/>
      <c r="J500" s="282"/>
      <c r="K500" s="282"/>
      <c r="L500" s="282"/>
      <c r="M500" s="282"/>
      <c r="N500" s="282"/>
      <c r="O500" s="282"/>
      <c r="P500" s="282"/>
      <c r="Q500" s="257"/>
      <c r="R500" s="459"/>
    </row>
    <row r="501" spans="1:18" s="16" customFormat="1" ht="12.75" customHeight="1">
      <c r="A501" s="193"/>
      <c r="B501" s="199"/>
      <c r="C501" s="294"/>
      <c r="D501" s="368" t="s">
        <v>144</v>
      </c>
      <c r="E501" s="272">
        <f>E505+E509</f>
        <v>0</v>
      </c>
      <c r="F501" s="272">
        <f aca="true" t="shared" si="102" ref="F501:K501">F505+F509</f>
        <v>0</v>
      </c>
      <c r="G501" s="272">
        <f t="shared" si="102"/>
        <v>46391000</v>
      </c>
      <c r="H501" s="272">
        <f t="shared" si="102"/>
        <v>0</v>
      </c>
      <c r="I501" s="272">
        <f t="shared" si="102"/>
        <v>0</v>
      </c>
      <c r="J501" s="272">
        <f t="shared" si="102"/>
        <v>0</v>
      </c>
      <c r="K501" s="272">
        <f t="shared" si="102"/>
        <v>0</v>
      </c>
      <c r="L501" s="272">
        <f>SUM(E501:K501)</f>
        <v>46391000</v>
      </c>
      <c r="M501" s="272">
        <f aca="true" t="shared" si="103" ref="M501:P503">M505+M509</f>
        <v>14789350</v>
      </c>
      <c r="N501" s="272">
        <f t="shared" si="103"/>
        <v>0</v>
      </c>
      <c r="O501" s="272">
        <f t="shared" si="103"/>
        <v>0</v>
      </c>
      <c r="P501" s="272">
        <f t="shared" si="103"/>
        <v>0</v>
      </c>
      <c r="Q501" s="272">
        <f>SUM(L501:P501)</f>
        <v>61180350</v>
      </c>
      <c r="R501" s="357"/>
    </row>
    <row r="502" spans="1:18" s="16" customFormat="1" ht="12.75" customHeight="1">
      <c r="A502" s="193"/>
      <c r="B502" s="199"/>
      <c r="C502" s="294"/>
      <c r="D502" s="368" t="s">
        <v>145</v>
      </c>
      <c r="E502" s="272">
        <f>E506+E510</f>
        <v>0</v>
      </c>
      <c r="F502" s="272">
        <f aca="true" t="shared" si="104" ref="F502:K503">F506+F510</f>
        <v>0</v>
      </c>
      <c r="G502" s="272">
        <f t="shared" si="104"/>
        <v>52121000</v>
      </c>
      <c r="H502" s="272">
        <f t="shared" si="104"/>
        <v>0</v>
      </c>
      <c r="I502" s="272">
        <f t="shared" si="104"/>
        <v>27745000</v>
      </c>
      <c r="J502" s="272">
        <f t="shared" si="104"/>
        <v>0</v>
      </c>
      <c r="K502" s="272">
        <f t="shared" si="104"/>
        <v>0</v>
      </c>
      <c r="L502" s="272">
        <f>SUM(E502:K502)</f>
        <v>79866000</v>
      </c>
      <c r="M502" s="272">
        <f t="shared" si="103"/>
        <v>14789350</v>
      </c>
      <c r="N502" s="272">
        <f t="shared" si="103"/>
        <v>0</v>
      </c>
      <c r="O502" s="272">
        <f t="shared" si="103"/>
        <v>0</v>
      </c>
      <c r="P502" s="272">
        <f t="shared" si="103"/>
        <v>0</v>
      </c>
      <c r="Q502" s="272">
        <f>SUM(L502:P502)</f>
        <v>94655350</v>
      </c>
      <c r="R502" s="357"/>
    </row>
    <row r="503" spans="1:18" s="16" customFormat="1" ht="12.75" customHeight="1">
      <c r="A503" s="193"/>
      <c r="B503" s="199"/>
      <c r="C503" s="294"/>
      <c r="D503" s="363" t="s">
        <v>146</v>
      </c>
      <c r="E503" s="272">
        <f>E507+E511</f>
        <v>0</v>
      </c>
      <c r="F503" s="272">
        <f t="shared" si="104"/>
        <v>0</v>
      </c>
      <c r="G503" s="272">
        <f t="shared" si="104"/>
        <v>39714996</v>
      </c>
      <c r="H503" s="272">
        <f t="shared" si="104"/>
        <v>0</v>
      </c>
      <c r="I503" s="272">
        <f t="shared" si="104"/>
        <v>3500000</v>
      </c>
      <c r="J503" s="272">
        <f t="shared" si="104"/>
        <v>0</v>
      </c>
      <c r="K503" s="272">
        <f t="shared" si="104"/>
        <v>0</v>
      </c>
      <c r="L503" s="272">
        <f>SUM(E503:K503)</f>
        <v>43214996</v>
      </c>
      <c r="M503" s="272">
        <f>M507+M511</f>
        <v>4095333</v>
      </c>
      <c r="N503" s="272">
        <f t="shared" si="103"/>
        <v>0</v>
      </c>
      <c r="O503" s="272">
        <f t="shared" si="103"/>
        <v>0</v>
      </c>
      <c r="P503" s="272">
        <f t="shared" si="103"/>
        <v>0</v>
      </c>
      <c r="Q503" s="272">
        <f>SUM(L503:P503)</f>
        <v>47310329</v>
      </c>
      <c r="R503" s="357"/>
    </row>
    <row r="504" spans="1:18" ht="14.25" customHeight="1">
      <c r="A504" s="205"/>
      <c r="B504" s="206" t="s">
        <v>3</v>
      </c>
      <c r="C504" s="207"/>
      <c r="D504" s="734" t="s">
        <v>836</v>
      </c>
      <c r="E504" s="735"/>
      <c r="F504" s="736"/>
      <c r="G504" s="208"/>
      <c r="H504" s="197"/>
      <c r="I504" s="197"/>
      <c r="J504" s="197"/>
      <c r="K504" s="197"/>
      <c r="L504" s="220"/>
      <c r="M504" s="197"/>
      <c r="N504" s="197"/>
      <c r="O504" s="197"/>
      <c r="P504" s="197"/>
      <c r="Q504" s="243"/>
      <c r="R504" s="446"/>
    </row>
    <row r="505" spans="1:18" ht="12" customHeight="1">
      <c r="A505" s="266"/>
      <c r="B505" s="209"/>
      <c r="C505" s="268" t="s">
        <v>107</v>
      </c>
      <c r="D505" s="157" t="s">
        <v>144</v>
      </c>
      <c r="E505" s="211"/>
      <c r="F505" s="211"/>
      <c r="G505" s="269">
        <v>38646000</v>
      </c>
      <c r="H505" s="211"/>
      <c r="I505" s="211"/>
      <c r="J505" s="211"/>
      <c r="K505" s="211"/>
      <c r="L505" s="270">
        <f aca="true" t="shared" si="105" ref="L505:L511">SUM(E505:K505)</f>
        <v>38646000</v>
      </c>
      <c r="M505" s="211">
        <v>10789350</v>
      </c>
      <c r="N505" s="211"/>
      <c r="O505" s="211"/>
      <c r="P505" s="211"/>
      <c r="Q505" s="271">
        <f aca="true" t="shared" si="106" ref="Q505:Q511">SUM(L505:P505)</f>
        <v>49435350</v>
      </c>
      <c r="R505" s="474"/>
    </row>
    <row r="506" spans="1:18" ht="12" customHeight="1">
      <c r="A506" s="266"/>
      <c r="B506" s="209"/>
      <c r="C506" s="268"/>
      <c r="D506" s="157" t="s">
        <v>145</v>
      </c>
      <c r="E506" s="211"/>
      <c r="F506" s="211"/>
      <c r="G506" s="269">
        <v>46406000</v>
      </c>
      <c r="H506" s="211"/>
      <c r="I506" s="211"/>
      <c r="J506" s="211"/>
      <c r="K506" s="211"/>
      <c r="L506" s="270">
        <f t="shared" si="105"/>
        <v>46406000</v>
      </c>
      <c r="M506" s="211">
        <v>10789350</v>
      </c>
      <c r="N506" s="211"/>
      <c r="O506" s="211"/>
      <c r="P506" s="211"/>
      <c r="Q506" s="271">
        <f t="shared" si="106"/>
        <v>57195350</v>
      </c>
      <c r="R506" s="474"/>
    </row>
    <row r="507" spans="1:18" ht="12" customHeight="1">
      <c r="A507" s="266"/>
      <c r="B507" s="209"/>
      <c r="C507" s="268"/>
      <c r="D507" s="136" t="s">
        <v>146</v>
      </c>
      <c r="E507" s="211"/>
      <c r="F507" s="211"/>
      <c r="G507" s="269">
        <v>33999996</v>
      </c>
      <c r="H507" s="211"/>
      <c r="I507" s="211"/>
      <c r="J507" s="211"/>
      <c r="K507" s="211"/>
      <c r="L507" s="270">
        <f t="shared" si="105"/>
        <v>33999996</v>
      </c>
      <c r="M507" s="211">
        <v>190500</v>
      </c>
      <c r="N507" s="211"/>
      <c r="O507" s="211"/>
      <c r="P507" s="211"/>
      <c r="Q507" s="271">
        <f t="shared" si="106"/>
        <v>34190496</v>
      </c>
      <c r="R507" s="474"/>
    </row>
    <row r="508" spans="1:18" ht="28.5" customHeight="1">
      <c r="A508" s="266"/>
      <c r="B508" s="209"/>
      <c r="C508" s="268"/>
      <c r="D508" s="1586" t="s">
        <v>941</v>
      </c>
      <c r="E508" s="1587"/>
      <c r="F508" s="1587"/>
      <c r="G508" s="1588"/>
      <c r="H508" s="211"/>
      <c r="I508" s="211"/>
      <c r="J508" s="211"/>
      <c r="K508" s="211"/>
      <c r="L508" s="270"/>
      <c r="M508" s="211"/>
      <c r="N508" s="211"/>
      <c r="O508" s="211"/>
      <c r="P508" s="211"/>
      <c r="Q508" s="271"/>
      <c r="R508" s="474"/>
    </row>
    <row r="509" spans="1:18" ht="12" customHeight="1">
      <c r="A509" s="205"/>
      <c r="B509" s="206"/>
      <c r="C509" s="207" t="s">
        <v>106</v>
      </c>
      <c r="D509" s="157" t="s">
        <v>144</v>
      </c>
      <c r="E509" s="197"/>
      <c r="F509" s="197"/>
      <c r="G509" s="208">
        <v>7745000</v>
      </c>
      <c r="H509" s="197"/>
      <c r="I509" s="197">
        <v>0</v>
      </c>
      <c r="J509" s="197"/>
      <c r="K509" s="197"/>
      <c r="L509" s="220">
        <f t="shared" si="105"/>
        <v>7745000</v>
      </c>
      <c r="M509" s="197">
        <v>4000000</v>
      </c>
      <c r="N509" s="197"/>
      <c r="O509" s="197"/>
      <c r="P509" s="197"/>
      <c r="Q509" s="243">
        <f t="shared" si="106"/>
        <v>11745000</v>
      </c>
      <c r="R509" s="446"/>
    </row>
    <row r="510" spans="1:18" ht="12" customHeight="1">
      <c r="A510" s="205"/>
      <c r="B510" s="206"/>
      <c r="C510" s="207"/>
      <c r="D510" s="157" t="s">
        <v>145</v>
      </c>
      <c r="E510" s="197"/>
      <c r="F510" s="197"/>
      <c r="G510" s="208">
        <v>5715000</v>
      </c>
      <c r="H510" s="197"/>
      <c r="I510" s="197">
        <v>27745000</v>
      </c>
      <c r="J510" s="197"/>
      <c r="K510" s="197"/>
      <c r="L510" s="220">
        <f t="shared" si="105"/>
        <v>33460000</v>
      </c>
      <c r="M510" s="197">
        <v>4000000</v>
      </c>
      <c r="N510" s="197"/>
      <c r="O510" s="197"/>
      <c r="P510" s="197"/>
      <c r="Q510" s="243">
        <f t="shared" si="106"/>
        <v>37460000</v>
      </c>
      <c r="R510" s="446"/>
    </row>
    <row r="511" spans="1:18" ht="12" customHeight="1" thickBot="1">
      <c r="A511" s="244"/>
      <c r="B511" s="227"/>
      <c r="C511" s="245"/>
      <c r="D511" s="246" t="s">
        <v>146</v>
      </c>
      <c r="E511" s="247"/>
      <c r="F511" s="247"/>
      <c r="G511" s="276">
        <v>5715000</v>
      </c>
      <c r="H511" s="247"/>
      <c r="I511" s="247">
        <f>4017116-517116</f>
        <v>3500000</v>
      </c>
      <c r="J511" s="247"/>
      <c r="K511" s="247"/>
      <c r="L511" s="248">
        <f t="shared" si="105"/>
        <v>9215000</v>
      </c>
      <c r="M511" s="247">
        <v>3904833</v>
      </c>
      <c r="N511" s="247"/>
      <c r="O511" s="247"/>
      <c r="P511" s="247"/>
      <c r="Q511" s="262">
        <f t="shared" si="106"/>
        <v>13119833</v>
      </c>
      <c r="R511" s="448"/>
    </row>
    <row r="512" spans="1:18" ht="12" customHeight="1">
      <c r="A512" s="263">
        <v>30</v>
      </c>
      <c r="B512" s="256"/>
      <c r="C512" s="223"/>
      <c r="D512" s="344" t="s">
        <v>179</v>
      </c>
      <c r="E512" s="352"/>
      <c r="F512" s="352"/>
      <c r="G512" s="264"/>
      <c r="H512" s="352"/>
      <c r="I512" s="352"/>
      <c r="J512" s="352"/>
      <c r="K512" s="352"/>
      <c r="L512" s="282"/>
      <c r="M512" s="352"/>
      <c r="N512" s="352"/>
      <c r="O512" s="352"/>
      <c r="P512" s="352"/>
      <c r="Q512" s="257"/>
      <c r="R512" s="459"/>
    </row>
    <row r="513" spans="1:18" ht="12" customHeight="1">
      <c r="A513" s="205"/>
      <c r="B513" s="206"/>
      <c r="C513" s="207"/>
      <c r="D513" s="368" t="s">
        <v>144</v>
      </c>
      <c r="E513" s="220">
        <f>E517+E521+E525+E529+E533+E537</f>
        <v>0</v>
      </c>
      <c r="F513" s="220">
        <f aca="true" t="shared" si="107" ref="F513:K513">F517+F521+F525+F529+F533+F537</f>
        <v>0</v>
      </c>
      <c r="G513" s="220">
        <f t="shared" si="107"/>
        <v>0</v>
      </c>
      <c r="H513" s="220">
        <f t="shared" si="107"/>
        <v>0</v>
      </c>
      <c r="I513" s="220">
        <f t="shared" si="107"/>
        <v>44044241</v>
      </c>
      <c r="J513" s="220">
        <f t="shared" si="107"/>
        <v>0</v>
      </c>
      <c r="K513" s="220">
        <f t="shared" si="107"/>
        <v>0</v>
      </c>
      <c r="L513" s="220">
        <f>SUM(E513:K513)</f>
        <v>44044241</v>
      </c>
      <c r="M513" s="220">
        <f aca="true" t="shared" si="108" ref="M513:P515">M517+M521+M525+M529+M533</f>
        <v>4177000</v>
      </c>
      <c r="N513" s="220">
        <f t="shared" si="108"/>
        <v>19374000</v>
      </c>
      <c r="O513" s="220"/>
      <c r="P513" s="220">
        <f t="shared" si="108"/>
        <v>0</v>
      </c>
      <c r="Q513" s="243">
        <f>SUM(L513:P513)</f>
        <v>67595241</v>
      </c>
      <c r="R513" s="446"/>
    </row>
    <row r="514" spans="1:18" ht="12" customHeight="1">
      <c r="A514" s="205"/>
      <c r="B514" s="206"/>
      <c r="C514" s="207"/>
      <c r="D514" s="368" t="s">
        <v>145</v>
      </c>
      <c r="E514" s="220">
        <f aca="true" t="shared" si="109" ref="E514:K515">E518+E522+E526+E530+E534+E538</f>
        <v>0</v>
      </c>
      <c r="F514" s="220">
        <f t="shared" si="109"/>
        <v>0</v>
      </c>
      <c r="G514" s="220">
        <f t="shared" si="109"/>
        <v>250000</v>
      </c>
      <c r="H514" s="220">
        <f t="shared" si="109"/>
        <v>0</v>
      </c>
      <c r="I514" s="220">
        <f t="shared" si="109"/>
        <v>41133058</v>
      </c>
      <c r="J514" s="220">
        <f t="shared" si="109"/>
        <v>0</v>
      </c>
      <c r="K514" s="220">
        <f t="shared" si="109"/>
        <v>0</v>
      </c>
      <c r="L514" s="220">
        <f aca="true" t="shared" si="110" ref="L514:L535">SUM(E514:K514)</f>
        <v>41383058</v>
      </c>
      <c r="M514" s="220">
        <f>M518+M522+M526+M530+M534+M538</f>
        <v>40368331</v>
      </c>
      <c r="N514" s="220">
        <f t="shared" si="108"/>
        <v>21191340</v>
      </c>
      <c r="O514" s="220"/>
      <c r="P514" s="220">
        <f t="shared" si="108"/>
        <v>0</v>
      </c>
      <c r="Q514" s="243">
        <f aca="true" t="shared" si="111" ref="Q514:Q535">SUM(L514:P514)</f>
        <v>102942729</v>
      </c>
      <c r="R514" s="446"/>
    </row>
    <row r="515" spans="1:18" ht="12" customHeight="1">
      <c r="A515" s="205"/>
      <c r="B515" s="206"/>
      <c r="C515" s="207"/>
      <c r="D515" s="368" t="s">
        <v>146</v>
      </c>
      <c r="E515" s="220">
        <f t="shared" si="109"/>
        <v>0</v>
      </c>
      <c r="F515" s="220">
        <f t="shared" si="109"/>
        <v>0</v>
      </c>
      <c r="G515" s="220">
        <f t="shared" si="109"/>
        <v>250000</v>
      </c>
      <c r="H515" s="220">
        <f t="shared" si="109"/>
        <v>0</v>
      </c>
      <c r="I515" s="220">
        <f t="shared" si="109"/>
        <v>37055558</v>
      </c>
      <c r="J515" s="220">
        <f t="shared" si="109"/>
        <v>0</v>
      </c>
      <c r="K515" s="220">
        <f t="shared" si="109"/>
        <v>0</v>
      </c>
      <c r="L515" s="220">
        <f t="shared" si="110"/>
        <v>37305558</v>
      </c>
      <c r="M515" s="220">
        <f>M519+M523+M527+M531+M535+M539</f>
        <v>37529847</v>
      </c>
      <c r="N515" s="220">
        <f t="shared" si="108"/>
        <v>21191340</v>
      </c>
      <c r="O515" s="220"/>
      <c r="P515" s="220">
        <f t="shared" si="108"/>
        <v>0</v>
      </c>
      <c r="Q515" s="243">
        <f t="shared" si="111"/>
        <v>96026745</v>
      </c>
      <c r="R515" s="446"/>
    </row>
    <row r="516" spans="1:18" ht="12" customHeight="1">
      <c r="A516" s="205"/>
      <c r="B516" s="206" t="s">
        <v>3</v>
      </c>
      <c r="C516" s="207" t="s">
        <v>107</v>
      </c>
      <c r="D516" s="235" t="s">
        <v>180</v>
      </c>
      <c r="E516" s="197"/>
      <c r="F516" s="197"/>
      <c r="G516" s="208"/>
      <c r="H516" s="197"/>
      <c r="I516" s="197"/>
      <c r="J516" s="197"/>
      <c r="K516" s="197"/>
      <c r="L516" s="220"/>
      <c r="M516" s="197"/>
      <c r="N516" s="197"/>
      <c r="O516" s="197"/>
      <c r="P516" s="197"/>
      <c r="Q516" s="243"/>
      <c r="R516" s="446"/>
    </row>
    <row r="517" spans="1:18" ht="12" customHeight="1">
      <c r="A517" s="205"/>
      <c r="B517" s="206"/>
      <c r="C517" s="207"/>
      <c r="D517" s="157" t="s">
        <v>144</v>
      </c>
      <c r="E517" s="197"/>
      <c r="F517" s="197"/>
      <c r="G517" s="208"/>
      <c r="H517" s="197"/>
      <c r="I517" s="197">
        <v>530000</v>
      </c>
      <c r="J517" s="197"/>
      <c r="K517" s="197"/>
      <c r="L517" s="220">
        <f t="shared" si="110"/>
        <v>530000</v>
      </c>
      <c r="M517" s="197"/>
      <c r="N517" s="197">
        <v>19374000</v>
      </c>
      <c r="O517" s="197"/>
      <c r="P517" s="197"/>
      <c r="Q517" s="243">
        <f t="shared" si="111"/>
        <v>19904000</v>
      </c>
      <c r="R517" s="446"/>
    </row>
    <row r="518" spans="1:18" ht="12" customHeight="1">
      <c r="A518" s="205"/>
      <c r="B518" s="206"/>
      <c r="C518" s="207"/>
      <c r="D518" s="157" t="s">
        <v>145</v>
      </c>
      <c r="E518" s="197"/>
      <c r="F518" s="197"/>
      <c r="G518" s="208"/>
      <c r="H518" s="197"/>
      <c r="I518" s="197">
        <v>530000</v>
      </c>
      <c r="J518" s="197"/>
      <c r="K518" s="197"/>
      <c r="L518" s="220">
        <f t="shared" si="110"/>
        <v>530000</v>
      </c>
      <c r="M518" s="197"/>
      <c r="N518" s="197">
        <v>18739859</v>
      </c>
      <c r="O518" s="197"/>
      <c r="P518" s="197"/>
      <c r="Q518" s="243">
        <f t="shared" si="111"/>
        <v>19269859</v>
      </c>
      <c r="R518" s="446"/>
    </row>
    <row r="519" spans="1:18" ht="12" customHeight="1">
      <c r="A519" s="205"/>
      <c r="B519" s="206"/>
      <c r="C519" s="207"/>
      <c r="D519" s="157" t="s">
        <v>146</v>
      </c>
      <c r="E519" s="197"/>
      <c r="F519" s="197"/>
      <c r="G519" s="208"/>
      <c r="H519" s="197"/>
      <c r="I519" s="197">
        <v>530000</v>
      </c>
      <c r="J519" s="197"/>
      <c r="K519" s="197"/>
      <c r="L519" s="220">
        <f t="shared" si="110"/>
        <v>530000</v>
      </c>
      <c r="M519" s="197"/>
      <c r="N519" s="197">
        <v>18739859</v>
      </c>
      <c r="O519" s="197"/>
      <c r="P519" s="197"/>
      <c r="Q519" s="243">
        <f t="shared" si="111"/>
        <v>19269859</v>
      </c>
      <c r="R519" s="446"/>
    </row>
    <row r="520" spans="1:18" ht="12" customHeight="1">
      <c r="A520" s="205"/>
      <c r="B520" s="206" t="s">
        <v>4</v>
      </c>
      <c r="C520" s="207" t="s">
        <v>107</v>
      </c>
      <c r="D520" s="235" t="s">
        <v>131</v>
      </c>
      <c r="E520" s="197"/>
      <c r="F520" s="197"/>
      <c r="G520" s="208"/>
      <c r="H520" s="197"/>
      <c r="I520" s="197"/>
      <c r="J520" s="197"/>
      <c r="K520" s="197"/>
      <c r="L520" s="220"/>
      <c r="M520" s="197"/>
      <c r="N520" s="197"/>
      <c r="O520" s="197"/>
      <c r="P520" s="197"/>
      <c r="Q520" s="243"/>
      <c r="R520" s="446"/>
    </row>
    <row r="521" spans="1:18" ht="12" customHeight="1">
      <c r="A521" s="205"/>
      <c r="B521" s="206"/>
      <c r="C521" s="207"/>
      <c r="D521" s="157" t="s">
        <v>144</v>
      </c>
      <c r="E521" s="197"/>
      <c r="F521" s="197"/>
      <c r="G521" s="208"/>
      <c r="H521" s="197"/>
      <c r="I521" s="197">
        <v>530000</v>
      </c>
      <c r="J521" s="197"/>
      <c r="K521" s="197"/>
      <c r="L521" s="220">
        <f t="shared" si="110"/>
        <v>530000</v>
      </c>
      <c r="M521" s="197"/>
      <c r="N521" s="197"/>
      <c r="O521" s="197"/>
      <c r="P521" s="197"/>
      <c r="Q521" s="243">
        <f t="shared" si="111"/>
        <v>530000</v>
      </c>
      <c r="R521" s="446"/>
    </row>
    <row r="522" spans="1:18" ht="12" customHeight="1">
      <c r="A522" s="205"/>
      <c r="B522" s="206"/>
      <c r="C522" s="207"/>
      <c r="D522" s="157" t="s">
        <v>145</v>
      </c>
      <c r="E522" s="197"/>
      <c r="F522" s="197"/>
      <c r="G522" s="208"/>
      <c r="H522" s="197"/>
      <c r="I522" s="197">
        <v>1160000</v>
      </c>
      <c r="J522" s="197"/>
      <c r="K522" s="197"/>
      <c r="L522" s="220">
        <f t="shared" si="110"/>
        <v>1160000</v>
      </c>
      <c r="M522" s="197"/>
      <c r="N522" s="197"/>
      <c r="O522" s="197"/>
      <c r="P522" s="197"/>
      <c r="Q522" s="243">
        <f t="shared" si="111"/>
        <v>1160000</v>
      </c>
      <c r="R522" s="446"/>
    </row>
    <row r="523" spans="1:18" ht="12" customHeight="1">
      <c r="A523" s="205"/>
      <c r="B523" s="206"/>
      <c r="C523" s="207"/>
      <c r="D523" s="157" t="s">
        <v>146</v>
      </c>
      <c r="E523" s="197"/>
      <c r="F523" s="197"/>
      <c r="G523" s="208"/>
      <c r="H523" s="197"/>
      <c r="I523" s="197">
        <v>630000</v>
      </c>
      <c r="J523" s="197"/>
      <c r="K523" s="197"/>
      <c r="L523" s="220">
        <f t="shared" si="110"/>
        <v>630000</v>
      </c>
      <c r="M523" s="197"/>
      <c r="N523" s="197"/>
      <c r="O523" s="197"/>
      <c r="P523" s="197"/>
      <c r="Q523" s="243">
        <f t="shared" si="111"/>
        <v>630000</v>
      </c>
      <c r="R523" s="446"/>
    </row>
    <row r="524" spans="1:18" ht="12" customHeight="1">
      <c r="A524" s="205"/>
      <c r="B524" s="206" t="s">
        <v>5</v>
      </c>
      <c r="C524" s="207" t="s">
        <v>107</v>
      </c>
      <c r="D524" s="295" t="s">
        <v>133</v>
      </c>
      <c r="E524" s="197"/>
      <c r="F524" s="197"/>
      <c r="G524" s="208"/>
      <c r="H524" s="197"/>
      <c r="I524" s="197"/>
      <c r="J524" s="197"/>
      <c r="K524" s="197"/>
      <c r="L524" s="220"/>
      <c r="M524" s="197"/>
      <c r="N524" s="197"/>
      <c r="O524" s="197"/>
      <c r="P524" s="197"/>
      <c r="Q524" s="243"/>
      <c r="R524" s="446"/>
    </row>
    <row r="525" spans="1:18" ht="12" customHeight="1">
      <c r="A525" s="205"/>
      <c r="B525" s="206"/>
      <c r="C525" s="207"/>
      <c r="D525" s="157" t="s">
        <v>144</v>
      </c>
      <c r="E525" s="197"/>
      <c r="F525" s="197"/>
      <c r="G525" s="208"/>
      <c r="H525" s="197"/>
      <c r="I525" s="197">
        <v>400000</v>
      </c>
      <c r="J525" s="197"/>
      <c r="K525" s="197"/>
      <c r="L525" s="220">
        <f t="shared" si="110"/>
        <v>400000</v>
      </c>
      <c r="M525" s="197">
        <v>4177000</v>
      </c>
      <c r="N525" s="197"/>
      <c r="O525" s="197"/>
      <c r="P525" s="197"/>
      <c r="Q525" s="243">
        <f t="shared" si="111"/>
        <v>4577000</v>
      </c>
      <c r="R525" s="446"/>
    </row>
    <row r="526" spans="1:18" ht="12" customHeight="1">
      <c r="A526" s="205"/>
      <c r="B526" s="206"/>
      <c r="C526" s="207"/>
      <c r="D526" s="157" t="s">
        <v>145</v>
      </c>
      <c r="E526" s="197"/>
      <c r="F526" s="197"/>
      <c r="G526" s="208"/>
      <c r="H526" s="197"/>
      <c r="I526" s="197">
        <v>400000</v>
      </c>
      <c r="J526" s="197"/>
      <c r="K526" s="197"/>
      <c r="L526" s="220">
        <f t="shared" si="110"/>
        <v>400000</v>
      </c>
      <c r="M526" s="197">
        <v>15303611</v>
      </c>
      <c r="N526" s="197"/>
      <c r="O526" s="197"/>
      <c r="P526" s="197"/>
      <c r="Q526" s="243">
        <f t="shared" si="111"/>
        <v>15703611</v>
      </c>
      <c r="R526" s="446"/>
    </row>
    <row r="527" spans="1:18" ht="12" customHeight="1">
      <c r="A527" s="205"/>
      <c r="B527" s="206"/>
      <c r="C527" s="207"/>
      <c r="D527" s="157" t="s">
        <v>146</v>
      </c>
      <c r="E527" s="197"/>
      <c r="F527" s="197"/>
      <c r="G527" s="208"/>
      <c r="H527" s="197"/>
      <c r="I527" s="197">
        <v>400000</v>
      </c>
      <c r="J527" s="197"/>
      <c r="K527" s="197"/>
      <c r="L527" s="220">
        <f t="shared" si="110"/>
        <v>400000</v>
      </c>
      <c r="M527" s="197">
        <v>12926137</v>
      </c>
      <c r="N527" s="197"/>
      <c r="O527" s="197"/>
      <c r="P527" s="197"/>
      <c r="Q527" s="243">
        <f t="shared" si="111"/>
        <v>13326137</v>
      </c>
      <c r="R527" s="446"/>
    </row>
    <row r="528" spans="1:18" ht="12" customHeight="1">
      <c r="A528" s="205"/>
      <c r="B528" s="206" t="s">
        <v>6</v>
      </c>
      <c r="C528" s="207" t="s">
        <v>107</v>
      </c>
      <c r="D528" s="235" t="s">
        <v>181</v>
      </c>
      <c r="E528" s="197"/>
      <c r="F528" s="197"/>
      <c r="G528" s="208"/>
      <c r="H528" s="197"/>
      <c r="I528" s="197"/>
      <c r="J528" s="197"/>
      <c r="K528" s="197"/>
      <c r="L528" s="220"/>
      <c r="M528" s="197"/>
      <c r="N528" s="197"/>
      <c r="O528" s="197"/>
      <c r="P528" s="197"/>
      <c r="Q528" s="243"/>
      <c r="R528" s="446"/>
    </row>
    <row r="529" spans="1:18" ht="12" customHeight="1">
      <c r="A529" s="205"/>
      <c r="B529" s="206"/>
      <c r="C529" s="207"/>
      <c r="D529" s="157" t="s">
        <v>144</v>
      </c>
      <c r="E529" s="197"/>
      <c r="F529" s="197"/>
      <c r="G529" s="208"/>
      <c r="H529" s="197"/>
      <c r="I529" s="197">
        <v>690000</v>
      </c>
      <c r="J529" s="197"/>
      <c r="K529" s="197"/>
      <c r="L529" s="220">
        <f t="shared" si="110"/>
        <v>690000</v>
      </c>
      <c r="M529" s="197"/>
      <c r="N529" s="197">
        <v>0</v>
      </c>
      <c r="O529" s="197"/>
      <c r="P529" s="197"/>
      <c r="Q529" s="243">
        <f t="shared" si="111"/>
        <v>690000</v>
      </c>
      <c r="R529" s="446"/>
    </row>
    <row r="530" spans="1:18" ht="12" customHeight="1">
      <c r="A530" s="205"/>
      <c r="B530" s="206"/>
      <c r="C530" s="207"/>
      <c r="D530" s="157" t="s">
        <v>145</v>
      </c>
      <c r="E530" s="197"/>
      <c r="F530" s="197"/>
      <c r="G530" s="208"/>
      <c r="H530" s="197"/>
      <c r="I530" s="197">
        <v>690000</v>
      </c>
      <c r="J530" s="197"/>
      <c r="K530" s="197"/>
      <c r="L530" s="220">
        <f t="shared" si="110"/>
        <v>690000</v>
      </c>
      <c r="M530" s="197"/>
      <c r="N530" s="197">
        <v>2451481</v>
      </c>
      <c r="O530" s="197"/>
      <c r="P530" s="197"/>
      <c r="Q530" s="243">
        <f t="shared" si="111"/>
        <v>3141481</v>
      </c>
      <c r="R530" s="446"/>
    </row>
    <row r="531" spans="1:18" ht="12" customHeight="1">
      <c r="A531" s="205"/>
      <c r="B531" s="206"/>
      <c r="C531" s="207"/>
      <c r="D531" s="157" t="s">
        <v>146</v>
      </c>
      <c r="E531" s="197"/>
      <c r="F531" s="197"/>
      <c r="G531" s="208"/>
      <c r="H531" s="197"/>
      <c r="I531" s="197">
        <v>0</v>
      </c>
      <c r="J531" s="197"/>
      <c r="K531" s="197"/>
      <c r="L531" s="220">
        <f t="shared" si="110"/>
        <v>0</v>
      </c>
      <c r="M531" s="197"/>
      <c r="N531" s="197">
        <v>2451481</v>
      </c>
      <c r="O531" s="197"/>
      <c r="P531" s="197"/>
      <c r="Q531" s="243">
        <f t="shared" si="111"/>
        <v>2451481</v>
      </c>
      <c r="R531" s="446"/>
    </row>
    <row r="532" spans="1:18" ht="12" customHeight="1">
      <c r="A532" s="205"/>
      <c r="B532" s="206" t="s">
        <v>7</v>
      </c>
      <c r="C532" s="207" t="s">
        <v>106</v>
      </c>
      <c r="D532" s="295" t="s">
        <v>935</v>
      </c>
      <c r="E532" s="197"/>
      <c r="F532" s="197"/>
      <c r="G532" s="208"/>
      <c r="H532" s="197"/>
      <c r="I532" s="197"/>
      <c r="J532" s="197"/>
      <c r="K532" s="197"/>
      <c r="L532" s="220"/>
      <c r="M532" s="197"/>
      <c r="N532" s="197"/>
      <c r="O532" s="197"/>
      <c r="P532" s="197"/>
      <c r="Q532" s="243"/>
      <c r="R532" s="446"/>
    </row>
    <row r="533" spans="1:18" ht="12" customHeight="1">
      <c r="A533" s="205"/>
      <c r="B533" s="206"/>
      <c r="C533" s="207"/>
      <c r="D533" s="157" t="s">
        <v>144</v>
      </c>
      <c r="E533" s="197"/>
      <c r="F533" s="197"/>
      <c r="G533" s="208"/>
      <c r="H533" s="197"/>
      <c r="I533" s="197">
        <v>41894241</v>
      </c>
      <c r="J533" s="197"/>
      <c r="K533" s="197"/>
      <c r="L533" s="220">
        <f t="shared" si="110"/>
        <v>41894241</v>
      </c>
      <c r="M533" s="197"/>
      <c r="N533" s="197"/>
      <c r="O533" s="197"/>
      <c r="P533" s="197"/>
      <c r="Q533" s="243">
        <f t="shared" si="111"/>
        <v>41894241</v>
      </c>
      <c r="R533" s="446"/>
    </row>
    <row r="534" spans="1:18" ht="12" customHeight="1">
      <c r="A534" s="205"/>
      <c r="B534" s="206"/>
      <c r="C534" s="207"/>
      <c r="D534" s="157" t="s">
        <v>145</v>
      </c>
      <c r="E534" s="197"/>
      <c r="F534" s="197"/>
      <c r="G534" s="208"/>
      <c r="H534" s="197"/>
      <c r="I534" s="197">
        <v>33209558</v>
      </c>
      <c r="J534" s="197"/>
      <c r="K534" s="197"/>
      <c r="L534" s="220">
        <f t="shared" si="110"/>
        <v>33209558</v>
      </c>
      <c r="M534" s="197"/>
      <c r="N534" s="197"/>
      <c r="O534" s="197"/>
      <c r="P534" s="197"/>
      <c r="Q534" s="243">
        <f t="shared" si="111"/>
        <v>33209558</v>
      </c>
      <c r="R534" s="446"/>
    </row>
    <row r="535" spans="1:18" ht="12" customHeight="1">
      <c r="A535" s="228"/>
      <c r="B535" s="201"/>
      <c r="C535" s="202"/>
      <c r="D535" s="210" t="s">
        <v>146</v>
      </c>
      <c r="E535" s="203"/>
      <c r="F535" s="203"/>
      <c r="G535" s="204"/>
      <c r="H535" s="203"/>
      <c r="I535" s="203">
        <f>4676162+1833666+2705490+6203341+17790899</f>
        <v>33209558</v>
      </c>
      <c r="J535" s="203"/>
      <c r="K535" s="203"/>
      <c r="L535" s="270">
        <f t="shared" si="110"/>
        <v>33209558</v>
      </c>
      <c r="M535" s="203"/>
      <c r="N535" s="203"/>
      <c r="O535" s="203"/>
      <c r="P535" s="203"/>
      <c r="Q535" s="271">
        <f t="shared" si="111"/>
        <v>33209558</v>
      </c>
      <c r="R535" s="458"/>
    </row>
    <row r="536" spans="1:18" ht="12" customHeight="1">
      <c r="A536" s="205"/>
      <c r="B536" s="206" t="s">
        <v>8</v>
      </c>
      <c r="C536" s="207" t="s">
        <v>107</v>
      </c>
      <c r="D536" s="712" t="s">
        <v>942</v>
      </c>
      <c r="E536" s="197"/>
      <c r="F536" s="197"/>
      <c r="G536" s="208"/>
      <c r="H536" s="197"/>
      <c r="I536" s="197"/>
      <c r="J536" s="197"/>
      <c r="K536" s="197"/>
      <c r="L536" s="220"/>
      <c r="M536" s="197"/>
      <c r="N536" s="197"/>
      <c r="O536" s="197"/>
      <c r="P536" s="197"/>
      <c r="Q536" s="243"/>
      <c r="R536" s="446"/>
    </row>
    <row r="537" spans="1:18" ht="12" customHeight="1">
      <c r="A537" s="205"/>
      <c r="B537" s="206"/>
      <c r="C537" s="207"/>
      <c r="D537" s="157" t="s">
        <v>144</v>
      </c>
      <c r="E537" s="197"/>
      <c r="F537" s="197"/>
      <c r="G537" s="208">
        <v>0</v>
      </c>
      <c r="H537" s="197"/>
      <c r="I537" s="197">
        <v>0</v>
      </c>
      <c r="J537" s="197"/>
      <c r="K537" s="197"/>
      <c r="L537" s="220">
        <f>SUM(E537:K537)</f>
        <v>0</v>
      </c>
      <c r="M537" s="197">
        <v>0</v>
      </c>
      <c r="N537" s="197"/>
      <c r="O537" s="197"/>
      <c r="P537" s="197"/>
      <c r="Q537" s="243">
        <f>SUM(L537:P537)</f>
        <v>0</v>
      </c>
      <c r="R537" s="446"/>
    </row>
    <row r="538" spans="1:18" ht="12" customHeight="1">
      <c r="A538" s="205"/>
      <c r="B538" s="206"/>
      <c r="C538" s="207"/>
      <c r="D538" s="157" t="s">
        <v>145</v>
      </c>
      <c r="E538" s="197"/>
      <c r="F538" s="197"/>
      <c r="G538" s="208">
        <v>250000</v>
      </c>
      <c r="H538" s="197"/>
      <c r="I538" s="197">
        <v>5143500</v>
      </c>
      <c r="J538" s="197"/>
      <c r="K538" s="197"/>
      <c r="L538" s="220">
        <f>SUM(E538:K538)</f>
        <v>5393500</v>
      </c>
      <c r="M538" s="197">
        <v>25064720</v>
      </c>
      <c r="N538" s="197"/>
      <c r="O538" s="197"/>
      <c r="P538" s="197"/>
      <c r="Q538" s="243">
        <f>SUM(L538:P538)</f>
        <v>30458220</v>
      </c>
      <c r="R538" s="446"/>
    </row>
    <row r="539" spans="1:18" ht="12" customHeight="1" thickBot="1">
      <c r="A539" s="228"/>
      <c r="B539" s="201"/>
      <c r="C539" s="202"/>
      <c r="D539" s="210" t="s">
        <v>146</v>
      </c>
      <c r="E539" s="203"/>
      <c r="F539" s="203"/>
      <c r="G539" s="204">
        <v>250000</v>
      </c>
      <c r="H539" s="203"/>
      <c r="I539" s="203">
        <v>2286000</v>
      </c>
      <c r="J539" s="203"/>
      <c r="K539" s="203"/>
      <c r="L539" s="222">
        <f>SUM(E539:K539)</f>
        <v>2536000</v>
      </c>
      <c r="M539" s="203">
        <v>24603710</v>
      </c>
      <c r="N539" s="203"/>
      <c r="O539" s="203"/>
      <c r="P539" s="203"/>
      <c r="Q539" s="212">
        <f>SUM(L539:P539)</f>
        <v>27139710</v>
      </c>
      <c r="R539" s="458"/>
    </row>
    <row r="540" spans="1:18" ht="12.75" customHeight="1">
      <c r="A540" s="238">
        <v>31</v>
      </c>
      <c r="B540" s="239" t="s">
        <v>3</v>
      </c>
      <c r="C540" s="240" t="s">
        <v>107</v>
      </c>
      <c r="D540" s="259" t="s">
        <v>83</v>
      </c>
      <c r="E540" s="291"/>
      <c r="F540" s="291"/>
      <c r="G540" s="216"/>
      <c r="H540" s="291"/>
      <c r="I540" s="291"/>
      <c r="J540" s="291"/>
      <c r="K540" s="291"/>
      <c r="L540" s="291"/>
      <c r="M540" s="291"/>
      <c r="N540" s="291"/>
      <c r="O540" s="291"/>
      <c r="P540" s="291"/>
      <c r="Q540" s="241"/>
      <c r="R540" s="359"/>
    </row>
    <row r="541" spans="1:18" ht="12.75" customHeight="1">
      <c r="A541" s="205"/>
      <c r="B541" s="206"/>
      <c r="C541" s="207"/>
      <c r="D541" s="157" t="s">
        <v>144</v>
      </c>
      <c r="E541" s="220"/>
      <c r="F541" s="220"/>
      <c r="G541" s="220">
        <v>125000</v>
      </c>
      <c r="H541" s="220"/>
      <c r="I541" s="220"/>
      <c r="J541" s="220"/>
      <c r="K541" s="220"/>
      <c r="L541" s="220">
        <f>SUM(G541:K541)</f>
        <v>125000</v>
      </c>
      <c r="M541" s="220">
        <v>0</v>
      </c>
      <c r="N541" s="220"/>
      <c r="O541" s="220"/>
      <c r="P541" s="284"/>
      <c r="Q541" s="243">
        <f>SUM(L541:P541)</f>
        <v>125000</v>
      </c>
      <c r="R541" s="446"/>
    </row>
    <row r="542" spans="1:18" ht="12.75" customHeight="1">
      <c r="A542" s="205"/>
      <c r="B542" s="206"/>
      <c r="C542" s="207"/>
      <c r="D542" s="157" t="s">
        <v>145</v>
      </c>
      <c r="E542" s="220"/>
      <c r="F542" s="220"/>
      <c r="G542" s="220">
        <v>125000</v>
      </c>
      <c r="H542" s="220"/>
      <c r="I542" s="220"/>
      <c r="J542" s="220"/>
      <c r="K542" s="220"/>
      <c r="L542" s="220">
        <f>SUM(G542:K542)</f>
        <v>125000</v>
      </c>
      <c r="M542" s="220">
        <v>22000000</v>
      </c>
      <c r="N542" s="220"/>
      <c r="O542" s="220"/>
      <c r="P542" s="284"/>
      <c r="Q542" s="243">
        <f>SUM(L542:P542)</f>
        <v>22125000</v>
      </c>
      <c r="R542" s="446"/>
    </row>
    <row r="543" spans="1:18" ht="12.75" customHeight="1" thickBot="1">
      <c r="A543" s="278"/>
      <c r="B543" s="279"/>
      <c r="C543" s="280"/>
      <c r="D543" s="155" t="s">
        <v>146</v>
      </c>
      <c r="E543" s="286"/>
      <c r="F543" s="286"/>
      <c r="G543" s="286">
        <v>125000</v>
      </c>
      <c r="H543" s="286"/>
      <c r="I543" s="286"/>
      <c r="J543" s="286"/>
      <c r="K543" s="286"/>
      <c r="L543" s="286">
        <f>SUM(G543:K543)</f>
        <v>125000</v>
      </c>
      <c r="M543" s="286">
        <v>15240000</v>
      </c>
      <c r="N543" s="286"/>
      <c r="O543" s="286"/>
      <c r="P543" s="293"/>
      <c r="Q543" s="287">
        <f>SUM(L543:P543)</f>
        <v>15365000</v>
      </c>
      <c r="R543" s="458"/>
    </row>
    <row r="544" spans="1:18" s="16" customFormat="1" ht="12" customHeight="1">
      <c r="A544" s="238">
        <v>32</v>
      </c>
      <c r="B544" s="239" t="s">
        <v>3</v>
      </c>
      <c r="C544" s="240" t="s">
        <v>106</v>
      </c>
      <c r="D544" s="259" t="s">
        <v>84</v>
      </c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91"/>
      <c r="Q544" s="241"/>
      <c r="R544" s="359"/>
    </row>
    <row r="545" spans="1:18" s="16" customFormat="1" ht="12" customHeight="1">
      <c r="A545" s="217"/>
      <c r="B545" s="206"/>
      <c r="C545" s="207"/>
      <c r="D545" s="157" t="s">
        <v>144</v>
      </c>
      <c r="E545" s="220"/>
      <c r="F545" s="220"/>
      <c r="G545" s="220">
        <v>2000000</v>
      </c>
      <c r="H545" s="220"/>
      <c r="I545" s="220"/>
      <c r="J545" s="220"/>
      <c r="K545" s="220"/>
      <c r="L545" s="220">
        <f>SUM(G545:K545)</f>
        <v>2000000</v>
      </c>
      <c r="M545" s="220"/>
      <c r="N545" s="220"/>
      <c r="O545" s="220"/>
      <c r="P545" s="284"/>
      <c r="Q545" s="243">
        <f>SUM(L545:P545)</f>
        <v>2000000</v>
      </c>
      <c r="R545" s="446"/>
    </row>
    <row r="546" spans="1:18" s="16" customFormat="1" ht="12" customHeight="1">
      <c r="A546" s="217"/>
      <c r="B546" s="206"/>
      <c r="C546" s="207"/>
      <c r="D546" s="157" t="s">
        <v>145</v>
      </c>
      <c r="E546" s="220"/>
      <c r="F546" s="220"/>
      <c r="G546" s="220">
        <v>2011751</v>
      </c>
      <c r="H546" s="220"/>
      <c r="I546" s="220"/>
      <c r="J546" s="220"/>
      <c r="K546" s="220"/>
      <c r="L546" s="220">
        <f>SUM(G546:K546)</f>
        <v>2011751</v>
      </c>
      <c r="M546" s="220"/>
      <c r="N546" s="220"/>
      <c r="O546" s="220"/>
      <c r="P546" s="284"/>
      <c r="Q546" s="243">
        <f>SUM(L546:P546)</f>
        <v>2011751</v>
      </c>
      <c r="R546" s="446"/>
    </row>
    <row r="547" spans="1:18" s="16" customFormat="1" ht="12" customHeight="1" thickBot="1">
      <c r="A547" s="297"/>
      <c r="B547" s="279"/>
      <c r="C547" s="280"/>
      <c r="D547" s="155" t="s">
        <v>146</v>
      </c>
      <c r="E547" s="286"/>
      <c r="F547" s="286"/>
      <c r="G547" s="286">
        <v>1633620</v>
      </c>
      <c r="H547" s="286"/>
      <c r="I547" s="286"/>
      <c r="J547" s="286"/>
      <c r="K547" s="286"/>
      <c r="L547" s="286">
        <f>SUM(G547:K547)</f>
        <v>1633620</v>
      </c>
      <c r="M547" s="286"/>
      <c r="N547" s="286"/>
      <c r="O547" s="286"/>
      <c r="P547" s="293"/>
      <c r="Q547" s="287">
        <f>L547+M547</f>
        <v>1633620</v>
      </c>
      <c r="R547" s="458"/>
    </row>
    <row r="548" spans="1:18" s="16" customFormat="1" ht="12" customHeight="1">
      <c r="A548" s="214">
        <v>33</v>
      </c>
      <c r="B548" s="239" t="s">
        <v>3</v>
      </c>
      <c r="C548" s="240"/>
      <c r="D548" s="298" t="s">
        <v>757</v>
      </c>
      <c r="E548" s="291"/>
      <c r="F548" s="291"/>
      <c r="G548" s="216"/>
      <c r="H548" s="291"/>
      <c r="I548" s="291"/>
      <c r="J548" s="291"/>
      <c r="K548" s="291"/>
      <c r="L548" s="291"/>
      <c r="M548" s="291"/>
      <c r="N548" s="291"/>
      <c r="O548" s="291"/>
      <c r="P548" s="291"/>
      <c r="Q548" s="241"/>
      <c r="R548" s="359"/>
    </row>
    <row r="549" spans="1:18" s="16" customFormat="1" ht="12" customHeight="1">
      <c r="A549" s="217"/>
      <c r="B549" s="206"/>
      <c r="C549" s="207" t="s">
        <v>107</v>
      </c>
      <c r="D549" s="157" t="s">
        <v>144</v>
      </c>
      <c r="E549" s="236"/>
      <c r="F549" s="236"/>
      <c r="G549" s="197"/>
      <c r="H549" s="197"/>
      <c r="I549" s="197">
        <v>0</v>
      </c>
      <c r="J549" s="197"/>
      <c r="K549" s="197"/>
      <c r="L549" s="220">
        <f aca="true" t="shared" si="112" ref="L549:L554">SUM(E549:K549)</f>
        <v>0</v>
      </c>
      <c r="M549" s="220"/>
      <c r="N549" s="220"/>
      <c r="O549" s="220"/>
      <c r="P549" s="220"/>
      <c r="Q549" s="243">
        <f aca="true" t="shared" si="113" ref="Q549:Q554">SUM(L549:P549)</f>
        <v>0</v>
      </c>
      <c r="R549" s="446"/>
    </row>
    <row r="550" spans="1:18" s="16" customFormat="1" ht="12" customHeight="1">
      <c r="A550" s="217"/>
      <c r="B550" s="206"/>
      <c r="C550" s="207"/>
      <c r="D550" s="157" t="s">
        <v>145</v>
      </c>
      <c r="E550" s="236"/>
      <c r="F550" s="236"/>
      <c r="G550" s="197"/>
      <c r="H550" s="197"/>
      <c r="I550" s="197">
        <v>1653500</v>
      </c>
      <c r="J550" s="197"/>
      <c r="K550" s="197"/>
      <c r="L550" s="220">
        <f t="shared" si="112"/>
        <v>1653500</v>
      </c>
      <c r="M550" s="220"/>
      <c r="N550" s="220"/>
      <c r="O550" s="220"/>
      <c r="P550" s="220"/>
      <c r="Q550" s="243">
        <f t="shared" si="113"/>
        <v>1653500</v>
      </c>
      <c r="R550" s="446"/>
    </row>
    <row r="551" spans="1:18" s="16" customFormat="1" ht="12" customHeight="1">
      <c r="A551" s="303"/>
      <c r="B551" s="209"/>
      <c r="C551" s="268"/>
      <c r="D551" s="136" t="s">
        <v>146</v>
      </c>
      <c r="E551" s="1154"/>
      <c r="F551" s="1154"/>
      <c r="G551" s="211"/>
      <c r="H551" s="211"/>
      <c r="I551" s="211">
        <f>100000+1090500</f>
        <v>1190500</v>
      </c>
      <c r="J551" s="211"/>
      <c r="K551" s="211"/>
      <c r="L551" s="220">
        <f t="shared" si="112"/>
        <v>1190500</v>
      </c>
      <c r="M551" s="270"/>
      <c r="N551" s="270"/>
      <c r="O551" s="270"/>
      <c r="P551" s="270"/>
      <c r="Q551" s="243">
        <f t="shared" si="113"/>
        <v>1190500</v>
      </c>
      <c r="R551" s="474"/>
    </row>
    <row r="552" spans="1:18" s="16" customFormat="1" ht="12" customHeight="1">
      <c r="A552" s="217"/>
      <c r="B552" s="206"/>
      <c r="C552" s="207" t="s">
        <v>106</v>
      </c>
      <c r="D552" s="157" t="s">
        <v>144</v>
      </c>
      <c r="E552" s="236"/>
      <c r="F552" s="236"/>
      <c r="G552" s="197"/>
      <c r="H552" s="197"/>
      <c r="I552" s="197"/>
      <c r="J552" s="197">
        <v>0</v>
      </c>
      <c r="K552" s="197"/>
      <c r="L552" s="220">
        <f t="shared" si="112"/>
        <v>0</v>
      </c>
      <c r="M552" s="220"/>
      <c r="N552" s="220"/>
      <c r="O552" s="220"/>
      <c r="P552" s="220"/>
      <c r="Q552" s="243">
        <f t="shared" si="113"/>
        <v>0</v>
      </c>
      <c r="R552" s="446"/>
    </row>
    <row r="553" spans="1:18" s="16" customFormat="1" ht="12" customHeight="1">
      <c r="A553" s="217"/>
      <c r="B553" s="206"/>
      <c r="C553" s="207"/>
      <c r="D553" s="157" t="s">
        <v>145</v>
      </c>
      <c r="E553" s="236"/>
      <c r="F553" s="236"/>
      <c r="G553" s="197"/>
      <c r="H553" s="197"/>
      <c r="I553" s="197"/>
      <c r="J553" s="197">
        <v>730000</v>
      </c>
      <c r="K553" s="197"/>
      <c r="L553" s="220">
        <f t="shared" si="112"/>
        <v>730000</v>
      </c>
      <c r="M553" s="220"/>
      <c r="N553" s="220"/>
      <c r="O553" s="220"/>
      <c r="P553" s="220"/>
      <c r="Q553" s="243">
        <f t="shared" si="113"/>
        <v>730000</v>
      </c>
      <c r="R553" s="446"/>
    </row>
    <row r="554" spans="1:18" s="16" customFormat="1" ht="12" customHeight="1" thickBot="1">
      <c r="A554" s="301"/>
      <c r="B554" s="227"/>
      <c r="C554" s="245"/>
      <c r="D554" s="246" t="s">
        <v>146</v>
      </c>
      <c r="E554" s="1210"/>
      <c r="F554" s="1210"/>
      <c r="G554" s="247"/>
      <c r="H554" s="247"/>
      <c r="I554" s="247"/>
      <c r="J554" s="247">
        <v>730000</v>
      </c>
      <c r="K554" s="247"/>
      <c r="L554" s="248">
        <f t="shared" si="112"/>
        <v>730000</v>
      </c>
      <c r="M554" s="248"/>
      <c r="N554" s="248"/>
      <c r="O554" s="248"/>
      <c r="P554" s="248"/>
      <c r="Q554" s="262">
        <f t="shared" si="113"/>
        <v>730000</v>
      </c>
      <c r="R554" s="448"/>
    </row>
    <row r="555" spans="1:18" s="16" customFormat="1" ht="12" customHeight="1" thickBot="1">
      <c r="A555" s="1633" t="s">
        <v>758</v>
      </c>
      <c r="B555" s="1634"/>
      <c r="C555" s="1634"/>
      <c r="D555" s="1635"/>
      <c r="E555" s="355"/>
      <c r="F555" s="355"/>
      <c r="G555" s="299"/>
      <c r="H555" s="355"/>
      <c r="I555" s="355"/>
      <c r="J555" s="355"/>
      <c r="K555" s="355"/>
      <c r="L555" s="355"/>
      <c r="M555" s="355"/>
      <c r="N555" s="355"/>
      <c r="O555" s="355"/>
      <c r="P555" s="355"/>
      <c r="Q555" s="299"/>
      <c r="R555" s="475"/>
    </row>
    <row r="556" spans="1:18" s="16" customFormat="1" ht="12" customHeight="1">
      <c r="A556" s="214"/>
      <c r="B556" s="187"/>
      <c r="C556" s="215"/>
      <c r="D556" s="136" t="s">
        <v>144</v>
      </c>
      <c r="E556" s="216">
        <f>E121+E125+E129+E133+E200+E212+E216+E285+E289+E309+E321+E337+E341+E345+E349+E377+E381+E405+E409+E429+E449+E453+E461+E501+E513+E541+E545+E549+E552</f>
        <v>122001000</v>
      </c>
      <c r="F556" s="216">
        <f aca="true" t="shared" si="114" ref="F556:K556">F121+F125+F129+F133+F200+F212+F216+F285+F289+F309+F321+F337+F341+F345+F349+F377+F381+F405+F409+F429+F449+F453+F461+F501+F513+F541+F545+F549+F552</f>
        <v>19437000</v>
      </c>
      <c r="G556" s="216">
        <f t="shared" si="114"/>
        <v>699913069</v>
      </c>
      <c r="H556" s="216">
        <f t="shared" si="114"/>
        <v>7600000</v>
      </c>
      <c r="I556" s="216">
        <f t="shared" si="114"/>
        <v>159374079</v>
      </c>
      <c r="J556" s="216">
        <f t="shared" si="114"/>
        <v>18687000</v>
      </c>
      <c r="K556" s="216">
        <f t="shared" si="114"/>
        <v>307630000</v>
      </c>
      <c r="L556" s="216">
        <f>SUM(E556:K556)</f>
        <v>1334642148</v>
      </c>
      <c r="M556" s="216">
        <f>M121+M125+M129+M133+M200+M212+M216+M285+M289+M309+M321+M337+M341+M345+M349+M377+M381+M405+M409+M429+M449+M453+M461+M501+M513+M541+M545+M549+M552</f>
        <v>764327280</v>
      </c>
      <c r="N556" s="216">
        <f>N121+N125+N129+N133+N200+N212+N216+N285+N289+N309+N321+N337+N341+N345+N349+N377+N381+N405+N409+N429+N449+N453+N461+N501+N513+N541+N545+N549+N552</f>
        <v>23887216</v>
      </c>
      <c r="O556" s="216">
        <f>O121+O125+O129+O133+O200+O212+O216+O285+O289+O309+O321+O337+O341+O345+O349+O377+O381+O405+O409+O429+O449+O453+O461+O501+O513+O541+O545+O549+O552</f>
        <v>0</v>
      </c>
      <c r="P556" s="216">
        <f>P121+P125+P129+P133+P200+P212+P216+P285+P289+P309+P321+P337+P341+P345+P349+P377+P381+P405+P409+P429+P449+P453+P461+P501+P513+P541+P545+P549+P552</f>
        <v>60000000</v>
      </c>
      <c r="Q556" s="216">
        <f>SUM(L556:P556)</f>
        <v>2182856644</v>
      </c>
      <c r="R556" s="359">
        <f>R121+R125+R129+R133+R200+R212+R216+R285+R289+R309+R321+R337+R341+R345+R349+R377+R381+R405+R409+R429+R449+R453+R461+R501+R513+R541+R545+R549</f>
        <v>105</v>
      </c>
    </row>
    <row r="557" spans="1:18" s="16" customFormat="1" ht="12" customHeight="1">
      <c r="A557" s="217"/>
      <c r="B557" s="218"/>
      <c r="C557" s="300"/>
      <c r="D557" s="157" t="s">
        <v>145</v>
      </c>
      <c r="E557" s="220">
        <f>E122+E126+E130+E134+E201+E213+E217+E286+E290+E310+E322+E338+E342+E346+E350+E378+E382+E406+E410+E430+E450+E454+E462+E502+E514+E542+E546+E550+E553+E458</f>
        <v>127905663</v>
      </c>
      <c r="F557" s="220">
        <f aca="true" t="shared" si="115" ref="F557:K557">F122+F126+F130+F134+F201+F213+F217+F286+F290+F310+F322+F338+F342+F346+F350+F378+F382+F406+F410+F430+F450+F454+F462+F502+F514+F542+F546+F550+F553+F458</f>
        <v>23076337</v>
      </c>
      <c r="G557" s="220">
        <f t="shared" si="115"/>
        <v>720081641</v>
      </c>
      <c r="H557" s="220">
        <f t="shared" si="115"/>
        <v>11543500</v>
      </c>
      <c r="I557" s="220">
        <f t="shared" si="115"/>
        <v>218854844</v>
      </c>
      <c r="J557" s="220">
        <f>J122+J126+J130+J134+J201+J213+J217+J286+J290+J310+J322+J338+J342+J346+J350+J378+J382+J406+J410+J430+J450+J454+J462+J502+J514+J542+J546+J550+J553+J458</f>
        <v>19141000</v>
      </c>
      <c r="K557" s="220">
        <f t="shared" si="115"/>
        <v>7113000</v>
      </c>
      <c r="L557" s="220">
        <f>SUM(E557:K557)</f>
        <v>1127715985</v>
      </c>
      <c r="M557" s="220">
        <f aca="true" t="shared" si="116" ref="M557:P558">M122+M126+M130+M134+M201+M213+M217+M286+M290+M310+M322+M338+M342+M346+M350+M378+M382+M406+M410+M430+M450+M454+M462+M502+M514+M542+M546+M550+M553+M458</f>
        <v>2892054653</v>
      </c>
      <c r="N557" s="220">
        <f t="shared" si="116"/>
        <v>40704556</v>
      </c>
      <c r="O557" s="220">
        <f t="shared" si="116"/>
        <v>994273</v>
      </c>
      <c r="P557" s="220">
        <f t="shared" si="116"/>
        <v>60000000</v>
      </c>
      <c r="Q557" s="220">
        <f>SUM(L557:P557)</f>
        <v>4121469467</v>
      </c>
      <c r="R557" s="982">
        <f>R122+R126+R130+R134+R201+R213+R217+R286+R290+R310+R322+R338+R342+R346+R350+R378+R382+R406+R410+R430+R450+R454+R462+R502+R514+R542+R546+R550</f>
        <v>105</v>
      </c>
    </row>
    <row r="558" spans="1:18" s="16" customFormat="1" ht="12" customHeight="1" thickBot="1">
      <c r="A558" s="189"/>
      <c r="B558" s="192"/>
      <c r="C558" s="221"/>
      <c r="D558" s="155" t="s">
        <v>146</v>
      </c>
      <c r="E558" s="222">
        <f>E123+E127+E131+E135+E202+E214+E218+E287+E291+E311+E323+E339+E343+E347+E351+E379+E383+E407+E411+E431+E451+E455+E463+E503+E515+E543+E547+E551+E554+E459</f>
        <v>107781562</v>
      </c>
      <c r="F558" s="222">
        <f aca="true" t="shared" si="117" ref="F558:K558">F123+F127+F131+F135+F202+F214+F218+F287+F291+F311+F323+F339+F343+F347+F351+F379+F383+F407+F411+F431+F451+F455+F463+F503+F515+F543+F547+F551+F554+F459</f>
        <v>17589235</v>
      </c>
      <c r="G558" s="222">
        <f>G123+G127+G131+G135+G202+G214+G218+G287+G291+G311+G323+G339+G343+G347+G351+G379+G383+G407+G411+G431+G451+G455+G463+G503+G515+G543+G547+G551+G554+G459</f>
        <v>513156083</v>
      </c>
      <c r="H558" s="222">
        <f t="shared" si="117"/>
        <v>7029209</v>
      </c>
      <c r="I558" s="222">
        <f t="shared" si="117"/>
        <v>187054569</v>
      </c>
      <c r="J558" s="222">
        <f t="shared" si="117"/>
        <v>15427991</v>
      </c>
      <c r="K558" s="222">
        <f t="shared" si="117"/>
        <v>0</v>
      </c>
      <c r="L558" s="222">
        <f>SUM(E558:K558)</f>
        <v>848038649</v>
      </c>
      <c r="M558" s="222">
        <f>M123+M127+M131+M135+M202+M214+M218+M287+M291+M311+M323+M339+M343+M347+M351+M379+M383+M407+M411+M431+M451+M455+M463+M503+M515+M543+M547+M551+M554+M459</f>
        <v>246089384</v>
      </c>
      <c r="N558" s="222">
        <f t="shared" si="116"/>
        <v>21191340</v>
      </c>
      <c r="O558" s="222">
        <f t="shared" si="116"/>
        <v>994273</v>
      </c>
      <c r="P558" s="222">
        <f t="shared" si="116"/>
        <v>0</v>
      </c>
      <c r="Q558" s="222">
        <f>SUM(L558:P558)</f>
        <v>1116313646</v>
      </c>
      <c r="R558" s="984">
        <f>R123+R127+R131+R135+R202+R214+R218+R287+R291+R311+R323+R339+R343+R347+R351+R379+R383+R407+R411+R431+R451+R455+R463+R503+R515+R543+R547+R551</f>
        <v>73</v>
      </c>
    </row>
    <row r="559" spans="1:18" s="22" customFormat="1" ht="12" customHeight="1">
      <c r="A559" s="1637" t="s">
        <v>116</v>
      </c>
      <c r="B559" s="1638"/>
      <c r="C559" s="1638"/>
      <c r="D559" s="1639"/>
      <c r="E559" s="224"/>
      <c r="F559" s="282"/>
      <c r="G559" s="224"/>
      <c r="H559" s="282"/>
      <c r="I559" s="282"/>
      <c r="J559" s="282"/>
      <c r="K559" s="224"/>
      <c r="L559" s="282"/>
      <c r="M559" s="282"/>
      <c r="N559" s="282"/>
      <c r="O559" s="282"/>
      <c r="P559" s="282"/>
      <c r="Q559" s="224"/>
      <c r="R559" s="385"/>
    </row>
    <row r="560" spans="1:18" s="22" customFormat="1" ht="12" customHeight="1">
      <c r="A560" s="217"/>
      <c r="B560" s="218"/>
      <c r="C560" s="219"/>
      <c r="D560" s="157" t="s">
        <v>144</v>
      </c>
      <c r="E560" s="220">
        <f>E121+E125+E129+E137+E148+E156+E168+E180+E184+E192+E196+E200+E212+E224+E232+E236+E265+E269+E254+E277+E297+E313+E321+E337+E365+E377+E405+E417+E437+E441+E545+E453+E445+E393+E397+E421+E509+E533+E552+E246</f>
        <v>89254000</v>
      </c>
      <c r="F560" s="220">
        <f aca="true" t="shared" si="118" ref="F560:K560">F121+F125+F129+F137+F148+F156+F168+F180+F184+F192+F196+F200+F212+F224+F232+F236+F265+F269+F254+F277+F297+F313+F321+F337+F365+F377+F405+F417+F437+F441+F545+F453+F445+F393+F397+F421+F509+F533+F552+F246</f>
        <v>11375000</v>
      </c>
      <c r="G560" s="220">
        <f t="shared" si="118"/>
        <v>475646069</v>
      </c>
      <c r="H560" s="220">
        <f t="shared" si="118"/>
        <v>7600000</v>
      </c>
      <c r="I560" s="220">
        <f t="shared" si="118"/>
        <v>153894079</v>
      </c>
      <c r="J560" s="220">
        <f t="shared" si="118"/>
        <v>13539000</v>
      </c>
      <c r="K560" s="220">
        <f t="shared" si="118"/>
        <v>300000000</v>
      </c>
      <c r="L560" s="220">
        <f>SUM(E560:K560)</f>
        <v>1051308148</v>
      </c>
      <c r="M560" s="220">
        <f>M121+M125+M129+M137+M148+M156+M168+M180+M184+M192+M196+M200+M212+M224+M232+M236+M265+M269+M254+M277+M297+M313+M321+M337+M365+M377+M405+M417+M437+M441+M545+M453+M445+M393+M397+M421+M509+M533+M552+M246</f>
        <v>622264930</v>
      </c>
      <c r="N560" s="220">
        <f>N121+N125+N129+N137+N148+N156+N168+N180+N184+N192+N196+N200+N212+N224+N232+N236+N265+N269+N254+N277+N297+N313+N321+N337+N365+N377+N405+N417+N437+N441+N545+N453+N445+N393+N397+N421+N509+N533+N552+N246</f>
        <v>0</v>
      </c>
      <c r="O560" s="220">
        <f>O121+O125+O129+O137+O148+O156+O168+O180+O184+O192+O196+O200+O212+O224+O232+O236+O265+O269+O254+O277+O297+O313+O321+O337+O365+O377+O405+O417+O437+O441+O545+O453+O445+O393+O397+O421+O509+O533+O552+O246</f>
        <v>0</v>
      </c>
      <c r="P560" s="220">
        <f>P121+P125+P129+P137+P148+P156+P168+P180+P184+P192+P196+P200+P212+P224+P232+P236+P265+P269+P254+P277+P297+P313+P321+P337+P365+P377+P405+P417+P437+P441+P545+P453+P445+P393+P397+P421+P509+P533+P552+P246</f>
        <v>0</v>
      </c>
      <c r="Q560" s="220">
        <f>SUM(L560:P560)</f>
        <v>1673573078</v>
      </c>
      <c r="R560" s="446">
        <v>101</v>
      </c>
    </row>
    <row r="561" spans="1:18" s="22" customFormat="1" ht="12" customHeight="1">
      <c r="A561" s="217"/>
      <c r="B561" s="218"/>
      <c r="C561" s="219"/>
      <c r="D561" s="157" t="s">
        <v>145</v>
      </c>
      <c r="E561" s="220">
        <f>E122+E126+E130+E138+E149+E157+E169+E181+E185+E193+E197+E201+E213+E225+E233+E237+E266+E270+E255+E278+E298+E314+E322+E338+E366+E378+E406+E418+E438+E442+E546+E454+E446+E394+E398+E422+E510+E534+E553+E247+E262+E426+E458</f>
        <v>92311050</v>
      </c>
      <c r="F561" s="220">
        <f aca="true" t="shared" si="119" ref="F561:K561">F122+F126+F130+F138+F149+F157+F169+F181+F185+F193+F197+F201+F213+F225+F233+F237+F266+F270+F255+F278+F298+F314+F322+F338+F366+F378+F406+F418+F438+F442+F546+F454+F446+F394+F398+F422+F510+F534+F553+F247+F262+F426+F458</f>
        <v>13011550</v>
      </c>
      <c r="G561" s="220">
        <f t="shared" si="119"/>
        <v>460635535</v>
      </c>
      <c r="H561" s="220">
        <f t="shared" si="119"/>
        <v>11543500</v>
      </c>
      <c r="I561" s="220">
        <f t="shared" si="119"/>
        <v>186247844</v>
      </c>
      <c r="J561" s="220">
        <f t="shared" si="119"/>
        <v>14269000</v>
      </c>
      <c r="K561" s="220">
        <f t="shared" si="119"/>
        <v>2000000</v>
      </c>
      <c r="L561" s="220">
        <f>SUM(E561:K561)</f>
        <v>780018479</v>
      </c>
      <c r="M561" s="220">
        <f aca="true" t="shared" si="120" ref="M561:P562">M122+M126+M130+M138+M149+M157+M169+M181+M185+M193+M197+M201+M213+M225+M233+M237+M266+M270+M255+M278+M298+M314+M322+M338+M366+M378+M406+M418+M438+M442+M546+M454+M446+M394+M398+M422+M510+M534+M553+M247+M262+M426+M458</f>
        <v>2684208831</v>
      </c>
      <c r="N561" s="220">
        <f t="shared" si="120"/>
        <v>15000000</v>
      </c>
      <c r="O561" s="220">
        <f t="shared" si="120"/>
        <v>994273</v>
      </c>
      <c r="P561" s="220">
        <f t="shared" si="120"/>
        <v>0</v>
      </c>
      <c r="Q561" s="220">
        <f>SUM(L561:P561)</f>
        <v>3480221583</v>
      </c>
      <c r="R561" s="446">
        <v>101</v>
      </c>
    </row>
    <row r="562" spans="1:18" s="22" customFormat="1" ht="12" customHeight="1" thickBot="1">
      <c r="A562" s="301"/>
      <c r="B562" s="260"/>
      <c r="C562" s="302"/>
      <c r="D562" s="246" t="s">
        <v>146</v>
      </c>
      <c r="E562" s="220">
        <f>E123+E127+E131+E139+E150+E158+E170+E182+E186+E194+E198+E202+E214+E226+E234+E238+E267+E271+E256+E279+E299+E315+E323+E339+E367+E379+E407+E419+E439+E443+E547+E455+E447+E395+E399+E423+E511+E535+E554+E248+E263+E427+E459</f>
        <v>78913349</v>
      </c>
      <c r="F562" s="220">
        <f aca="true" t="shared" si="121" ref="F562:K562">F123+F127+F131+F139+F150+F158+F170+F182+F186+F194+F198+F202+F214+F226+F234+F238+F267+F271+F256+F279+F299+F315+F323+F339+F367+F379+F407+F419+F439+F443+F547+F455+F447+F395+F399+F423+F511+F535+F554+F248+F263+F427+F459</f>
        <v>10369735</v>
      </c>
      <c r="G562" s="220">
        <f t="shared" si="121"/>
        <v>319934824</v>
      </c>
      <c r="H562" s="220">
        <f t="shared" si="121"/>
        <v>7029209</v>
      </c>
      <c r="I562" s="220">
        <f t="shared" si="121"/>
        <v>160125169</v>
      </c>
      <c r="J562" s="220">
        <f t="shared" si="121"/>
        <v>11298091</v>
      </c>
      <c r="K562" s="220">
        <f t="shared" si="121"/>
        <v>0</v>
      </c>
      <c r="L562" s="248">
        <f>SUM(E562:K562)</f>
        <v>587670377</v>
      </c>
      <c r="M562" s="220">
        <f t="shared" si="120"/>
        <v>183115618</v>
      </c>
      <c r="N562" s="220">
        <f t="shared" si="120"/>
        <v>0</v>
      </c>
      <c r="O562" s="220">
        <f t="shared" si="120"/>
        <v>994273</v>
      </c>
      <c r="P562" s="220">
        <f t="shared" si="120"/>
        <v>0</v>
      </c>
      <c r="Q562" s="248">
        <f>SUM(L562:P562)</f>
        <v>771780268</v>
      </c>
      <c r="R562" s="1007">
        <f>R123+R127+R131+R139+R150+R158+R170+R182+R198+R202+R214+R226+R234+R238+R267+R271+R256+R299+R315+R323+R339+R367+R379+R407+R415+R419+R439+R443+R547+R455+R387+R403+R447</f>
        <v>69</v>
      </c>
    </row>
    <row r="563" spans="1:18" s="22" customFormat="1" ht="12" customHeight="1">
      <c r="A563" s="1637" t="s">
        <v>182</v>
      </c>
      <c r="B563" s="1638"/>
      <c r="C563" s="1638"/>
      <c r="D563" s="1639"/>
      <c r="E563" s="282"/>
      <c r="F563" s="282"/>
      <c r="G563" s="224"/>
      <c r="H563" s="282"/>
      <c r="I563" s="282"/>
      <c r="J563" s="282"/>
      <c r="K563" s="282"/>
      <c r="L563" s="282"/>
      <c r="M563" s="282"/>
      <c r="N563" s="282"/>
      <c r="O563" s="282"/>
      <c r="P563" s="282"/>
      <c r="Q563" s="224"/>
      <c r="R563" s="385"/>
    </row>
    <row r="564" spans="1:18" s="22" customFormat="1" ht="12" customHeight="1">
      <c r="A564" s="205"/>
      <c r="B564" s="218"/>
      <c r="C564" s="218"/>
      <c r="D564" s="157" t="s">
        <v>144</v>
      </c>
      <c r="E564" s="220">
        <v>0</v>
      </c>
      <c r="F564" s="220">
        <v>0</v>
      </c>
      <c r="G564" s="220">
        <v>0</v>
      </c>
      <c r="H564" s="220">
        <v>0</v>
      </c>
      <c r="I564" s="220">
        <v>0</v>
      </c>
      <c r="J564" s="220">
        <v>0</v>
      </c>
      <c r="K564" s="220">
        <f>K269</f>
        <v>0</v>
      </c>
      <c r="L564" s="220">
        <f>SUM(E564:K564)</f>
        <v>0</v>
      </c>
      <c r="M564" s="220">
        <v>0</v>
      </c>
      <c r="N564" s="220">
        <f>N269</f>
        <v>0</v>
      </c>
      <c r="O564" s="220">
        <v>0</v>
      </c>
      <c r="P564" s="220">
        <f>P269</f>
        <v>0</v>
      </c>
      <c r="Q564" s="220">
        <f>SUM(L564:P564)</f>
        <v>0</v>
      </c>
      <c r="R564" s="446">
        <v>0</v>
      </c>
    </row>
    <row r="565" spans="1:18" s="22" customFormat="1" ht="12" customHeight="1">
      <c r="A565" s="205"/>
      <c r="B565" s="218"/>
      <c r="C565" s="218"/>
      <c r="D565" s="157" t="s">
        <v>145</v>
      </c>
      <c r="E565" s="220">
        <v>0</v>
      </c>
      <c r="F565" s="220">
        <v>0</v>
      </c>
      <c r="G565" s="220">
        <v>0</v>
      </c>
      <c r="H565" s="220">
        <f>H270</f>
        <v>0</v>
      </c>
      <c r="I565" s="220">
        <f>I270</f>
        <v>0</v>
      </c>
      <c r="J565" s="220">
        <v>0</v>
      </c>
      <c r="K565" s="220">
        <f>K270</f>
        <v>0</v>
      </c>
      <c r="L565" s="220">
        <f>SUM(E565:K565)</f>
        <v>0</v>
      </c>
      <c r="M565" s="220">
        <v>0</v>
      </c>
      <c r="N565" s="220">
        <f>N270</f>
        <v>0</v>
      </c>
      <c r="O565" s="220">
        <v>0</v>
      </c>
      <c r="P565" s="220">
        <f>P270</f>
        <v>0</v>
      </c>
      <c r="Q565" s="220">
        <f>SUM(L565:P565)</f>
        <v>0</v>
      </c>
      <c r="R565" s="446">
        <v>0</v>
      </c>
    </row>
    <row r="566" spans="1:18" s="22" customFormat="1" ht="12" customHeight="1" thickBot="1">
      <c r="A566" s="244"/>
      <c r="B566" s="260"/>
      <c r="C566" s="260"/>
      <c r="D566" s="246" t="s">
        <v>146</v>
      </c>
      <c r="E566" s="248">
        <v>0</v>
      </c>
      <c r="F566" s="248">
        <v>0</v>
      </c>
      <c r="G566" s="248">
        <v>0</v>
      </c>
      <c r="H566" s="248">
        <f>H271</f>
        <v>0</v>
      </c>
      <c r="I566" s="248">
        <f>I271</f>
        <v>0</v>
      </c>
      <c r="J566" s="248">
        <v>0</v>
      </c>
      <c r="K566" s="248">
        <f>K271</f>
        <v>0</v>
      </c>
      <c r="L566" s="248">
        <f>SUM(E566:K566)</f>
        <v>0</v>
      </c>
      <c r="M566" s="248">
        <v>0</v>
      </c>
      <c r="N566" s="248">
        <f>N271</f>
        <v>0</v>
      </c>
      <c r="O566" s="248">
        <v>0</v>
      </c>
      <c r="P566" s="248">
        <f>P271</f>
        <v>0</v>
      </c>
      <c r="Q566" s="248">
        <f>SUM(L566:P566)</f>
        <v>0</v>
      </c>
      <c r="R566" s="448">
        <v>0</v>
      </c>
    </row>
    <row r="567" spans="1:18" s="22" customFormat="1" ht="12" customHeight="1">
      <c r="A567" s="1645" t="s">
        <v>152</v>
      </c>
      <c r="B567" s="1646"/>
      <c r="C567" s="1646"/>
      <c r="D567" s="1647"/>
      <c r="E567" s="285"/>
      <c r="F567" s="285"/>
      <c r="G567" s="222"/>
      <c r="H567" s="285"/>
      <c r="I567" s="285"/>
      <c r="J567" s="285"/>
      <c r="K567" s="285"/>
      <c r="L567" s="285"/>
      <c r="M567" s="285"/>
      <c r="N567" s="285"/>
      <c r="O567" s="285"/>
      <c r="P567" s="285"/>
      <c r="Q567" s="222"/>
      <c r="R567" s="460"/>
    </row>
    <row r="568" spans="1:18" s="22" customFormat="1" ht="12" customHeight="1">
      <c r="A568" s="303"/>
      <c r="B568" s="304"/>
      <c r="C568" s="305"/>
      <c r="D568" s="136" t="s">
        <v>144</v>
      </c>
      <c r="E568" s="220">
        <f>E140+E144+E160+E172+E176+E188+E228+E243+E250+E257+E285+E293+E301+E305+E317+E341+E345+E353+E357+E361+E389+E385+E433+E449+E461+E513-E533+E541+E549+E239+E273+E369+E413+E505+E373+E401</f>
        <v>32747000</v>
      </c>
      <c r="F568" s="220">
        <f aca="true" t="shared" si="122" ref="F568:K568">F140+F144+F160+F172+F176+F188+F228+F243+F250+F257+F285+F293+F301+F305+F317+F341+F345+F353+F357+F361+F389+F385+F433+F449+F461+F513-F533+F541+F549+F239+F273+F369+F413+F505+F373+F401</f>
        <v>8062000</v>
      </c>
      <c r="G568" s="220">
        <f t="shared" si="122"/>
        <v>224267000</v>
      </c>
      <c r="H568" s="220">
        <f t="shared" si="122"/>
        <v>0</v>
      </c>
      <c r="I568" s="220">
        <f t="shared" si="122"/>
        <v>5480000</v>
      </c>
      <c r="J568" s="220">
        <f t="shared" si="122"/>
        <v>5148000</v>
      </c>
      <c r="K568" s="220">
        <f t="shared" si="122"/>
        <v>7630000</v>
      </c>
      <c r="L568" s="220">
        <f>SUM(E568:K568)</f>
        <v>283334000</v>
      </c>
      <c r="M568" s="220">
        <f>M140+M144+M160+M172+M176+M188+M228+M243+M250+M257+M285+M293+M301+M305+M317+M341+M345+M353+M357+M361+M389+M385+M433+M449+M461+M513-M537+M541+M549+M239+M273+M369+M413+M505</f>
        <v>142062350</v>
      </c>
      <c r="N568" s="220">
        <f>N140+N144+N160+N172+N176+N188+N228+N243+N250+N257+N285+N293+N301+N305+N317+N341+N345+N353+N357+N361+N389+N385+N433+N449+N461+N513-N537+N541+N549+N239+N273+N369+N413+N505</f>
        <v>23887216</v>
      </c>
      <c r="O568" s="220">
        <f>O140+O144+O160+O172+O176+O188+O228+O243+O250+O257+O285+O293+O301+O305+O317+O341+O345+O353+O357+O361+O389+O385+O433+O449+O461+O513-O537+O541+O549+O239+O273+O369+O413+O505</f>
        <v>0</v>
      </c>
      <c r="P568" s="220">
        <f>P140+P144+P160+P172+P176+P188+P228+P243+P250+P257+P285+P293+P301+P305+P317+P341+P345+P353+P357+P361+P389+P385+P433+P449+P461+P513-P537+P541+P549+P239+P273+P369+P413+P505</f>
        <v>60000000</v>
      </c>
      <c r="Q568" s="220">
        <f>SUM(L568:P568)</f>
        <v>509283566</v>
      </c>
      <c r="R568" s="461">
        <v>4</v>
      </c>
    </row>
    <row r="569" spans="1:18" s="22" customFormat="1" ht="12" customHeight="1">
      <c r="A569" s="217"/>
      <c r="B569" s="218"/>
      <c r="C569" s="219"/>
      <c r="D569" s="157" t="s">
        <v>145</v>
      </c>
      <c r="E569" s="220">
        <f>E141+E145+E161+E173+E177+E189+E229+E244+E251+E258+E286+E294+E302+E306+E318+E342+E346+E354+E358+E362+E390+E386+E434+E450+E462+E514-E534+E542+E550+E240+E274+E370+E414+E506+E282+E374+E402</f>
        <v>35594613</v>
      </c>
      <c r="F569" s="220">
        <f aca="true" t="shared" si="123" ref="F569:K569">F141+F145+F161+F173+F177+F189+F229+F244+F251+F258+F286+F294+F302+F306+F318+F342+F346+F354+F358+F362+F390+F386+F434+F450+F462+F514-F534+F542+F550+F240+F274+F370+F414+F506+F282+F374+F402</f>
        <v>10064787</v>
      </c>
      <c r="G569" s="220">
        <f t="shared" si="123"/>
        <v>259446106</v>
      </c>
      <c r="H569" s="220">
        <f t="shared" si="123"/>
        <v>0</v>
      </c>
      <c r="I569" s="220">
        <f t="shared" si="123"/>
        <v>32607000</v>
      </c>
      <c r="J569" s="220">
        <f t="shared" si="123"/>
        <v>4872000</v>
      </c>
      <c r="K569" s="220">
        <f t="shared" si="123"/>
        <v>5113000</v>
      </c>
      <c r="L569" s="220">
        <f>SUM(E569:K569)</f>
        <v>347697506</v>
      </c>
      <c r="M569" s="220">
        <f aca="true" t="shared" si="124" ref="M569:P570">M141+M145+M161+M173+M177+M189+M229+M244+M251+M258+M286+M294+M302+M306+M318+M342+M346+M354+M358+M362+M390+M386+M434+M450+M462+M514-M534+M542+M550+M240+M274+M370+M414+M506+M282+M374+M402</f>
        <v>207845822</v>
      </c>
      <c r="N569" s="220">
        <f t="shared" si="124"/>
        <v>25704556</v>
      </c>
      <c r="O569" s="220">
        <f t="shared" si="124"/>
        <v>0</v>
      </c>
      <c r="P569" s="220">
        <f t="shared" si="124"/>
        <v>60000000</v>
      </c>
      <c r="Q569" s="220">
        <f>SUM(L569:P569)</f>
        <v>641247884</v>
      </c>
      <c r="R569" s="461">
        <v>4</v>
      </c>
    </row>
    <row r="570" spans="1:18" s="22" customFormat="1" ht="12" customHeight="1" thickBot="1">
      <c r="A570" s="301"/>
      <c r="B570" s="260"/>
      <c r="C570" s="302"/>
      <c r="D570" s="246" t="s">
        <v>146</v>
      </c>
      <c r="E570" s="220">
        <f>E142+E146+E162+E174+E178+E190+E230+E245+E252+E259+E287+E295+E303+E307+E319+E343+E347+E355+E359+E363+E391+E387+E435+E451+E463+E515-E535+E543+E551+E241+E275+E371+E415+E507+E283+E375+E403</f>
        <v>28868213</v>
      </c>
      <c r="F570" s="220">
        <f aca="true" t="shared" si="125" ref="F570:K570">F142+F146+F162+F174+F178+F190+F230+F245+F252+F259+F287+F295+F303+F307+F319+F343+F347+F355+F359+F363+F391+F387+F435+F451+F463+F515-F535+F543+F551+F241+F275+F371+F415+F507+F283+F375+F403</f>
        <v>7219500</v>
      </c>
      <c r="G570" s="220">
        <f t="shared" si="125"/>
        <v>193221259</v>
      </c>
      <c r="H570" s="220">
        <f t="shared" si="125"/>
        <v>0</v>
      </c>
      <c r="I570" s="220">
        <f t="shared" si="125"/>
        <v>26929400</v>
      </c>
      <c r="J570" s="220">
        <f t="shared" si="125"/>
        <v>4129900</v>
      </c>
      <c r="K570" s="220">
        <f t="shared" si="125"/>
        <v>0</v>
      </c>
      <c r="L570" s="248">
        <f>SUM(E570:K570)</f>
        <v>260368272</v>
      </c>
      <c r="M570" s="220">
        <f t="shared" si="124"/>
        <v>62973766</v>
      </c>
      <c r="N570" s="220">
        <f t="shared" si="124"/>
        <v>21191340</v>
      </c>
      <c r="O570" s="220">
        <f t="shared" si="124"/>
        <v>0</v>
      </c>
      <c r="P570" s="220">
        <f t="shared" si="124"/>
        <v>0</v>
      </c>
      <c r="Q570" s="248">
        <f>SUM(L570:P570)</f>
        <v>344533378</v>
      </c>
      <c r="R570" s="985">
        <f>R146+R162+R174+R178+R190+R194+R230+R245+R252+R259+R271+R287+R295+R303+R307+R319+R343+R347+R355+R359+R363+R391+R395+R399+R423+R435+R447+R451+R463+R503+R515+R543+R551</f>
        <v>4</v>
      </c>
    </row>
    <row r="571" spans="1:18" s="16" customFormat="1" ht="14.25" customHeight="1">
      <c r="A571" s="1630" t="s">
        <v>61</v>
      </c>
      <c r="B571" s="1631"/>
      <c r="C571" s="1631"/>
      <c r="D571" s="1631"/>
      <c r="E571" s="1631"/>
      <c r="F571" s="1631"/>
      <c r="G571" s="1631"/>
      <c r="H571" s="1631"/>
      <c r="I571" s="1631"/>
      <c r="J571" s="1631"/>
      <c r="K571" s="1631"/>
      <c r="L571" s="1631"/>
      <c r="M571" s="1631"/>
      <c r="N571" s="1631"/>
      <c r="O571" s="1631"/>
      <c r="P571" s="1631"/>
      <c r="Q571" s="1631"/>
      <c r="R571" s="1632"/>
    </row>
    <row r="572" spans="1:18" s="16" customFormat="1" ht="12" customHeight="1">
      <c r="A572" s="266">
        <v>34</v>
      </c>
      <c r="B572" s="209">
        <v>1</v>
      </c>
      <c r="C572" s="268" t="s">
        <v>106</v>
      </c>
      <c r="D572" s="306" t="s">
        <v>681</v>
      </c>
      <c r="E572" s="354"/>
      <c r="F572" s="354"/>
      <c r="G572" s="270"/>
      <c r="H572" s="354"/>
      <c r="I572" s="354"/>
      <c r="J572" s="354"/>
      <c r="K572" s="354"/>
      <c r="L572" s="354"/>
      <c r="M572" s="354"/>
      <c r="N572" s="354"/>
      <c r="O572" s="354"/>
      <c r="P572" s="354"/>
      <c r="Q572" s="271"/>
      <c r="R572" s="474"/>
    </row>
    <row r="573" spans="1:18" s="16" customFormat="1" ht="12" customHeight="1">
      <c r="A573" s="266"/>
      <c r="B573" s="209"/>
      <c r="C573" s="268"/>
      <c r="D573" s="157" t="s">
        <v>144</v>
      </c>
      <c r="E573" s="354"/>
      <c r="F573" s="354"/>
      <c r="G573" s="211">
        <v>17107324</v>
      </c>
      <c r="H573" s="354"/>
      <c r="I573" s="354"/>
      <c r="J573" s="354"/>
      <c r="K573" s="354"/>
      <c r="L573" s="270">
        <f>G573</f>
        <v>17107324</v>
      </c>
      <c r="M573" s="270"/>
      <c r="N573" s="270"/>
      <c r="O573" s="270"/>
      <c r="P573" s="354"/>
      <c r="Q573" s="271">
        <f>SUM(L573:P573)</f>
        <v>17107324</v>
      </c>
      <c r="R573" s="474"/>
    </row>
    <row r="574" spans="1:18" s="16" customFormat="1" ht="12" customHeight="1">
      <c r="A574" s="266"/>
      <c r="B574" s="209"/>
      <c r="C574" s="268"/>
      <c r="D574" s="157" t="s">
        <v>145</v>
      </c>
      <c r="E574" s="354"/>
      <c r="F574" s="354"/>
      <c r="G574" s="211">
        <v>34980994</v>
      </c>
      <c r="H574" s="354"/>
      <c r="I574" s="354"/>
      <c r="J574" s="354"/>
      <c r="K574" s="354"/>
      <c r="L574" s="270">
        <f>SUM(G574:K574)</f>
        <v>34980994</v>
      </c>
      <c r="M574" s="270"/>
      <c r="N574" s="270"/>
      <c r="O574" s="270"/>
      <c r="P574" s="354"/>
      <c r="Q574" s="271">
        <f>SUM(L574:P574)</f>
        <v>34980994</v>
      </c>
      <c r="R574" s="474"/>
    </row>
    <row r="575" spans="1:18" s="16" customFormat="1" ht="12" customHeight="1">
      <c r="A575" s="266"/>
      <c r="B575" s="209"/>
      <c r="C575" s="268"/>
      <c r="D575" s="136" t="s">
        <v>146</v>
      </c>
      <c r="E575" s="354"/>
      <c r="F575" s="354"/>
      <c r="G575" s="211">
        <v>17107324</v>
      </c>
      <c r="H575" s="354"/>
      <c r="I575" s="354"/>
      <c r="J575" s="354"/>
      <c r="K575" s="354"/>
      <c r="L575" s="270">
        <f>SUM(G575:K575)</f>
        <v>17107324</v>
      </c>
      <c r="M575" s="270"/>
      <c r="N575" s="270"/>
      <c r="O575" s="270"/>
      <c r="P575" s="354"/>
      <c r="Q575" s="271">
        <f>SUM(L575:P575)</f>
        <v>17107324</v>
      </c>
      <c r="R575" s="474"/>
    </row>
    <row r="576" spans="1:18" s="16" customFormat="1" ht="12" customHeight="1">
      <c r="A576" s="217">
        <v>35</v>
      </c>
      <c r="B576" s="206"/>
      <c r="C576" s="207"/>
      <c r="D576" s="732" t="s">
        <v>839</v>
      </c>
      <c r="E576" s="284"/>
      <c r="F576" s="284"/>
      <c r="G576" s="220"/>
      <c r="H576" s="284"/>
      <c r="I576" s="284"/>
      <c r="J576" s="284"/>
      <c r="K576" s="284"/>
      <c r="L576" s="220"/>
      <c r="M576" s="220"/>
      <c r="N576" s="220"/>
      <c r="O576" s="220"/>
      <c r="P576" s="284"/>
      <c r="Q576" s="243"/>
      <c r="R576" s="446"/>
    </row>
    <row r="577" spans="1:18" s="16" customFormat="1" ht="12" customHeight="1">
      <c r="A577" s="217"/>
      <c r="B577" s="206"/>
      <c r="C577" s="207" t="s">
        <v>107</v>
      </c>
      <c r="D577" s="157" t="s">
        <v>144</v>
      </c>
      <c r="E577" s="284"/>
      <c r="F577" s="284"/>
      <c r="G577" s="197">
        <v>2000000000</v>
      </c>
      <c r="H577" s="284"/>
      <c r="I577" s="284"/>
      <c r="J577" s="284"/>
      <c r="K577" s="284"/>
      <c r="L577" s="220">
        <f aca="true" t="shared" si="126" ref="L577:L582">SUM(E577:K577)</f>
        <v>2000000000</v>
      </c>
      <c r="M577" s="220"/>
      <c r="N577" s="220"/>
      <c r="O577" s="220"/>
      <c r="P577" s="284"/>
      <c r="Q577" s="243">
        <f aca="true" t="shared" si="127" ref="Q577:Q582">SUM(L577:P577)</f>
        <v>2000000000</v>
      </c>
      <c r="R577" s="446"/>
    </row>
    <row r="578" spans="1:18" s="16" customFormat="1" ht="12" customHeight="1">
      <c r="A578" s="217"/>
      <c r="B578" s="206"/>
      <c r="C578" s="207"/>
      <c r="D578" s="157" t="s">
        <v>145</v>
      </c>
      <c r="E578" s="284"/>
      <c r="F578" s="284"/>
      <c r="G578" s="197">
        <v>3000000000</v>
      </c>
      <c r="H578" s="284"/>
      <c r="I578" s="284"/>
      <c r="J578" s="284"/>
      <c r="K578" s="284"/>
      <c r="L578" s="220">
        <f t="shared" si="126"/>
        <v>3000000000</v>
      </c>
      <c r="M578" s="220"/>
      <c r="N578" s="220"/>
      <c r="O578" s="220"/>
      <c r="P578" s="284"/>
      <c r="Q578" s="243">
        <f t="shared" si="127"/>
        <v>3000000000</v>
      </c>
      <c r="R578" s="446"/>
    </row>
    <row r="579" spans="1:18" s="16" customFormat="1" ht="12" customHeight="1">
      <c r="A579" s="189"/>
      <c r="B579" s="201"/>
      <c r="C579" s="202"/>
      <c r="D579" s="136" t="s">
        <v>146</v>
      </c>
      <c r="E579" s="285"/>
      <c r="F579" s="285"/>
      <c r="G579" s="203">
        <v>1480880000</v>
      </c>
      <c r="H579" s="285"/>
      <c r="I579" s="285"/>
      <c r="J579" s="285"/>
      <c r="K579" s="285"/>
      <c r="L579" s="222">
        <f t="shared" si="126"/>
        <v>1480880000</v>
      </c>
      <c r="M579" s="222"/>
      <c r="N579" s="222"/>
      <c r="O579" s="222"/>
      <c r="P579" s="285"/>
      <c r="Q579" s="212">
        <f t="shared" si="127"/>
        <v>1480880000</v>
      </c>
      <c r="R579" s="458"/>
    </row>
    <row r="580" spans="1:18" s="16" customFormat="1" ht="12" customHeight="1">
      <c r="A580" s="217"/>
      <c r="B580" s="206"/>
      <c r="C580" s="207" t="s">
        <v>106</v>
      </c>
      <c r="D580" s="157" t="s">
        <v>144</v>
      </c>
      <c r="E580" s="284"/>
      <c r="F580" s="284"/>
      <c r="G580" s="197">
        <v>3000000000</v>
      </c>
      <c r="H580" s="284"/>
      <c r="I580" s="284"/>
      <c r="J580" s="284"/>
      <c r="K580" s="284"/>
      <c r="L580" s="220">
        <f t="shared" si="126"/>
        <v>3000000000</v>
      </c>
      <c r="M580" s="220"/>
      <c r="N580" s="220"/>
      <c r="O580" s="220"/>
      <c r="P580" s="284"/>
      <c r="Q580" s="243">
        <f t="shared" si="127"/>
        <v>3000000000</v>
      </c>
      <c r="R580" s="446"/>
    </row>
    <row r="581" spans="1:18" s="16" customFormat="1" ht="12" customHeight="1">
      <c r="A581" s="217"/>
      <c r="B581" s="206"/>
      <c r="C581" s="207"/>
      <c r="D581" s="157" t="s">
        <v>145</v>
      </c>
      <c r="E581" s="284"/>
      <c r="F581" s="284"/>
      <c r="G581" s="197">
        <v>2000000000</v>
      </c>
      <c r="H581" s="284"/>
      <c r="I581" s="284"/>
      <c r="J581" s="284"/>
      <c r="K581" s="284"/>
      <c r="L581" s="220">
        <f t="shared" si="126"/>
        <v>2000000000</v>
      </c>
      <c r="M581" s="220"/>
      <c r="N581" s="220"/>
      <c r="O581" s="220"/>
      <c r="P581" s="284"/>
      <c r="Q581" s="243">
        <f t="shared" si="127"/>
        <v>2000000000</v>
      </c>
      <c r="R581" s="446"/>
    </row>
    <row r="582" spans="1:18" s="16" customFormat="1" ht="12" customHeight="1" thickBot="1">
      <c r="A582" s="189"/>
      <c r="B582" s="279"/>
      <c r="C582" s="280"/>
      <c r="D582" s="136" t="s">
        <v>146</v>
      </c>
      <c r="E582" s="293"/>
      <c r="F582" s="293"/>
      <c r="G582" s="281">
        <f>11147617</f>
        <v>11147617</v>
      </c>
      <c r="H582" s="293"/>
      <c r="I582" s="293"/>
      <c r="J582" s="293"/>
      <c r="K582" s="293"/>
      <c r="L582" s="286">
        <f t="shared" si="126"/>
        <v>11147617</v>
      </c>
      <c r="M582" s="1008"/>
      <c r="N582" s="222"/>
      <c r="O582" s="222"/>
      <c r="P582" s="285"/>
      <c r="Q582" s="212">
        <f t="shared" si="127"/>
        <v>11147617</v>
      </c>
      <c r="R582" s="458"/>
    </row>
    <row r="583" spans="1:18" ht="18" customHeight="1" thickBot="1">
      <c r="A583" s="1651" t="s">
        <v>759</v>
      </c>
      <c r="B583" s="1652"/>
      <c r="C583" s="1652"/>
      <c r="D583" s="1652"/>
      <c r="E583" s="1652"/>
      <c r="F583" s="1652"/>
      <c r="G583" s="1652"/>
      <c r="H583" s="1652"/>
      <c r="I583" s="1652"/>
      <c r="J583" s="1652"/>
      <c r="K583" s="1652"/>
      <c r="L583" s="1652"/>
      <c r="M583" s="1653"/>
      <c r="N583" s="355"/>
      <c r="O583" s="355"/>
      <c r="P583" s="355"/>
      <c r="Q583" s="299"/>
      <c r="R583" s="475"/>
    </row>
    <row r="584" spans="1:18" ht="12" customHeight="1">
      <c r="A584" s="307"/>
      <c r="B584" s="188"/>
      <c r="C584" s="308"/>
      <c r="D584" s="136" t="s">
        <v>144</v>
      </c>
      <c r="E584" s="222">
        <f>E105+E556+E573</f>
        <v>291849000</v>
      </c>
      <c r="F584" s="222">
        <f>F105+F556+F573</f>
        <v>60556000</v>
      </c>
      <c r="G584" s="222">
        <f>G105+G556</f>
        <v>739913069</v>
      </c>
      <c r="H584" s="222">
        <f>H105+H556+H573</f>
        <v>8300000</v>
      </c>
      <c r="I584" s="222">
        <f>I105+I556+I573</f>
        <v>159374079</v>
      </c>
      <c r="J584" s="222">
        <f>J105+J556+J573</f>
        <v>44771773</v>
      </c>
      <c r="K584" s="222">
        <f>K105+K556+K573</f>
        <v>307630000</v>
      </c>
      <c r="L584" s="222">
        <f>SUM(E584:K584)+G573+G577+G580</f>
        <v>6629501245</v>
      </c>
      <c r="M584" s="222">
        <f aca="true" t="shared" si="128" ref="M584:P586">M105+M556+M573</f>
        <v>764327280</v>
      </c>
      <c r="N584" s="222">
        <f t="shared" si="128"/>
        <v>23887216</v>
      </c>
      <c r="O584" s="222">
        <f t="shared" si="128"/>
        <v>0</v>
      </c>
      <c r="P584" s="222">
        <f t="shared" si="128"/>
        <v>60000000</v>
      </c>
      <c r="Q584" s="222">
        <f>SUM(L584:P584)</f>
        <v>7477715741</v>
      </c>
      <c r="R584" s="458">
        <f>R105+R556+R573</f>
        <v>150</v>
      </c>
    </row>
    <row r="585" spans="1:18" ht="12" customHeight="1">
      <c r="A585" s="309"/>
      <c r="B585" s="310"/>
      <c r="C585" s="311"/>
      <c r="D585" s="157" t="s">
        <v>145</v>
      </c>
      <c r="E585" s="220">
        <f>E106+E557</f>
        <v>297794663</v>
      </c>
      <c r="F585" s="220">
        <f>F106+F557</f>
        <v>64241337</v>
      </c>
      <c r="G585" s="220">
        <f>G106+G557</f>
        <v>761809641</v>
      </c>
      <c r="H585" s="220">
        <f>H106+H557</f>
        <v>12243500</v>
      </c>
      <c r="I585" s="220">
        <f>I106+I557</f>
        <v>218854844</v>
      </c>
      <c r="J585" s="220">
        <f>J106+J557</f>
        <v>45225773</v>
      </c>
      <c r="K585" s="220">
        <f>K106+K557</f>
        <v>7113000</v>
      </c>
      <c r="L585" s="220">
        <f>SUM(E585:K585)+G574+G578+G581</f>
        <v>6442263752</v>
      </c>
      <c r="M585" s="220">
        <f t="shared" si="128"/>
        <v>2892054653</v>
      </c>
      <c r="N585" s="220">
        <f t="shared" si="128"/>
        <v>40704556</v>
      </c>
      <c r="O585" s="220">
        <f t="shared" si="128"/>
        <v>994273</v>
      </c>
      <c r="P585" s="220">
        <f t="shared" si="128"/>
        <v>60000000</v>
      </c>
      <c r="Q585" s="220">
        <f>Q106+Q557+Q574+Q578+Q581</f>
        <v>9436017234</v>
      </c>
      <c r="R585" s="446">
        <v>150</v>
      </c>
    </row>
    <row r="586" spans="1:18" ht="12" customHeight="1" thickBot="1">
      <c r="A586" s="307"/>
      <c r="B586" s="191"/>
      <c r="C586" s="308"/>
      <c r="D586" s="210" t="s">
        <v>146</v>
      </c>
      <c r="E586" s="222">
        <f>E107+E558+E575</f>
        <v>258502660</v>
      </c>
      <c r="F586" s="222">
        <f>F107+F558+F575</f>
        <v>54418562</v>
      </c>
      <c r="G586" s="222">
        <f>G107+G558</f>
        <v>546985953</v>
      </c>
      <c r="H586" s="222">
        <f>H107+H558+H575</f>
        <v>7029209</v>
      </c>
      <c r="I586" s="222">
        <f>I107+I558+I575</f>
        <v>187054569</v>
      </c>
      <c r="J586" s="222">
        <f>J107+J558+J575</f>
        <v>41512764</v>
      </c>
      <c r="K586" s="222">
        <f>K107+K558+K575</f>
        <v>0</v>
      </c>
      <c r="L586" s="286">
        <f>SUM(E586:K586)+G579+G575+G582</f>
        <v>2604638658</v>
      </c>
      <c r="M586" s="222">
        <f>M107+M558+M575</f>
        <v>246089384</v>
      </c>
      <c r="N586" s="222">
        <f t="shared" si="128"/>
        <v>21191340</v>
      </c>
      <c r="O586" s="222">
        <f t="shared" si="128"/>
        <v>994273</v>
      </c>
      <c r="P586" s="222">
        <f t="shared" si="128"/>
        <v>0</v>
      </c>
      <c r="Q586" s="248">
        <f>Q107+Q558+Q575+Q579+Q582</f>
        <v>2872913655</v>
      </c>
      <c r="R586" s="448">
        <f>R107+R558+R575</f>
        <v>115</v>
      </c>
    </row>
    <row r="587" spans="1:18" ht="12.75" customHeight="1">
      <c r="A587" s="1623" t="s">
        <v>864</v>
      </c>
      <c r="B587" s="1585"/>
      <c r="C587" s="1585"/>
      <c r="D587" s="1585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57"/>
      <c r="R587" s="459"/>
    </row>
    <row r="588" spans="1:18" ht="12.75" customHeight="1">
      <c r="A588" s="228"/>
      <c r="B588" s="190"/>
      <c r="C588" s="190"/>
      <c r="D588" s="210" t="s">
        <v>144</v>
      </c>
      <c r="E588" s="222">
        <f aca="true" t="shared" si="129" ref="E588:K590">E584+E45</f>
        <v>681793000</v>
      </c>
      <c r="F588" s="222">
        <f t="shared" si="129"/>
        <v>149126264</v>
      </c>
      <c r="G588" s="222">
        <f t="shared" si="129"/>
        <v>851667336</v>
      </c>
      <c r="H588" s="222">
        <f t="shared" si="129"/>
        <v>8480000</v>
      </c>
      <c r="I588" s="222">
        <f t="shared" si="129"/>
        <v>159374079</v>
      </c>
      <c r="J588" s="222">
        <f t="shared" si="129"/>
        <v>59991226</v>
      </c>
      <c r="K588" s="222">
        <f t="shared" si="129"/>
        <v>307630000</v>
      </c>
      <c r="L588" s="222">
        <f>SUM(E588:K588)+G573+G577+G580</f>
        <v>7235169229</v>
      </c>
      <c r="M588" s="222">
        <f aca="true" t="shared" si="130" ref="M588:P590">M584+M45</f>
        <v>764327280</v>
      </c>
      <c r="N588" s="222">
        <f t="shared" si="130"/>
        <v>23887216</v>
      </c>
      <c r="O588" s="222">
        <f t="shared" si="130"/>
        <v>0</v>
      </c>
      <c r="P588" s="222">
        <f t="shared" si="130"/>
        <v>60000000</v>
      </c>
      <c r="Q588" s="212">
        <f>SUM(L588:P588)</f>
        <v>8083383725</v>
      </c>
      <c r="R588" s="458">
        <f>R584+R45</f>
        <v>280.25</v>
      </c>
    </row>
    <row r="589" spans="1:18" ht="12.75" customHeight="1">
      <c r="A589" s="205"/>
      <c r="B589" s="218"/>
      <c r="C589" s="218"/>
      <c r="D589" s="157" t="s">
        <v>145</v>
      </c>
      <c r="E589" s="220">
        <f t="shared" si="129"/>
        <v>702143798</v>
      </c>
      <c r="F589" s="220">
        <f t="shared" si="129"/>
        <v>159941898</v>
      </c>
      <c r="G589" s="220">
        <f t="shared" si="129"/>
        <v>882454255</v>
      </c>
      <c r="H589" s="220">
        <f t="shared" si="129"/>
        <v>12423500</v>
      </c>
      <c r="I589" s="220">
        <f t="shared" si="129"/>
        <v>218854844</v>
      </c>
      <c r="J589" s="220">
        <f t="shared" si="129"/>
        <v>60445226</v>
      </c>
      <c r="K589" s="220">
        <f t="shared" si="129"/>
        <v>7113000</v>
      </c>
      <c r="L589" s="220">
        <f>SUM(E589:K589)+G578+G574+G581</f>
        <v>7078357515</v>
      </c>
      <c r="M589" s="220">
        <f t="shared" si="130"/>
        <v>2895640893</v>
      </c>
      <c r="N589" s="220">
        <f t="shared" si="130"/>
        <v>40704556</v>
      </c>
      <c r="O589" s="220">
        <f t="shared" si="130"/>
        <v>994273</v>
      </c>
      <c r="P589" s="220">
        <f t="shared" si="130"/>
        <v>60000000</v>
      </c>
      <c r="Q589" s="243">
        <f>SUM(L589:P589)</f>
        <v>10075697237</v>
      </c>
      <c r="R589" s="446">
        <f>R585+R46</f>
        <v>276.5</v>
      </c>
    </row>
    <row r="590" spans="1:18" ht="12.75" customHeight="1" thickBot="1">
      <c r="A590" s="228"/>
      <c r="B590" s="190"/>
      <c r="C590" s="190"/>
      <c r="D590" s="155" t="s">
        <v>146</v>
      </c>
      <c r="E590" s="222">
        <f t="shared" si="129"/>
        <v>642109075</v>
      </c>
      <c r="F590" s="222">
        <f t="shared" si="129"/>
        <v>144858482</v>
      </c>
      <c r="G590" s="222">
        <f t="shared" si="129"/>
        <v>649879713</v>
      </c>
      <c r="H590" s="222">
        <f t="shared" si="129"/>
        <v>7209209</v>
      </c>
      <c r="I590" s="222">
        <f t="shared" si="129"/>
        <v>187054569</v>
      </c>
      <c r="J590" s="222">
        <f t="shared" si="129"/>
        <v>56732217</v>
      </c>
      <c r="K590" s="222">
        <f t="shared" si="129"/>
        <v>0</v>
      </c>
      <c r="L590" s="222">
        <f>SUM(E590:K590)+G579+G582+G575</f>
        <v>3196978206</v>
      </c>
      <c r="M590" s="222">
        <f t="shared" si="130"/>
        <v>249675624</v>
      </c>
      <c r="N590" s="222">
        <f t="shared" si="130"/>
        <v>21191340</v>
      </c>
      <c r="O590" s="222">
        <f t="shared" si="130"/>
        <v>994273</v>
      </c>
      <c r="P590" s="222">
        <f t="shared" si="130"/>
        <v>0</v>
      </c>
      <c r="Q590" s="212">
        <f>SUM(L590:P590)</f>
        <v>3468839443</v>
      </c>
      <c r="R590" s="458">
        <f>R586+R47</f>
        <v>249</v>
      </c>
    </row>
    <row r="591" spans="1:18" s="20" customFormat="1" ht="12.75" customHeight="1">
      <c r="A591" s="1584" t="s">
        <v>153</v>
      </c>
      <c r="B591" s="1585"/>
      <c r="C591" s="1585"/>
      <c r="D591" s="1585"/>
      <c r="E591" s="264"/>
      <c r="F591" s="264"/>
      <c r="G591" s="264"/>
      <c r="H591" s="264"/>
      <c r="I591" s="264"/>
      <c r="J591" s="264"/>
      <c r="K591" s="264"/>
      <c r="L591" s="257"/>
      <c r="M591" s="264"/>
      <c r="N591" s="264"/>
      <c r="O591" s="264"/>
      <c r="P591" s="264"/>
      <c r="Q591" s="257"/>
      <c r="R591" s="476"/>
    </row>
    <row r="592" spans="1:18" s="20" customFormat="1" ht="12.75" customHeight="1">
      <c r="A592" s="266"/>
      <c r="B592" s="304"/>
      <c r="C592" s="304"/>
      <c r="D592" s="136" t="s">
        <v>144</v>
      </c>
      <c r="E592" s="269">
        <f aca="true" t="shared" si="131" ref="E592:K594">E49+E109+E560</f>
        <v>481322000</v>
      </c>
      <c r="F592" s="269">
        <f t="shared" si="131"/>
        <v>102447221</v>
      </c>
      <c r="G592" s="269">
        <f t="shared" si="131"/>
        <v>558335520</v>
      </c>
      <c r="H592" s="269">
        <f t="shared" si="131"/>
        <v>8300000</v>
      </c>
      <c r="I592" s="269">
        <f t="shared" si="131"/>
        <v>153894079</v>
      </c>
      <c r="J592" s="269">
        <f t="shared" si="131"/>
        <v>53552492</v>
      </c>
      <c r="K592" s="269">
        <f t="shared" si="131"/>
        <v>300000000</v>
      </c>
      <c r="L592" s="271">
        <f>SUM(E592:K592)+G580+G573</f>
        <v>4674958636</v>
      </c>
      <c r="M592" s="269">
        <f aca="true" t="shared" si="132" ref="M592:P594">M49+M109+M560</f>
        <v>622264930</v>
      </c>
      <c r="N592" s="269">
        <f t="shared" si="132"/>
        <v>0</v>
      </c>
      <c r="O592" s="269">
        <f t="shared" si="132"/>
        <v>0</v>
      </c>
      <c r="P592" s="269">
        <f t="shared" si="132"/>
        <v>0</v>
      </c>
      <c r="Q592" s="212">
        <f>SUM(L592:P592)</f>
        <v>5297223566</v>
      </c>
      <c r="R592" s="396">
        <f>R49+R109+R560</f>
        <v>225.1</v>
      </c>
    </row>
    <row r="593" spans="1:18" s="20" customFormat="1" ht="12.75" customHeight="1">
      <c r="A593" s="205"/>
      <c r="B593" s="218"/>
      <c r="C593" s="218"/>
      <c r="D593" s="157" t="s">
        <v>145</v>
      </c>
      <c r="E593" s="269">
        <f t="shared" si="131"/>
        <v>494608576</v>
      </c>
      <c r="F593" s="269">
        <f t="shared" si="131"/>
        <v>109511230</v>
      </c>
      <c r="G593" s="269">
        <f t="shared" si="131"/>
        <v>548904855</v>
      </c>
      <c r="H593" s="269">
        <f t="shared" si="131"/>
        <v>12243500</v>
      </c>
      <c r="I593" s="269">
        <f t="shared" si="131"/>
        <v>186247844</v>
      </c>
      <c r="J593" s="269">
        <f t="shared" si="131"/>
        <v>54282492</v>
      </c>
      <c r="K593" s="269">
        <f t="shared" si="131"/>
        <v>2000000</v>
      </c>
      <c r="L593" s="243">
        <f>SUM(E593:K593)+G574+G581</f>
        <v>3442779491</v>
      </c>
      <c r="M593" s="269">
        <f t="shared" si="132"/>
        <v>2684290831</v>
      </c>
      <c r="N593" s="269">
        <f t="shared" si="132"/>
        <v>15000000</v>
      </c>
      <c r="O593" s="269">
        <f t="shared" si="132"/>
        <v>994273</v>
      </c>
      <c r="P593" s="269">
        <f t="shared" si="132"/>
        <v>0</v>
      </c>
      <c r="Q593" s="243">
        <f>SUM(L593:P593)</f>
        <v>6143064595</v>
      </c>
      <c r="R593" s="397">
        <f>R50+R110+R561+R574</f>
        <v>225.1</v>
      </c>
    </row>
    <row r="594" spans="1:18" s="20" customFormat="1" ht="12.75" customHeight="1" thickBot="1">
      <c r="A594" s="228"/>
      <c r="B594" s="190"/>
      <c r="C594" s="190"/>
      <c r="D594" s="210" t="s">
        <v>146</v>
      </c>
      <c r="E594" s="269">
        <f t="shared" si="131"/>
        <v>463779847</v>
      </c>
      <c r="F594" s="269">
        <f t="shared" si="131"/>
        <v>102714035</v>
      </c>
      <c r="G594" s="269">
        <f t="shared" si="131"/>
        <v>399615823</v>
      </c>
      <c r="H594" s="269">
        <f t="shared" si="131"/>
        <v>7029209</v>
      </c>
      <c r="I594" s="269">
        <f t="shared" si="131"/>
        <v>160125169</v>
      </c>
      <c r="J594" s="269">
        <f t="shared" si="131"/>
        <v>51311583</v>
      </c>
      <c r="K594" s="269">
        <f t="shared" si="131"/>
        <v>0</v>
      </c>
      <c r="L594" s="212">
        <f>SUM(E594:K594)+G575+G582</f>
        <v>1212830607</v>
      </c>
      <c r="M594" s="269">
        <f t="shared" si="132"/>
        <v>183197618</v>
      </c>
      <c r="N594" s="269">
        <f t="shared" si="132"/>
        <v>0</v>
      </c>
      <c r="O594" s="269">
        <f t="shared" si="132"/>
        <v>994273</v>
      </c>
      <c r="P594" s="269">
        <f t="shared" si="132"/>
        <v>0</v>
      </c>
      <c r="Q594" s="262">
        <f>SUM(L594:P594)</f>
        <v>1397022498</v>
      </c>
      <c r="R594" s="396">
        <f>R51+R111+R562+R575</f>
        <v>195.85</v>
      </c>
    </row>
    <row r="595" spans="1:18" s="20" customFormat="1" ht="12.75" customHeight="1">
      <c r="A595" s="1637" t="s">
        <v>182</v>
      </c>
      <c r="B595" s="1638"/>
      <c r="C595" s="1638"/>
      <c r="D595" s="1639"/>
      <c r="E595" s="264"/>
      <c r="F595" s="264"/>
      <c r="G595" s="264"/>
      <c r="H595" s="264"/>
      <c r="I595" s="264"/>
      <c r="J595" s="264"/>
      <c r="K595" s="264"/>
      <c r="L595" s="257"/>
      <c r="M595" s="264"/>
      <c r="N595" s="264"/>
      <c r="O595" s="264"/>
      <c r="P595" s="264"/>
      <c r="Q595" s="257"/>
      <c r="R595" s="477"/>
    </row>
    <row r="596" spans="1:18" s="20" customFormat="1" ht="12.75" customHeight="1">
      <c r="A596" s="205"/>
      <c r="B596" s="218"/>
      <c r="C596" s="218"/>
      <c r="D596" s="157" t="s">
        <v>144</v>
      </c>
      <c r="E596" s="208">
        <f aca="true" t="shared" si="133" ref="E596:K597">E69</f>
        <v>50091000</v>
      </c>
      <c r="F596" s="208">
        <f t="shared" si="133"/>
        <v>11418000</v>
      </c>
      <c r="G596" s="208">
        <f t="shared" si="133"/>
        <v>6200000</v>
      </c>
      <c r="H596" s="208">
        <f t="shared" si="133"/>
        <v>0</v>
      </c>
      <c r="I596" s="208">
        <f t="shared" si="133"/>
        <v>0</v>
      </c>
      <c r="J596" s="208">
        <f t="shared" si="133"/>
        <v>0</v>
      </c>
      <c r="K596" s="208">
        <f t="shared" si="133"/>
        <v>0</v>
      </c>
      <c r="L596" s="243">
        <f>SUM(E596:K596)</f>
        <v>67709000</v>
      </c>
      <c r="M596" s="208">
        <f>M69</f>
        <v>0</v>
      </c>
      <c r="N596" s="208">
        <f>N69+N269</f>
        <v>0</v>
      </c>
      <c r="O596" s="208"/>
      <c r="P596" s="208">
        <f>P69+P269</f>
        <v>0</v>
      </c>
      <c r="Q596" s="243">
        <f>SUM(L596:P596)</f>
        <v>67709000</v>
      </c>
      <c r="R596" s="397">
        <v>13.2</v>
      </c>
    </row>
    <row r="597" spans="1:18" s="20" customFormat="1" ht="12.75" customHeight="1">
      <c r="A597" s="205"/>
      <c r="B597" s="218"/>
      <c r="C597" s="218"/>
      <c r="D597" s="157" t="s">
        <v>145</v>
      </c>
      <c r="E597" s="208">
        <f t="shared" si="133"/>
        <v>50091000</v>
      </c>
      <c r="F597" s="208">
        <f t="shared" si="133"/>
        <v>11418000</v>
      </c>
      <c r="G597" s="208">
        <f t="shared" si="133"/>
        <v>6200000</v>
      </c>
      <c r="H597" s="208">
        <f t="shared" si="133"/>
        <v>0</v>
      </c>
      <c r="I597" s="208">
        <f t="shared" si="133"/>
        <v>0</v>
      </c>
      <c r="J597" s="208">
        <f t="shared" si="133"/>
        <v>0</v>
      </c>
      <c r="K597" s="208">
        <f t="shared" si="133"/>
        <v>0</v>
      </c>
      <c r="L597" s="243">
        <f>SUM(E597:K597)</f>
        <v>67709000</v>
      </c>
      <c r="M597" s="208">
        <f>M70</f>
        <v>0</v>
      </c>
      <c r="N597" s="208">
        <f>N70+N270</f>
        <v>0</v>
      </c>
      <c r="O597" s="208"/>
      <c r="P597" s="208">
        <f>P70+P270</f>
        <v>0</v>
      </c>
      <c r="Q597" s="243">
        <f>SUM(L597:P597)</f>
        <v>67709000</v>
      </c>
      <c r="R597" s="397">
        <v>13.2</v>
      </c>
    </row>
    <row r="598" spans="1:18" s="20" customFormat="1" ht="12.75" customHeight="1" thickBot="1">
      <c r="A598" s="228"/>
      <c r="B598" s="190"/>
      <c r="C598" s="190"/>
      <c r="D598" s="210" t="s">
        <v>146</v>
      </c>
      <c r="E598" s="208">
        <f aca="true" t="shared" si="134" ref="E598:J598">E71</f>
        <v>46201474</v>
      </c>
      <c r="F598" s="208">
        <f t="shared" si="134"/>
        <v>10716547</v>
      </c>
      <c r="G598" s="208">
        <f t="shared" si="134"/>
        <v>3790514</v>
      </c>
      <c r="H598" s="208">
        <f t="shared" si="134"/>
        <v>0</v>
      </c>
      <c r="I598" s="208">
        <f t="shared" si="134"/>
        <v>0</v>
      </c>
      <c r="J598" s="208">
        <f t="shared" si="134"/>
        <v>0</v>
      </c>
      <c r="K598" s="208">
        <f>K71+K271</f>
        <v>0</v>
      </c>
      <c r="L598" s="243">
        <f>SUM(E598:K598)</f>
        <v>60708535</v>
      </c>
      <c r="M598" s="208">
        <f>M71</f>
        <v>0</v>
      </c>
      <c r="N598" s="208">
        <f>N71+N271</f>
        <v>0</v>
      </c>
      <c r="O598" s="208"/>
      <c r="P598" s="208">
        <f>P71+P271</f>
        <v>0</v>
      </c>
      <c r="Q598" s="243">
        <f>SUM(L598:P598)</f>
        <v>60708535</v>
      </c>
      <c r="R598" s="983">
        <f>R71</f>
        <v>11.2</v>
      </c>
    </row>
    <row r="599" spans="1:18" s="20" customFormat="1" ht="12.75" customHeight="1">
      <c r="A599" s="1623" t="s">
        <v>147</v>
      </c>
      <c r="B599" s="1585"/>
      <c r="C599" s="1585"/>
      <c r="D599" s="1585"/>
      <c r="E599" s="264"/>
      <c r="F599" s="264"/>
      <c r="G599" s="264"/>
      <c r="H599" s="356"/>
      <c r="I599" s="356"/>
      <c r="J599" s="356"/>
      <c r="K599" s="356"/>
      <c r="L599" s="257"/>
      <c r="M599" s="264"/>
      <c r="N599" s="264"/>
      <c r="O599" s="264"/>
      <c r="P599" s="264"/>
      <c r="Q599" s="257"/>
      <c r="R599" s="477"/>
    </row>
    <row r="600" spans="1:18" ht="12.75" customHeight="1">
      <c r="A600" s="193"/>
      <c r="B600" s="194"/>
      <c r="C600" s="294"/>
      <c r="D600" s="155" t="s">
        <v>144</v>
      </c>
      <c r="E600" s="194">
        <f aca="true" t="shared" si="135" ref="E600:K602">E53+E117+E568</f>
        <v>150380000</v>
      </c>
      <c r="F600" s="194">
        <f t="shared" si="135"/>
        <v>35261043</v>
      </c>
      <c r="G600" s="194">
        <f t="shared" si="135"/>
        <v>287131816</v>
      </c>
      <c r="H600" s="194">
        <f t="shared" si="135"/>
        <v>180000</v>
      </c>
      <c r="I600" s="194">
        <f t="shared" si="135"/>
        <v>5480000</v>
      </c>
      <c r="J600" s="194">
        <f t="shared" si="135"/>
        <v>6438734</v>
      </c>
      <c r="K600" s="194">
        <f t="shared" si="135"/>
        <v>7630000</v>
      </c>
      <c r="L600" s="200">
        <f>SUM(E600:K600)+G577</f>
        <v>2492501593</v>
      </c>
      <c r="M600" s="194">
        <f>M53+M117+M568</f>
        <v>142062350</v>
      </c>
      <c r="N600" s="194">
        <f>N53+N117+N568+N573</f>
        <v>23887216</v>
      </c>
      <c r="O600" s="194">
        <f aca="true" t="shared" si="136" ref="O600:P602">O53+O117+O568</f>
        <v>0</v>
      </c>
      <c r="P600" s="194">
        <f t="shared" si="136"/>
        <v>60000000</v>
      </c>
      <c r="Q600" s="200">
        <f>SUM(L600:P600)</f>
        <v>2718451159</v>
      </c>
      <c r="R600" s="358">
        <f>R568+R53+R117</f>
        <v>42.95</v>
      </c>
    </row>
    <row r="601" spans="1:18" ht="12.75" customHeight="1">
      <c r="A601" s="205"/>
      <c r="B601" s="208"/>
      <c r="C601" s="233"/>
      <c r="D601" s="157" t="s">
        <v>145</v>
      </c>
      <c r="E601" s="208">
        <f t="shared" si="135"/>
        <v>157444222</v>
      </c>
      <c r="F601" s="208">
        <f t="shared" si="135"/>
        <v>39012668</v>
      </c>
      <c r="G601" s="208">
        <f t="shared" si="135"/>
        <v>327349400</v>
      </c>
      <c r="H601" s="208">
        <f t="shared" si="135"/>
        <v>180000</v>
      </c>
      <c r="I601" s="208">
        <f t="shared" si="135"/>
        <v>32607000</v>
      </c>
      <c r="J601" s="208">
        <f t="shared" si="135"/>
        <v>6162734</v>
      </c>
      <c r="K601" s="208">
        <f t="shared" si="135"/>
        <v>5113000</v>
      </c>
      <c r="L601" s="243">
        <f>SUM(E601:K601)+G578</f>
        <v>3567869024</v>
      </c>
      <c r="M601" s="208">
        <f>M54+M118+M569</f>
        <v>211350062</v>
      </c>
      <c r="N601" s="208">
        <f>N54+N118+N569+N574</f>
        <v>25704556</v>
      </c>
      <c r="O601" s="208">
        <f t="shared" si="136"/>
        <v>0</v>
      </c>
      <c r="P601" s="208">
        <f t="shared" si="136"/>
        <v>60000000</v>
      </c>
      <c r="Q601" s="243">
        <f>SUM(L601:P601)</f>
        <v>3864923642</v>
      </c>
      <c r="R601" s="397">
        <f>R54+R118+R569</f>
        <v>37.45</v>
      </c>
    </row>
    <row r="602" spans="1:18" ht="12.75" customHeight="1" thickBot="1">
      <c r="A602" s="244"/>
      <c r="B602" s="276"/>
      <c r="C602" s="312"/>
      <c r="D602" s="313" t="s">
        <v>146</v>
      </c>
      <c r="E602" s="290">
        <f t="shared" si="135"/>
        <v>132127754</v>
      </c>
      <c r="F602" s="290">
        <f t="shared" si="135"/>
        <v>31427900</v>
      </c>
      <c r="G602" s="290">
        <f>G55+G119+G570</f>
        <v>246473376</v>
      </c>
      <c r="H602" s="290">
        <f t="shared" si="135"/>
        <v>180000</v>
      </c>
      <c r="I602" s="290">
        <f t="shared" si="135"/>
        <v>26929400</v>
      </c>
      <c r="J602" s="290">
        <f t="shared" si="135"/>
        <v>5420634</v>
      </c>
      <c r="K602" s="290">
        <f t="shared" si="135"/>
        <v>0</v>
      </c>
      <c r="L602" s="287">
        <f>SUM(E602:K602)+G579</f>
        <v>1923439064</v>
      </c>
      <c r="M602" s="290">
        <f>M55+M119+M570</f>
        <v>66478006</v>
      </c>
      <c r="N602" s="290">
        <f>N55+N119+N570</f>
        <v>21191340</v>
      </c>
      <c r="O602" s="290">
        <f t="shared" si="136"/>
        <v>0</v>
      </c>
      <c r="P602" s="290">
        <f t="shared" si="136"/>
        <v>0</v>
      </c>
      <c r="Q602" s="287">
        <f>SUM(L602:P602)</f>
        <v>2011108410</v>
      </c>
      <c r="R602" s="462">
        <f>R55+R119+R570</f>
        <v>41.95</v>
      </c>
    </row>
    <row r="604" spans="12:18" ht="12.75" customHeight="1">
      <c r="L604" s="184"/>
      <c r="Q604" s="184"/>
      <c r="R604" s="184"/>
    </row>
  </sheetData>
  <sheetProtection/>
  <mergeCells count="49">
    <mergeCell ref="A587:D587"/>
    <mergeCell ref="D492:F492"/>
    <mergeCell ref="D508:G508"/>
    <mergeCell ref="A567:D567"/>
    <mergeCell ref="A595:D595"/>
    <mergeCell ref="D404:F404"/>
    <mergeCell ref="A563:D563"/>
    <mergeCell ref="A591:D591"/>
    <mergeCell ref="A583:M583"/>
    <mergeCell ref="D444:G444"/>
    <mergeCell ref="D484:F484"/>
    <mergeCell ref="D440:G440"/>
    <mergeCell ref="D480:F480"/>
    <mergeCell ref="D436:H436"/>
    <mergeCell ref="D488:F488"/>
    <mergeCell ref="M1:R1"/>
    <mergeCell ref="I5:K5"/>
    <mergeCell ref="A48:D48"/>
    <mergeCell ref="A52:D52"/>
    <mergeCell ref="I6:I7"/>
    <mergeCell ref="A44:D44"/>
    <mergeCell ref="A599:D599"/>
    <mergeCell ref="A5:B5"/>
    <mergeCell ref="A6:B6"/>
    <mergeCell ref="A7:B7"/>
    <mergeCell ref="A571:R571"/>
    <mergeCell ref="C5:C7"/>
    <mergeCell ref="A555:D555"/>
    <mergeCell ref="K6:K7"/>
    <mergeCell ref="A559:D559"/>
    <mergeCell ref="J6:J7"/>
    <mergeCell ref="D96:F96"/>
    <mergeCell ref="D147:H147"/>
    <mergeCell ref="A104:F104"/>
    <mergeCell ref="D268:E268"/>
    <mergeCell ref="N5:P5"/>
    <mergeCell ref="N6:N7"/>
    <mergeCell ref="P6:P7"/>
    <mergeCell ref="O6:O7"/>
    <mergeCell ref="D191:G191"/>
    <mergeCell ref="A108:D108"/>
    <mergeCell ref="D400:G400"/>
    <mergeCell ref="D384:H384"/>
    <mergeCell ref="D242:F242"/>
    <mergeCell ref="D364:E364"/>
    <mergeCell ref="D100:G100"/>
    <mergeCell ref="D136:F136"/>
    <mergeCell ref="A116:D116"/>
    <mergeCell ref="D219:F2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1" r:id="rId4"/>
  <headerFooter alignWithMargins="0">
    <oddFooter>&amp;C&amp;P. oldal</oddFooter>
  </headerFooter>
  <rowBreaks count="11" manualBreakCount="11">
    <brk id="55" max="17" man="1"/>
    <brk id="107" max="17" man="1"/>
    <brk id="166" max="17" man="1"/>
    <brk id="218" max="17" man="1"/>
    <brk id="267" max="17" man="1"/>
    <brk id="319" max="17" man="1"/>
    <brk id="375" max="17" man="1"/>
    <brk id="427" max="17" man="1"/>
    <brk id="467" max="17" man="1"/>
    <brk id="511" max="17" man="1"/>
    <brk id="554" max="1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view="pageBreakPreview" zoomScaleSheetLayoutView="100" workbookViewId="0" topLeftCell="A1">
      <selection activeCell="C9" sqref="C9"/>
    </sheetView>
  </sheetViews>
  <sheetFormatPr defaultColWidth="9.00390625" defaultRowHeight="12" customHeight="1"/>
  <cols>
    <col min="1" max="1" width="3.25390625" style="1155" customWidth="1"/>
    <col min="2" max="2" width="3.125" style="1156" customWidth="1"/>
    <col min="3" max="3" width="68.25390625" style="1157" customWidth="1"/>
    <col min="4" max="4" width="11.25390625" style="1157" customWidth="1"/>
    <col min="5" max="5" width="12.625" style="1157" customWidth="1"/>
    <col min="6" max="6" width="11.375" style="1158" customWidth="1"/>
    <col min="7" max="16384" width="9.125" style="10" customWidth="1"/>
  </cols>
  <sheetData>
    <row r="1" spans="3:6" ht="12" customHeight="1">
      <c r="C1" s="1661" t="s">
        <v>1098</v>
      </c>
      <c r="D1" s="1661"/>
      <c r="E1" s="1661"/>
      <c r="F1" s="1661"/>
    </row>
    <row r="2" ht="12" customHeight="1">
      <c r="F2" s="1155"/>
    </row>
    <row r="3" ht="14.25" customHeight="1">
      <c r="F3" s="1155"/>
    </row>
    <row r="4" ht="16.5" customHeight="1" thickBot="1">
      <c r="F4" s="1158" t="s">
        <v>508</v>
      </c>
    </row>
    <row r="5" spans="1:6" s="11" customFormat="1" ht="18.75" customHeight="1" thickBot="1">
      <c r="A5" s="1662" t="s">
        <v>14</v>
      </c>
      <c r="B5" s="1663"/>
      <c r="C5" s="1664"/>
      <c r="D5" s="1205" t="s">
        <v>784</v>
      </c>
      <c r="E5" s="1205" t="s">
        <v>785</v>
      </c>
      <c r="F5" s="1159" t="s">
        <v>308</v>
      </c>
    </row>
    <row r="6" spans="1:8" s="1163" customFormat="1" ht="12.75" customHeight="1">
      <c r="A6" s="1160" t="s">
        <v>20</v>
      </c>
      <c r="B6" s="1161"/>
      <c r="C6" s="1162" t="s">
        <v>23</v>
      </c>
      <c r="D6" s="1192">
        <f>SUM(D7:D54)</f>
        <v>619412715</v>
      </c>
      <c r="E6" s="1192">
        <f>SUM(E7:E54)</f>
        <v>2500653977</v>
      </c>
      <c r="F6" s="1193">
        <f>SUM(F7:F54)</f>
        <v>187320116</v>
      </c>
      <c r="H6" s="1216"/>
    </row>
    <row r="7" spans="1:6" s="12" customFormat="1" ht="14.25" customHeight="1">
      <c r="A7" s="431"/>
      <c r="B7" s="433">
        <v>1</v>
      </c>
      <c r="C7" s="1164" t="s">
        <v>760</v>
      </c>
      <c r="D7" s="1194">
        <f>43551000-86</f>
        <v>43550914</v>
      </c>
      <c r="E7" s="1257">
        <v>50750914</v>
      </c>
      <c r="F7" s="1165">
        <v>12199222</v>
      </c>
    </row>
    <row r="8" spans="1:6" s="12" customFormat="1" ht="27.75" customHeight="1">
      <c r="A8" s="431"/>
      <c r="B8" s="433">
        <v>2</v>
      </c>
      <c r="C8" s="1262" t="s">
        <v>761</v>
      </c>
      <c r="D8" s="1194">
        <f>100000000-4000000</f>
        <v>96000000</v>
      </c>
      <c r="E8" s="1257">
        <v>95872680</v>
      </c>
      <c r="F8" s="1165">
        <v>0</v>
      </c>
    </row>
    <row r="9" spans="1:6" s="12" customFormat="1" ht="14.25" customHeight="1">
      <c r="A9" s="431"/>
      <c r="B9" s="433">
        <v>3</v>
      </c>
      <c r="C9" s="25" t="s">
        <v>762</v>
      </c>
      <c r="D9" s="1194">
        <v>5000000</v>
      </c>
      <c r="E9" s="1257">
        <v>5000000</v>
      </c>
      <c r="F9" s="1165">
        <f>199390+746310</f>
        <v>945700</v>
      </c>
    </row>
    <row r="10" spans="1:6" s="12" customFormat="1" ht="12.75" customHeight="1">
      <c r="A10" s="431"/>
      <c r="B10" s="433">
        <v>4</v>
      </c>
      <c r="C10" s="17" t="s">
        <v>763</v>
      </c>
      <c r="D10" s="711">
        <f>10000000+2286000</f>
        <v>12286000</v>
      </c>
      <c r="E10" s="1258">
        <v>12286000</v>
      </c>
      <c r="F10" s="1166">
        <v>0</v>
      </c>
    </row>
    <row r="11" spans="1:6" s="12" customFormat="1" ht="12.75" customHeight="1">
      <c r="A11" s="431"/>
      <c r="B11" s="433">
        <v>5</v>
      </c>
      <c r="C11" s="17" t="s">
        <v>764</v>
      </c>
      <c r="D11" s="711">
        <v>6000000</v>
      </c>
      <c r="E11" s="1258">
        <v>7238901</v>
      </c>
      <c r="F11" s="1166">
        <f>1409373+680104+117980+40000+756070+140000+82296</f>
        <v>3225823</v>
      </c>
    </row>
    <row r="12" spans="1:6" s="695" customFormat="1" ht="12.75" customHeight="1">
      <c r="A12" s="431"/>
      <c r="B12" s="433">
        <v>6</v>
      </c>
      <c r="C12" s="17" t="s">
        <v>682</v>
      </c>
      <c r="D12" s="711">
        <v>5000000</v>
      </c>
      <c r="E12" s="1258">
        <v>0</v>
      </c>
      <c r="F12" s="1166">
        <v>0</v>
      </c>
    </row>
    <row r="13" spans="1:6" s="12" customFormat="1" ht="12.75" customHeight="1">
      <c r="A13" s="431"/>
      <c r="B13" s="433">
        <v>7</v>
      </c>
      <c r="C13" s="13" t="s">
        <v>304</v>
      </c>
      <c r="D13" s="992"/>
      <c r="E13" s="1259"/>
      <c r="F13" s="1167"/>
    </row>
    <row r="14" spans="1:6" s="1170" customFormat="1" ht="12.75" customHeight="1">
      <c r="A14" s="1168"/>
      <c r="B14" s="1009"/>
      <c r="C14" s="1010" t="s">
        <v>505</v>
      </c>
      <c r="D14" s="57">
        <v>3000000</v>
      </c>
      <c r="E14" s="1260">
        <v>3000000</v>
      </c>
      <c r="F14" s="1169">
        <v>1306845</v>
      </c>
    </row>
    <row r="15" spans="1:6" s="1170" customFormat="1" ht="12.75" customHeight="1">
      <c r="A15" s="1168"/>
      <c r="B15" s="1009"/>
      <c r="C15" s="1010" t="s">
        <v>765</v>
      </c>
      <c r="D15" s="57">
        <f>515000+800000</f>
        <v>1315000</v>
      </c>
      <c r="E15" s="1260">
        <v>1315000</v>
      </c>
      <c r="F15" s="1169">
        <f>514900+799369</f>
        <v>1314269</v>
      </c>
    </row>
    <row r="16" spans="1:6" s="1170" customFormat="1" ht="12.75" customHeight="1">
      <c r="A16" s="1168"/>
      <c r="B16" s="1009"/>
      <c r="C16" s="1010" t="s">
        <v>155</v>
      </c>
      <c r="D16" s="57">
        <f>6693000</f>
        <v>6693000</v>
      </c>
      <c r="E16" s="1260">
        <v>4308429</v>
      </c>
      <c r="F16" s="1169">
        <f>4220601+82000</f>
        <v>4302601</v>
      </c>
    </row>
    <row r="17" spans="1:6" s="1170" customFormat="1" ht="14.25" customHeight="1">
      <c r="A17" s="1168"/>
      <c r="B17" s="1009"/>
      <c r="C17" s="1010" t="s">
        <v>58</v>
      </c>
      <c r="D17" s="57">
        <f>150000</f>
        <v>150000</v>
      </c>
      <c r="E17" s="1260">
        <v>2105255</v>
      </c>
      <c r="F17" s="1169">
        <v>1571639</v>
      </c>
    </row>
    <row r="18" spans="1:6" s="1170" customFormat="1" ht="12.75" customHeight="1">
      <c r="A18" s="1168"/>
      <c r="B18" s="1009"/>
      <c r="C18" s="1010" t="s">
        <v>59</v>
      </c>
      <c r="D18" s="57">
        <f>233000+150000+2500000</f>
        <v>2883000</v>
      </c>
      <c r="E18" s="1260">
        <v>3764655</v>
      </c>
      <c r="F18" s="1169">
        <f>2788544+282556+848385-140000-82296</f>
        <v>3697189</v>
      </c>
    </row>
    <row r="19" spans="1:6" s="12" customFormat="1" ht="12.75" customHeight="1">
      <c r="A19" s="431"/>
      <c r="B19" s="434">
        <v>8</v>
      </c>
      <c r="C19" s="1011" t="s">
        <v>766</v>
      </c>
      <c r="D19" s="29">
        <v>45000000</v>
      </c>
      <c r="E19" s="1258">
        <f>35397799+19163723</f>
        <v>54561522</v>
      </c>
      <c r="F19" s="1166">
        <f>41078833+10974451+604266+686054</f>
        <v>53343604</v>
      </c>
    </row>
    <row r="20" spans="1:6" s="12" customFormat="1" ht="37.5" customHeight="1">
      <c r="A20" s="431"/>
      <c r="B20" s="434">
        <v>9</v>
      </c>
      <c r="C20" s="1011" t="s">
        <v>901</v>
      </c>
      <c r="D20" s="711">
        <v>50000000</v>
      </c>
      <c r="E20" s="1258">
        <v>50000000</v>
      </c>
      <c r="F20" s="1068">
        <v>228600</v>
      </c>
    </row>
    <row r="21" spans="1:6" s="12" customFormat="1" ht="18.75" customHeight="1">
      <c r="A21" s="431"/>
      <c r="B21" s="434">
        <v>10</v>
      </c>
      <c r="C21" s="1011" t="s">
        <v>767</v>
      </c>
      <c r="D21" s="711">
        <f>30000000+6269000</f>
        <v>36269000</v>
      </c>
      <c r="E21" s="1258">
        <f>30000000+6269000</f>
        <v>36269000</v>
      </c>
      <c r="F21" s="1068">
        <v>419100</v>
      </c>
    </row>
    <row r="22" spans="1:6" s="12" customFormat="1" ht="12.75" customHeight="1">
      <c r="A22" s="431"/>
      <c r="B22" s="434">
        <v>11</v>
      </c>
      <c r="C22" s="17" t="s">
        <v>902</v>
      </c>
      <c r="D22" s="711">
        <v>11000000</v>
      </c>
      <c r="E22" s="1258">
        <f>11000000-11000000+1714564+11000000</f>
        <v>12714564</v>
      </c>
      <c r="F22" s="1068">
        <v>1714564</v>
      </c>
    </row>
    <row r="23" spans="1:6" s="12" customFormat="1" ht="12.75" customHeight="1">
      <c r="A23" s="431"/>
      <c r="B23" s="434">
        <v>12</v>
      </c>
      <c r="C23" s="25" t="s">
        <v>903</v>
      </c>
      <c r="D23" s="711">
        <f>7000000+3000000</f>
        <v>10000000</v>
      </c>
      <c r="E23" s="1258">
        <f>7000000+3000000</f>
        <v>10000000</v>
      </c>
      <c r="F23" s="1068"/>
    </row>
    <row r="24" spans="1:6" s="12" customFormat="1" ht="12.75" customHeight="1">
      <c r="A24" s="431"/>
      <c r="B24" s="434">
        <v>13</v>
      </c>
      <c r="C24" s="25" t="s">
        <v>886</v>
      </c>
      <c r="D24" s="711">
        <v>3456726</v>
      </c>
      <c r="E24" s="1258">
        <f>3456726+779394970+12469292+50000000-398439368+3456726-20000000</f>
        <v>430338346</v>
      </c>
      <c r="F24" s="1068">
        <f>8880163</f>
        <v>8880163</v>
      </c>
    </row>
    <row r="25" spans="1:6" s="12" customFormat="1" ht="12.75">
      <c r="A25" s="431"/>
      <c r="B25" s="434">
        <v>14</v>
      </c>
      <c r="C25" s="1171" t="s">
        <v>769</v>
      </c>
      <c r="D25" s="992">
        <v>6000000</v>
      </c>
      <c r="E25" s="1259">
        <v>6000000</v>
      </c>
      <c r="F25" s="1068">
        <v>4523740</v>
      </c>
    </row>
    <row r="26" spans="1:6" s="12" customFormat="1" ht="15" customHeight="1">
      <c r="A26" s="431"/>
      <c r="B26" s="434">
        <v>15</v>
      </c>
      <c r="C26" s="25" t="s">
        <v>904</v>
      </c>
      <c r="D26" s="711">
        <f>50000000</f>
        <v>50000000</v>
      </c>
      <c r="E26" s="1258">
        <f>50000000+10000000+280000000</f>
        <v>340000000</v>
      </c>
      <c r="F26" s="1068">
        <v>0</v>
      </c>
    </row>
    <row r="27" spans="1:6" s="12" customFormat="1" ht="21" customHeight="1">
      <c r="A27" s="431"/>
      <c r="B27" s="434">
        <v>16</v>
      </c>
      <c r="C27" s="1172" t="s">
        <v>770</v>
      </c>
      <c r="D27" s="1194">
        <v>5000000</v>
      </c>
      <c r="E27" s="1257">
        <f>5000000+2453386+1092200</f>
        <v>8545586</v>
      </c>
      <c r="F27" s="1255">
        <f>2453386+1092200+1816811</f>
        <v>5362397</v>
      </c>
    </row>
    <row r="28" spans="1:6" s="12" customFormat="1" ht="43.5" customHeight="1">
      <c r="A28" s="431"/>
      <c r="B28" s="434">
        <v>17</v>
      </c>
      <c r="C28" s="1172" t="s">
        <v>905</v>
      </c>
      <c r="D28" s="1194">
        <v>16476000</v>
      </c>
      <c r="E28" s="1257">
        <f>16476000+100000000+7828026+420000000</f>
        <v>544304026</v>
      </c>
      <c r="F28" s="1068">
        <v>1085002</v>
      </c>
    </row>
    <row r="29" spans="1:6" s="12" customFormat="1" ht="15" customHeight="1">
      <c r="A29" s="431"/>
      <c r="B29" s="434">
        <v>18</v>
      </c>
      <c r="C29" s="1172" t="s">
        <v>906</v>
      </c>
      <c r="D29" s="1194">
        <v>20625110</v>
      </c>
      <c r="E29" s="1257">
        <f>20625110+7374890+139965836-500000</f>
        <v>167465836</v>
      </c>
      <c r="F29" s="1255">
        <v>6808356</v>
      </c>
    </row>
    <row r="30" spans="1:6" s="12" customFormat="1" ht="15" customHeight="1">
      <c r="A30" s="431"/>
      <c r="B30" s="434">
        <v>19</v>
      </c>
      <c r="C30" s="1172" t="s">
        <v>907</v>
      </c>
      <c r="D30" s="1194">
        <v>39934615</v>
      </c>
      <c r="E30" s="1257">
        <f>39934615+10065387+249860529</f>
        <v>299860531</v>
      </c>
      <c r="F30" s="1068">
        <v>7549039</v>
      </c>
    </row>
    <row r="31" spans="1:6" s="12" customFormat="1" ht="17.25" customHeight="1">
      <c r="A31" s="431"/>
      <c r="B31" s="434">
        <v>20</v>
      </c>
      <c r="C31" s="1172" t="s">
        <v>771</v>
      </c>
      <c r="D31" s="1194">
        <v>4000000</v>
      </c>
      <c r="E31" s="1257">
        <v>4000000</v>
      </c>
      <c r="F31" s="1256">
        <v>3904833</v>
      </c>
    </row>
    <row r="32" spans="1:6" s="12" customFormat="1" ht="15" customHeight="1">
      <c r="A32" s="431"/>
      <c r="B32" s="434">
        <v>21</v>
      </c>
      <c r="C32" s="1172" t="s">
        <v>772</v>
      </c>
      <c r="D32" s="1194">
        <v>30000000</v>
      </c>
      <c r="E32" s="1257">
        <v>30000000</v>
      </c>
      <c r="F32" s="1256">
        <v>0</v>
      </c>
    </row>
    <row r="33" spans="1:6" s="12" customFormat="1" ht="14.25" customHeight="1">
      <c r="A33" s="431"/>
      <c r="B33" s="434">
        <v>22</v>
      </c>
      <c r="C33" s="1172" t="s">
        <v>908</v>
      </c>
      <c r="D33" s="1194">
        <v>3000000</v>
      </c>
      <c r="E33" s="1257">
        <v>3000000</v>
      </c>
      <c r="F33" s="1256">
        <v>0</v>
      </c>
    </row>
    <row r="34" spans="1:6" s="12" customFormat="1" ht="16.5" customHeight="1">
      <c r="A34" s="431"/>
      <c r="B34" s="434">
        <v>23</v>
      </c>
      <c r="C34" s="1172" t="s">
        <v>199</v>
      </c>
      <c r="D34" s="1194">
        <f>1778000+3000000+4000000</f>
        <v>8778000</v>
      </c>
      <c r="E34" s="1257">
        <f>1778000+3000000+4000000+3670300</f>
        <v>12448300</v>
      </c>
      <c r="F34" s="1256">
        <v>7124700</v>
      </c>
    </row>
    <row r="35" spans="1:6" s="12" customFormat="1" ht="15" customHeight="1">
      <c r="A35" s="431"/>
      <c r="B35" s="434">
        <v>24</v>
      </c>
      <c r="C35" s="1172" t="s">
        <v>880</v>
      </c>
      <c r="D35" s="1194">
        <v>2000000</v>
      </c>
      <c r="E35" s="1257">
        <f>2000000+2160000</f>
        <v>4160000</v>
      </c>
      <c r="F35" s="1256">
        <v>2482342</v>
      </c>
    </row>
    <row r="36" spans="1:6" s="12" customFormat="1" ht="41.25" customHeight="1">
      <c r="A36" s="431"/>
      <c r="B36" s="434">
        <v>25</v>
      </c>
      <c r="C36" s="1172" t="s">
        <v>909</v>
      </c>
      <c r="D36" s="1194">
        <v>3000000</v>
      </c>
      <c r="E36" s="1257">
        <f>3000000-3000000</f>
        <v>0</v>
      </c>
      <c r="F36" s="1256">
        <v>0</v>
      </c>
    </row>
    <row r="37" spans="1:6" s="12" customFormat="1" ht="31.5" customHeight="1">
      <c r="A37" s="431"/>
      <c r="B37" s="434">
        <v>26</v>
      </c>
      <c r="C37" s="1172" t="s">
        <v>910</v>
      </c>
      <c r="D37" s="1194">
        <v>7789350</v>
      </c>
      <c r="E37" s="1257">
        <v>7789350</v>
      </c>
      <c r="F37" s="1256">
        <v>190500</v>
      </c>
    </row>
    <row r="38" spans="1:6" s="12" customFormat="1" ht="15" customHeight="1">
      <c r="A38" s="431"/>
      <c r="B38" s="434">
        <v>27</v>
      </c>
      <c r="C38" s="1172" t="s">
        <v>911</v>
      </c>
      <c r="D38" s="1194">
        <v>5000000</v>
      </c>
      <c r="E38" s="1257">
        <v>5000000</v>
      </c>
      <c r="F38" s="1256">
        <v>4996307</v>
      </c>
    </row>
    <row r="39" spans="1:6" s="12" customFormat="1" ht="15" customHeight="1">
      <c r="A39" s="431"/>
      <c r="B39" s="434">
        <v>28</v>
      </c>
      <c r="C39" s="1172" t="s">
        <v>912</v>
      </c>
      <c r="D39" s="1194">
        <v>4500000</v>
      </c>
      <c r="E39" s="1257">
        <v>4500000</v>
      </c>
      <c r="F39" s="1256">
        <v>4445000</v>
      </c>
    </row>
    <row r="40" spans="1:6" s="12" customFormat="1" ht="15" customHeight="1">
      <c r="A40" s="431"/>
      <c r="B40" s="434">
        <v>29</v>
      </c>
      <c r="C40" s="1172" t="s">
        <v>913</v>
      </c>
      <c r="D40" s="1194">
        <v>15000000</v>
      </c>
      <c r="E40" s="1257">
        <f>15000000-15000000+15000000</f>
        <v>15000000</v>
      </c>
      <c r="F40" s="1256">
        <v>0</v>
      </c>
    </row>
    <row r="41" spans="1:6" s="12" customFormat="1" ht="15" customHeight="1">
      <c r="A41" s="431"/>
      <c r="B41" s="434">
        <v>30</v>
      </c>
      <c r="C41" s="1172" t="s">
        <v>914</v>
      </c>
      <c r="D41" s="1194">
        <v>60706000</v>
      </c>
      <c r="E41" s="1257">
        <v>0</v>
      </c>
      <c r="F41" s="1256">
        <v>0</v>
      </c>
    </row>
    <row r="42" spans="1:6" s="12" customFormat="1" ht="28.5" customHeight="1">
      <c r="A42" s="431"/>
      <c r="B42" s="434">
        <v>31</v>
      </c>
      <c r="C42" s="1172" t="s">
        <v>915</v>
      </c>
      <c r="D42" s="1214">
        <v>0</v>
      </c>
      <c r="E42" s="1257">
        <f>5000000-5000000</f>
        <v>0</v>
      </c>
      <c r="F42" s="1256">
        <v>0</v>
      </c>
    </row>
    <row r="43" spans="1:6" s="12" customFormat="1" ht="15" customHeight="1">
      <c r="A43" s="431"/>
      <c r="B43" s="434">
        <v>32</v>
      </c>
      <c r="C43" s="1172" t="s">
        <v>916</v>
      </c>
      <c r="D43" s="1214">
        <v>0</v>
      </c>
      <c r="E43" s="1257">
        <v>4019386</v>
      </c>
      <c r="F43" s="1256">
        <v>4019386</v>
      </c>
    </row>
    <row r="44" spans="1:6" s="12" customFormat="1" ht="15" customHeight="1">
      <c r="A44" s="431"/>
      <c r="B44" s="434">
        <v>33</v>
      </c>
      <c r="C44" s="1172" t="s">
        <v>884</v>
      </c>
      <c r="D44" s="1214">
        <v>0</v>
      </c>
      <c r="E44" s="1257">
        <v>500000</v>
      </c>
      <c r="F44" s="1256">
        <v>153059</v>
      </c>
    </row>
    <row r="45" spans="1:6" s="12" customFormat="1" ht="15" customHeight="1">
      <c r="A45" s="431"/>
      <c r="B45" s="434">
        <v>34</v>
      </c>
      <c r="C45" s="1172" t="s">
        <v>891</v>
      </c>
      <c r="D45" s="1214">
        <v>0</v>
      </c>
      <c r="E45" s="1257">
        <f>1500000-108774+6101774</f>
        <v>7493000</v>
      </c>
      <c r="F45" s="1256">
        <v>0</v>
      </c>
    </row>
    <row r="46" spans="1:6" s="12" customFormat="1" ht="15" customHeight="1">
      <c r="A46" s="431"/>
      <c r="B46" s="434">
        <v>35</v>
      </c>
      <c r="C46" s="1172" t="s">
        <v>917</v>
      </c>
      <c r="D46" s="1214">
        <v>0</v>
      </c>
      <c r="E46" s="1257">
        <v>1266571</v>
      </c>
      <c r="F46" s="1256">
        <v>1266571</v>
      </c>
    </row>
    <row r="47" spans="1:6" s="12" customFormat="1" ht="15" customHeight="1">
      <c r="A47" s="431"/>
      <c r="B47" s="434">
        <v>36</v>
      </c>
      <c r="C47" s="1172" t="s">
        <v>887</v>
      </c>
      <c r="D47" s="1214">
        <v>0</v>
      </c>
      <c r="E47" s="1257">
        <f>5877672-2365702-62611</f>
        <v>3449359</v>
      </c>
      <c r="F47" s="1256">
        <v>0</v>
      </c>
    </row>
    <row r="48" spans="1:6" s="12" customFormat="1" ht="15" customHeight="1">
      <c r="A48" s="431"/>
      <c r="B48" s="434">
        <v>37</v>
      </c>
      <c r="C48" s="1172" t="s">
        <v>878</v>
      </c>
      <c r="D48" s="1214">
        <v>0</v>
      </c>
      <c r="E48" s="1257">
        <f>500000+2027585+128270</f>
        <v>2655855</v>
      </c>
      <c r="F48" s="1256">
        <v>2655855</v>
      </c>
    </row>
    <row r="49" spans="1:6" s="12" customFormat="1" ht="15" customHeight="1">
      <c r="A49" s="431"/>
      <c r="B49" s="434">
        <v>38</v>
      </c>
      <c r="C49" s="1172" t="s">
        <v>918</v>
      </c>
      <c r="D49" s="1214">
        <v>0</v>
      </c>
      <c r="E49" s="1257">
        <f>15000000+35000000</f>
        <v>50000000</v>
      </c>
      <c r="F49" s="1256">
        <v>0</v>
      </c>
    </row>
    <row r="50" spans="1:6" s="12" customFormat="1" ht="15" customHeight="1">
      <c r="A50" s="431"/>
      <c r="B50" s="434">
        <v>39</v>
      </c>
      <c r="C50" s="17" t="s">
        <v>774</v>
      </c>
      <c r="D50" s="1214">
        <v>0</v>
      </c>
      <c r="E50" s="1258">
        <f>8000000+10000000</f>
        <v>18000000</v>
      </c>
      <c r="F50" s="1256">
        <v>0</v>
      </c>
    </row>
    <row r="51" spans="1:6" s="12" customFormat="1" ht="15" customHeight="1">
      <c r="A51" s="431"/>
      <c r="B51" s="434">
        <v>40</v>
      </c>
      <c r="C51" s="1254" t="s">
        <v>919</v>
      </c>
      <c r="D51" s="1214">
        <v>0</v>
      </c>
      <c r="E51" s="1261">
        <v>65000000</v>
      </c>
      <c r="F51" s="1256">
        <v>13000000</v>
      </c>
    </row>
    <row r="52" spans="1:6" s="12" customFormat="1" ht="15" customHeight="1">
      <c r="A52" s="431"/>
      <c r="B52" s="434">
        <v>41</v>
      </c>
      <c r="C52" s="1254" t="s">
        <v>892</v>
      </c>
      <c r="D52" s="1214">
        <v>0</v>
      </c>
      <c r="E52" s="1261">
        <v>1606191</v>
      </c>
      <c r="F52" s="1256">
        <v>0</v>
      </c>
    </row>
    <row r="53" spans="1:6" s="12" customFormat="1" ht="15" customHeight="1">
      <c r="A53" s="431"/>
      <c r="B53" s="434">
        <v>42</v>
      </c>
      <c r="C53" s="1254" t="s">
        <v>920</v>
      </c>
      <c r="D53" s="1214">
        <v>0</v>
      </c>
      <c r="E53" s="1261">
        <f>19374000+5690720</f>
        <v>25064720</v>
      </c>
      <c r="F53" s="1256">
        <v>24603710</v>
      </c>
    </row>
    <row r="54" spans="1:6" s="12" customFormat="1" ht="15" customHeight="1">
      <c r="A54" s="431"/>
      <c r="B54" s="434">
        <v>43</v>
      </c>
      <c r="C54" s="1254" t="s">
        <v>921</v>
      </c>
      <c r="D54" s="1214">
        <v>0</v>
      </c>
      <c r="E54" s="1261">
        <v>90000000</v>
      </c>
      <c r="F54" s="1256">
        <v>0</v>
      </c>
    </row>
    <row r="55" spans="1:6" s="12" customFormat="1" ht="5.25" customHeight="1">
      <c r="A55" s="435"/>
      <c r="B55" s="434"/>
      <c r="C55" s="13"/>
      <c r="D55" s="1190"/>
      <c r="E55" s="13"/>
      <c r="F55" s="1256"/>
    </row>
    <row r="56" spans="1:6" s="24" customFormat="1" ht="14.25" customHeight="1">
      <c r="A56" s="435" t="s">
        <v>21</v>
      </c>
      <c r="B56" s="432"/>
      <c r="C56" s="696" t="s">
        <v>191</v>
      </c>
      <c r="D56" s="1198">
        <f>SUM(D57:D73)</f>
        <v>144914565</v>
      </c>
      <c r="E56" s="1199">
        <f>SUM(E57:E73)</f>
        <v>394986916</v>
      </c>
      <c r="F56" s="1173">
        <f>SUM(F57:F73)</f>
        <v>62355508</v>
      </c>
    </row>
    <row r="57" spans="1:6" s="12" customFormat="1" ht="14.25" customHeight="1">
      <c r="A57" s="435"/>
      <c r="B57" s="434">
        <v>1</v>
      </c>
      <c r="C57" s="13" t="s">
        <v>773</v>
      </c>
      <c r="D57" s="1194">
        <v>9000000</v>
      </c>
      <c r="E57" s="1194">
        <v>9000000</v>
      </c>
      <c r="F57" s="1256">
        <f>500000+168821+620000</f>
        <v>1288821</v>
      </c>
    </row>
    <row r="58" spans="1:6" s="12" customFormat="1" ht="14.25" customHeight="1">
      <c r="A58" s="435"/>
      <c r="B58" s="434">
        <v>2</v>
      </c>
      <c r="C58" s="17" t="s">
        <v>774</v>
      </c>
      <c r="D58" s="1194">
        <v>72492565</v>
      </c>
      <c r="E58" s="1194">
        <f>72492565-18000000</f>
        <v>54492565</v>
      </c>
      <c r="F58" s="1256">
        <v>1367790</v>
      </c>
    </row>
    <row r="59" spans="1:6" s="12" customFormat="1" ht="14.25" customHeight="1">
      <c r="A59" s="435"/>
      <c r="B59" s="434">
        <v>3</v>
      </c>
      <c r="C59" s="13" t="s">
        <v>775</v>
      </c>
      <c r="D59" s="1194">
        <v>20000000</v>
      </c>
      <c r="E59" s="1194">
        <f>20000000-8000000</f>
        <v>12000000</v>
      </c>
      <c r="F59" s="1256">
        <v>1454658</v>
      </c>
    </row>
    <row r="60" spans="1:6" s="12" customFormat="1" ht="14.25" customHeight="1">
      <c r="A60" s="435"/>
      <c r="B60" s="434">
        <v>4</v>
      </c>
      <c r="C60" s="1172" t="s">
        <v>777</v>
      </c>
      <c r="D60" s="1194">
        <v>3500000</v>
      </c>
      <c r="E60" s="1194">
        <f>3500000+1614011+2161540</f>
        <v>7275551</v>
      </c>
      <c r="F60" s="1256">
        <f>3804666+1614011</f>
        <v>5418677</v>
      </c>
    </row>
    <row r="61" spans="1:6" s="12" customFormat="1" ht="14.25" customHeight="1">
      <c r="A61" s="435"/>
      <c r="B61" s="434">
        <v>5</v>
      </c>
      <c r="C61" s="1172" t="s">
        <v>778</v>
      </c>
      <c r="D61" s="1194">
        <v>8000000</v>
      </c>
      <c r="E61" s="1194">
        <f>8000000-1500000+9405114+540075+1026359+5846400+1578528</f>
        <v>24896476</v>
      </c>
      <c r="F61" s="1256">
        <f>7323201+9405114+540075</f>
        <v>17268390</v>
      </c>
    </row>
    <row r="62" spans="1:6" s="12" customFormat="1" ht="14.25" customHeight="1">
      <c r="A62" s="435"/>
      <c r="B62" s="434">
        <v>6</v>
      </c>
      <c r="C62" s="1172" t="s">
        <v>922</v>
      </c>
      <c r="D62" s="1194">
        <v>6500000</v>
      </c>
      <c r="E62" s="1194">
        <f>6500000-5473641-1026359+5473641</f>
        <v>5473641</v>
      </c>
      <c r="F62" s="1068">
        <v>0</v>
      </c>
    </row>
    <row r="63" spans="1:6" s="12" customFormat="1" ht="14.25" customHeight="1">
      <c r="A63" s="435"/>
      <c r="B63" s="434">
        <v>7</v>
      </c>
      <c r="C63" s="1172" t="s">
        <v>780</v>
      </c>
      <c r="D63" s="1194">
        <v>4177000</v>
      </c>
      <c r="E63" s="1194">
        <f>4177000+6975500+1778000</f>
        <v>12930500</v>
      </c>
      <c r="F63" s="1255">
        <v>12926137</v>
      </c>
    </row>
    <row r="64" spans="1:6" s="12" customFormat="1" ht="14.25" customHeight="1">
      <c r="A64" s="435"/>
      <c r="B64" s="434">
        <v>8</v>
      </c>
      <c r="C64" s="1172" t="s">
        <v>914</v>
      </c>
      <c r="D64" s="1194">
        <f>1778000+19467000</f>
        <v>21245000</v>
      </c>
      <c r="E64" s="1194">
        <v>0</v>
      </c>
      <c r="F64" s="1256">
        <v>0</v>
      </c>
    </row>
    <row r="65" spans="1:6" s="12" customFormat="1" ht="14.25" customHeight="1">
      <c r="A65" s="435"/>
      <c r="B65" s="434">
        <v>9</v>
      </c>
      <c r="C65" s="1172" t="s">
        <v>923</v>
      </c>
      <c r="D65" s="1214">
        <v>0</v>
      </c>
      <c r="E65" s="1194">
        <f>1295000+349650</f>
        <v>1644650</v>
      </c>
      <c r="F65" s="1256">
        <v>1644650</v>
      </c>
    </row>
    <row r="66" spans="1:6" s="12" customFormat="1" ht="14.25" customHeight="1">
      <c r="A66" s="435"/>
      <c r="B66" s="434">
        <v>10</v>
      </c>
      <c r="C66" s="1172" t="s">
        <v>896</v>
      </c>
      <c r="D66" s="1204">
        <v>0</v>
      </c>
      <c r="E66" s="1194">
        <v>30000000</v>
      </c>
      <c r="F66" s="1068">
        <v>0</v>
      </c>
    </row>
    <row r="67" spans="1:6" s="12" customFormat="1" ht="14.25" customHeight="1">
      <c r="A67" s="435"/>
      <c r="B67" s="434">
        <v>11</v>
      </c>
      <c r="C67" s="1172" t="s">
        <v>776</v>
      </c>
      <c r="D67" s="1203">
        <v>0</v>
      </c>
      <c r="E67" s="1194">
        <v>3169682</v>
      </c>
      <c r="F67" s="1256">
        <v>3169682</v>
      </c>
    </row>
    <row r="68" spans="1:6" s="12" customFormat="1" ht="14.25" customHeight="1">
      <c r="A68" s="435"/>
      <c r="B68" s="434">
        <v>12</v>
      </c>
      <c r="C68" s="1172" t="s">
        <v>779</v>
      </c>
      <c r="D68" s="1203">
        <v>0</v>
      </c>
      <c r="E68" s="1194">
        <v>2576703</v>
      </c>
      <c r="F68" s="1256">
        <v>2576703</v>
      </c>
    </row>
    <row r="69" spans="1:6" s="12" customFormat="1" ht="18.75" customHeight="1">
      <c r="A69" s="435"/>
      <c r="B69" s="434">
        <v>13</v>
      </c>
      <c r="C69" s="1172" t="s">
        <v>924</v>
      </c>
      <c r="D69" s="1203">
        <v>0</v>
      </c>
      <c r="E69" s="1194">
        <f>2000000+20000000</f>
        <v>22000000</v>
      </c>
      <c r="F69" s="1256">
        <v>15240000</v>
      </c>
    </row>
    <row r="70" spans="1:6" s="12" customFormat="1" ht="18.75" customHeight="1">
      <c r="A70" s="435"/>
      <c r="B70" s="434">
        <v>14</v>
      </c>
      <c r="C70" s="1172" t="s">
        <v>887</v>
      </c>
      <c r="D70" s="1203">
        <v>0</v>
      </c>
      <c r="E70" s="1194">
        <f>2000000+2365702</f>
        <v>4365702</v>
      </c>
      <c r="F70" s="1256">
        <v>0</v>
      </c>
    </row>
    <row r="71" spans="1:6" s="12" customFormat="1" ht="14.25" customHeight="1">
      <c r="A71" s="435"/>
      <c r="B71" s="434">
        <v>15</v>
      </c>
      <c r="C71" s="19" t="s">
        <v>925</v>
      </c>
      <c r="D71" s="1203">
        <v>0</v>
      </c>
      <c r="E71" s="1194">
        <v>2373111</v>
      </c>
      <c r="F71" s="1256">
        <v>0</v>
      </c>
    </row>
    <row r="72" spans="1:6" s="12" customFormat="1" ht="18" customHeight="1">
      <c r="A72" s="435"/>
      <c r="B72" s="434">
        <v>16</v>
      </c>
      <c r="C72" s="19" t="s">
        <v>898</v>
      </c>
      <c r="D72" s="1203">
        <v>0</v>
      </c>
      <c r="E72" s="1194">
        <f>8000000+194788335</f>
        <v>202788335</v>
      </c>
      <c r="F72" s="1256">
        <v>0</v>
      </c>
    </row>
    <row r="73" spans="1:6" s="12" customFormat="1" ht="18" customHeight="1">
      <c r="A73" s="435"/>
      <c r="B73" s="434"/>
      <c r="C73" s="25"/>
      <c r="D73" s="1203">
        <v>0</v>
      </c>
      <c r="E73" s="711">
        <v>0</v>
      </c>
      <c r="F73" s="1166"/>
    </row>
    <row r="74" spans="1:6" s="12" customFormat="1" ht="4.5" customHeight="1" thickBot="1">
      <c r="A74" s="435"/>
      <c r="B74" s="434"/>
      <c r="C74" s="19"/>
      <c r="D74" s="1189"/>
      <c r="E74" s="1189"/>
      <c r="F74" s="1165"/>
    </row>
    <row r="75" spans="1:6" s="24" customFormat="1" ht="14.25" customHeight="1" thickBot="1" thickTop="1">
      <c r="A75" s="1665" t="s">
        <v>781</v>
      </c>
      <c r="B75" s="1666"/>
      <c r="C75" s="1667"/>
      <c r="D75" s="1195">
        <f>D56+D6</f>
        <v>764327280</v>
      </c>
      <c r="E75" s="1195">
        <f>E56+E6</f>
        <v>2895640893</v>
      </c>
      <c r="F75" s="1174">
        <f>F6+F56</f>
        <v>249675624</v>
      </c>
    </row>
    <row r="76" spans="1:6" s="12" customFormat="1" ht="7.5" customHeight="1">
      <c r="A76" s="431"/>
      <c r="B76" s="436"/>
      <c r="C76" s="437"/>
      <c r="D76" s="1191"/>
      <c r="E76" s="1191"/>
      <c r="F76" s="1175"/>
    </row>
    <row r="77" spans="1:6" s="24" customFormat="1" ht="14.25" customHeight="1">
      <c r="A77" s="435" t="s">
        <v>25</v>
      </c>
      <c r="B77" s="1176"/>
      <c r="C77" s="1177" t="s">
        <v>103</v>
      </c>
      <c r="D77" s="1196">
        <f>SUM(D78:D84)</f>
        <v>23887216</v>
      </c>
      <c r="E77" s="1196">
        <f>SUM(E78:E84)</f>
        <v>41698829</v>
      </c>
      <c r="F77" s="1178">
        <f>F81+F80+F79+F78+F82+F83+F84</f>
        <v>33333230</v>
      </c>
    </row>
    <row r="78" spans="1:6" s="12" customFormat="1" ht="15.75" customHeight="1">
      <c r="A78" s="431"/>
      <c r="B78" s="438">
        <v>1</v>
      </c>
      <c r="C78" s="14" t="s">
        <v>60</v>
      </c>
      <c r="D78" s="1200">
        <v>4513216</v>
      </c>
      <c r="E78" s="711">
        <v>4513216</v>
      </c>
      <c r="F78" s="1068">
        <v>0</v>
      </c>
    </row>
    <row r="79" spans="1:6" s="12" customFormat="1" ht="17.25" customHeight="1">
      <c r="A79" s="431"/>
      <c r="B79" s="438">
        <v>2</v>
      </c>
      <c r="C79" s="23" t="s">
        <v>783</v>
      </c>
      <c r="D79" s="1201">
        <v>19374000</v>
      </c>
      <c r="E79" s="1194">
        <f>19374000-19374000</f>
        <v>0</v>
      </c>
      <c r="F79" s="1256">
        <v>0</v>
      </c>
    </row>
    <row r="80" spans="1:6" s="12" customFormat="1" ht="17.25" customHeight="1">
      <c r="A80" s="431"/>
      <c r="B80" s="438">
        <v>3</v>
      </c>
      <c r="C80" s="23" t="s">
        <v>926</v>
      </c>
      <c r="D80" s="1201">
        <v>0</v>
      </c>
      <c r="E80" s="1194">
        <v>994273</v>
      </c>
      <c r="F80" s="1256">
        <v>994273</v>
      </c>
    </row>
    <row r="81" spans="1:6" s="12" customFormat="1" ht="17.25" customHeight="1">
      <c r="A81" s="431"/>
      <c r="B81" s="438">
        <v>4</v>
      </c>
      <c r="C81" s="23" t="s">
        <v>927</v>
      </c>
      <c r="D81" s="1201">
        <v>0</v>
      </c>
      <c r="E81" s="1194">
        <v>18739859</v>
      </c>
      <c r="F81" s="1256">
        <v>18739859</v>
      </c>
    </row>
    <row r="82" spans="1:6" s="12" customFormat="1" ht="18.75" customHeight="1">
      <c r="A82" s="431"/>
      <c r="B82" s="438">
        <v>5</v>
      </c>
      <c r="C82" s="23" t="s">
        <v>928</v>
      </c>
      <c r="D82" s="1201">
        <v>0</v>
      </c>
      <c r="E82" s="1194">
        <v>2451481</v>
      </c>
      <c r="F82" s="1256">
        <v>2451481</v>
      </c>
    </row>
    <row r="83" spans="1:6" s="12" customFormat="1" ht="13.5" customHeight="1">
      <c r="A83" s="431"/>
      <c r="B83" s="438">
        <v>6</v>
      </c>
      <c r="C83" s="23" t="s">
        <v>782</v>
      </c>
      <c r="D83" s="1201">
        <v>0</v>
      </c>
      <c r="E83" s="1194">
        <f>2237500-2237500</f>
        <v>0</v>
      </c>
      <c r="F83" s="1256">
        <v>0</v>
      </c>
    </row>
    <row r="84" spans="1:6" s="12" customFormat="1" ht="18" customHeight="1" thickBot="1">
      <c r="A84" s="431"/>
      <c r="B84" s="438">
        <v>7</v>
      </c>
      <c r="C84" s="1179" t="s">
        <v>929</v>
      </c>
      <c r="D84" s="1202">
        <v>0</v>
      </c>
      <c r="E84" s="1197">
        <v>15000000</v>
      </c>
      <c r="F84" s="1263">
        <v>11147617</v>
      </c>
    </row>
    <row r="85" spans="1:6" ht="14.25" customHeight="1" thickBot="1" thickTop="1">
      <c r="A85" s="1654"/>
      <c r="B85" s="1655"/>
      <c r="C85" s="1656"/>
      <c r="D85" s="1180"/>
      <c r="E85" s="1180"/>
      <c r="F85" s="1181"/>
    </row>
    <row r="86" spans="1:6" s="1185" customFormat="1" ht="14.25" customHeight="1" thickTop="1">
      <c r="A86" s="1182"/>
      <c r="B86" s="1183"/>
      <c r="C86" s="1184" t="s">
        <v>52</v>
      </c>
      <c r="D86" s="1659">
        <f>D75+D77</f>
        <v>788214496</v>
      </c>
      <c r="E86" s="1659">
        <f>E75+E77</f>
        <v>2937339722</v>
      </c>
      <c r="F86" s="1657">
        <f>F75+F77</f>
        <v>283008854</v>
      </c>
    </row>
    <row r="87" spans="1:6" s="1185" customFormat="1" ht="14.25" customHeight="1" thickBot="1">
      <c r="A87" s="1186"/>
      <c r="B87" s="1187"/>
      <c r="C87" s="1188" t="s">
        <v>63</v>
      </c>
      <c r="D87" s="1660"/>
      <c r="E87" s="1660"/>
      <c r="F87" s="1658"/>
    </row>
  </sheetData>
  <sheetProtection/>
  <mergeCells count="7">
    <mergeCell ref="A85:C85"/>
    <mergeCell ref="F86:F87"/>
    <mergeCell ref="D86:D87"/>
    <mergeCell ref="E86:E87"/>
    <mergeCell ref="C1:F1"/>
    <mergeCell ref="A5:C5"/>
    <mergeCell ref="A75:C75"/>
  </mergeCells>
  <printOptions horizontalCentered="1" verticalCentered="1"/>
  <pageMargins left="0.7874015748031497" right="0.7874015748031497" top="0.5905511811023623" bottom="0.3937007874015748" header="0.5118110236220472" footer="0"/>
  <pageSetup fitToHeight="2" horizontalDpi="600" verticalDpi="600" orientation="portrait" paperSize="9" scale="79" r:id="rId2"/>
  <headerFooter alignWithMargins="0">
    <oddFooter>&amp;C&amp;P. oldal</oddFooter>
  </headerFooter>
  <rowBreaks count="1" manualBreakCount="1">
    <brk id="5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40" bestFit="1" customWidth="1"/>
    <col min="2" max="2" width="56.75390625" style="40" customWidth="1"/>
    <col min="3" max="3" width="16.00390625" style="40" bestFit="1" customWidth="1"/>
    <col min="4" max="4" width="18.25390625" style="40" customWidth="1"/>
    <col min="5" max="5" width="38.25390625" style="342" bestFit="1" customWidth="1"/>
    <col min="6" max="6" width="9.125" style="40" customWidth="1"/>
    <col min="7" max="16384" width="9.125" style="27" customWidth="1"/>
  </cols>
  <sheetData>
    <row r="1" spans="1:5" ht="12.75">
      <c r="A1" s="316"/>
      <c r="B1" s="139"/>
      <c r="C1" s="317"/>
      <c r="D1" s="317"/>
      <c r="E1" s="179"/>
    </row>
    <row r="2" spans="1:9" ht="12.75">
      <c r="A2" s="316"/>
      <c r="B2" s="139"/>
      <c r="C2" s="1668" t="s">
        <v>1099</v>
      </c>
      <c r="D2" s="1668"/>
      <c r="E2" s="1668"/>
      <c r="F2" s="1952"/>
      <c r="G2" s="28"/>
      <c r="H2" s="28"/>
      <c r="I2" s="28"/>
    </row>
    <row r="3" spans="1:5" ht="12.75">
      <c r="A3" s="316"/>
      <c r="B3" s="316" t="s">
        <v>53</v>
      </c>
      <c r="C3" s="316"/>
      <c r="D3" s="316"/>
      <c r="E3" s="316"/>
    </row>
    <row r="4" spans="1:5" ht="12.75">
      <c r="A4" s="316"/>
      <c r="B4" s="316"/>
      <c r="C4" s="316"/>
      <c r="D4" s="316"/>
      <c r="E4" s="316"/>
    </row>
    <row r="5" spans="1:5" ht="12.75">
      <c r="A5" s="316"/>
      <c r="B5" s="139"/>
      <c r="C5" s="317"/>
      <c r="D5" s="317"/>
      <c r="E5" s="319"/>
    </row>
    <row r="6" spans="1:5" ht="12.75">
      <c r="A6" s="316"/>
      <c r="B6" s="139"/>
      <c r="C6" s="317"/>
      <c r="D6" s="317"/>
      <c r="E6" s="319"/>
    </row>
    <row r="7" spans="1:5" ht="12.75">
      <c r="A7" s="316"/>
      <c r="B7" s="139"/>
      <c r="C7" s="317"/>
      <c r="D7" s="317"/>
      <c r="E7" s="319"/>
    </row>
    <row r="8" spans="1:5" ht="12.75">
      <c r="A8" s="316"/>
      <c r="B8" s="139"/>
      <c r="C8" s="317"/>
      <c r="D8" s="317"/>
      <c r="E8" s="319"/>
    </row>
    <row r="9" spans="1:5" ht="12.75">
      <c r="A9" s="316"/>
      <c r="B9" s="139"/>
      <c r="C9" s="317"/>
      <c r="D9" s="317"/>
      <c r="E9" s="318"/>
    </row>
    <row r="10" spans="1:5" ht="13.5" thickBot="1">
      <c r="A10" s="316"/>
      <c r="B10" s="139"/>
      <c r="C10" s="317"/>
      <c r="D10" s="317"/>
      <c r="E10" s="318" t="s">
        <v>508</v>
      </c>
    </row>
    <row r="11" spans="1:5" ht="26.25" thickBot="1">
      <c r="A11" s="320" t="s">
        <v>54</v>
      </c>
      <c r="B11" s="321" t="s">
        <v>137</v>
      </c>
      <c r="C11" s="322" t="s">
        <v>930</v>
      </c>
      <c r="D11" s="323" t="s">
        <v>931</v>
      </c>
      <c r="E11" s="324" t="s">
        <v>138</v>
      </c>
    </row>
    <row r="12" spans="1:5" ht="27.75" customHeight="1">
      <c r="A12" s="325" t="s">
        <v>3</v>
      </c>
      <c r="B12" s="326" t="s">
        <v>139</v>
      </c>
      <c r="C12" s="327">
        <v>500000</v>
      </c>
      <c r="D12" s="328">
        <v>500000</v>
      </c>
      <c r="E12" s="329" t="s">
        <v>140</v>
      </c>
    </row>
    <row r="13" spans="1:5" ht="42.75" customHeight="1">
      <c r="A13" s="330" t="s">
        <v>4</v>
      </c>
      <c r="B13" s="331" t="s">
        <v>193</v>
      </c>
      <c r="C13" s="327">
        <v>3130000</v>
      </c>
      <c r="D13" s="328">
        <v>613000</v>
      </c>
      <c r="E13" s="336" t="s">
        <v>140</v>
      </c>
    </row>
    <row r="14" spans="1:5" ht="28.5" customHeight="1">
      <c r="A14" s="330" t="s">
        <v>5</v>
      </c>
      <c r="B14" s="1264" t="s">
        <v>761</v>
      </c>
      <c r="C14" s="327">
        <v>60000000</v>
      </c>
      <c r="D14" s="328">
        <v>60000000</v>
      </c>
      <c r="E14" s="332" t="s">
        <v>140</v>
      </c>
    </row>
    <row r="15" spans="1:5" ht="46.5" customHeight="1">
      <c r="A15" s="333" t="s">
        <v>6</v>
      </c>
      <c r="B15" s="1264" t="s">
        <v>142</v>
      </c>
      <c r="C15" s="334">
        <v>2000000</v>
      </c>
      <c r="D15" s="335">
        <v>2000000</v>
      </c>
      <c r="E15" s="336" t="s">
        <v>143</v>
      </c>
    </row>
    <row r="16" spans="1:5" ht="34.5" customHeight="1" thickBot="1">
      <c r="A16" s="333" t="s">
        <v>7</v>
      </c>
      <c r="B16" s="1265" t="s">
        <v>141</v>
      </c>
      <c r="C16" s="1211">
        <v>2000000</v>
      </c>
      <c r="D16" s="1211">
        <v>2000000</v>
      </c>
      <c r="E16" s="336" t="s">
        <v>143</v>
      </c>
    </row>
    <row r="17" spans="1:5" ht="13.5" thickBot="1">
      <c r="A17" s="337"/>
      <c r="B17" s="338" t="s">
        <v>135</v>
      </c>
      <c r="C17" s="339">
        <f>SUM(C12:C16)</f>
        <v>67630000</v>
      </c>
      <c r="D17" s="340">
        <f>SUM(D12:D16)</f>
        <v>65113000</v>
      </c>
      <c r="E17" s="341"/>
    </row>
  </sheetData>
  <sheetProtection/>
  <mergeCells count="1">
    <mergeCell ref="C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E11" sqref="E11:E12"/>
    </sheetView>
  </sheetViews>
  <sheetFormatPr defaultColWidth="9.00390625" defaultRowHeight="12.75"/>
  <cols>
    <col min="1" max="1" width="4.375" style="873" customWidth="1"/>
    <col min="2" max="2" width="10.625" style="873" customWidth="1"/>
    <col min="3" max="3" width="54.75390625" style="874" customWidth="1"/>
    <col min="4" max="4" width="9.375" style="874" customWidth="1"/>
    <col min="5" max="5" width="6.125" style="874" customWidth="1"/>
    <col min="6" max="6" width="11.75390625" style="873" customWidth="1"/>
    <col min="7" max="7" width="12.375" style="1324" customWidth="1"/>
    <col min="8" max="8" width="12.625" style="1324" customWidth="1"/>
    <col min="9" max="9" width="11.00390625" style="873" customWidth="1"/>
    <col min="10" max="10" width="7.75390625" style="873" customWidth="1"/>
    <col min="11" max="11" width="8.75390625" style="873" customWidth="1"/>
    <col min="12" max="12" width="14.25390625" style="873" customWidth="1"/>
    <col min="13" max="13" width="14.75390625" style="1324" customWidth="1"/>
    <col min="14" max="16384" width="9.125" style="875" customWidth="1"/>
  </cols>
  <sheetData>
    <row r="1" spans="7:13" ht="48.75" customHeight="1">
      <c r="G1" s="873"/>
      <c r="H1" s="1960" t="s">
        <v>1100</v>
      </c>
      <c r="I1" s="1960"/>
      <c r="J1" s="1960"/>
      <c r="K1" s="1960"/>
      <c r="L1" s="1960"/>
      <c r="M1" s="1960"/>
    </row>
    <row r="2" spans="1:13" ht="18" customHeight="1">
      <c r="A2" s="1734" t="s">
        <v>943</v>
      </c>
      <c r="B2" s="1734"/>
      <c r="C2" s="1735"/>
      <c r="D2" s="1735"/>
      <c r="E2" s="1735"/>
      <c r="F2" s="1735"/>
      <c r="G2" s="1735"/>
      <c r="H2" s="1275"/>
      <c r="I2" s="1274"/>
      <c r="J2" s="1274"/>
      <c r="K2" s="1274"/>
      <c r="L2" s="1274"/>
      <c r="M2" s="1276" t="s">
        <v>508</v>
      </c>
    </row>
    <row r="3" spans="1:13" ht="11.25" customHeight="1">
      <c r="A3" s="1669" t="s">
        <v>54</v>
      </c>
      <c r="B3" s="1736" t="s">
        <v>944</v>
      </c>
      <c r="C3" s="1737"/>
      <c r="D3" s="1715" t="s">
        <v>945</v>
      </c>
      <c r="E3" s="1715" t="s">
        <v>946</v>
      </c>
      <c r="F3" s="1715" t="s">
        <v>947</v>
      </c>
      <c r="G3" s="1714" t="s">
        <v>538</v>
      </c>
      <c r="H3" s="1714"/>
      <c r="I3" s="1714"/>
      <c r="J3" s="1714"/>
      <c r="K3" s="1714"/>
      <c r="L3" s="1714"/>
      <c r="M3" s="1669" t="s">
        <v>539</v>
      </c>
    </row>
    <row r="4" spans="1:13" ht="24" customHeight="1">
      <c r="A4" s="1669"/>
      <c r="B4" s="1738"/>
      <c r="C4" s="1739"/>
      <c r="D4" s="1716"/>
      <c r="E4" s="1716"/>
      <c r="F4" s="1716"/>
      <c r="G4" s="1718" t="s">
        <v>540</v>
      </c>
      <c r="H4" s="1719"/>
      <c r="I4" s="1715" t="s">
        <v>948</v>
      </c>
      <c r="J4" s="1715" t="s">
        <v>949</v>
      </c>
      <c r="K4" s="1715" t="s">
        <v>541</v>
      </c>
      <c r="L4" s="1715" t="s">
        <v>542</v>
      </c>
      <c r="M4" s="1669"/>
    </row>
    <row r="5" spans="1:13" ht="57" customHeight="1">
      <c r="A5" s="1669"/>
      <c r="B5" s="1740"/>
      <c r="C5" s="1741"/>
      <c r="D5" s="1717"/>
      <c r="E5" s="1717"/>
      <c r="F5" s="1717"/>
      <c r="G5" s="1277" t="s">
        <v>950</v>
      </c>
      <c r="H5" s="1278" t="s">
        <v>951</v>
      </c>
      <c r="I5" s="1717"/>
      <c r="J5" s="1717"/>
      <c r="K5" s="1717"/>
      <c r="L5" s="1717"/>
      <c r="M5" s="1669"/>
    </row>
    <row r="6" spans="1:13" s="876" customFormat="1" ht="24.75" customHeight="1">
      <c r="A6" s="1714">
        <v>1</v>
      </c>
      <c r="B6" s="1693" t="s">
        <v>952</v>
      </c>
      <c r="C6" s="1731" t="s">
        <v>953</v>
      </c>
      <c r="D6" s="1712" t="s">
        <v>954</v>
      </c>
      <c r="E6" s="1712">
        <v>1</v>
      </c>
      <c r="F6" s="1279" t="s">
        <v>955</v>
      </c>
      <c r="G6" s="1280">
        <v>17077906</v>
      </c>
      <c r="H6" s="1280"/>
      <c r="I6" s="1280"/>
      <c r="J6" s="1280"/>
      <c r="K6" s="1280"/>
      <c r="L6" s="1280"/>
      <c r="M6" s="1281">
        <f>SUM(G6:L6)</f>
        <v>17077906</v>
      </c>
    </row>
    <row r="7" spans="1:13" s="876" customFormat="1" ht="21.75" customHeight="1">
      <c r="A7" s="1714"/>
      <c r="B7" s="1730"/>
      <c r="C7" s="1732"/>
      <c r="D7" s="1733"/>
      <c r="E7" s="1733"/>
      <c r="F7" s="1279" t="s">
        <v>1005</v>
      </c>
      <c r="G7" s="1280">
        <v>0</v>
      </c>
      <c r="H7" s="1280">
        <v>0</v>
      </c>
      <c r="I7" s="1280"/>
      <c r="J7" s="1280"/>
      <c r="K7" s="1280"/>
      <c r="L7" s="1280">
        <f>'3.bev '!G174</f>
        <v>377442328</v>
      </c>
      <c r="M7" s="1281">
        <f>'5.kiad'!Q395</f>
        <v>8980163</v>
      </c>
    </row>
    <row r="8" spans="1:13" s="876" customFormat="1" ht="15.75" customHeight="1">
      <c r="A8" s="1714"/>
      <c r="B8" s="1694"/>
      <c r="C8" s="1284" t="s">
        <v>956</v>
      </c>
      <c r="D8" s="1285" t="s">
        <v>957</v>
      </c>
      <c r="E8" s="1285">
        <v>1</v>
      </c>
      <c r="F8" s="1286" t="s">
        <v>1005</v>
      </c>
      <c r="G8" s="1280">
        <v>0</v>
      </c>
      <c r="H8" s="1280"/>
      <c r="I8" s="1280"/>
      <c r="J8" s="1280"/>
      <c r="K8" s="1280"/>
      <c r="L8" s="1280">
        <f>'3.bev '!G178</f>
        <v>5877672</v>
      </c>
      <c r="M8" s="1281">
        <v>0</v>
      </c>
    </row>
    <row r="9" spans="1:13" s="876" customFormat="1" ht="21.75" customHeight="1">
      <c r="A9" s="1714">
        <v>2</v>
      </c>
      <c r="B9" s="1707" t="s">
        <v>906</v>
      </c>
      <c r="C9" s="1708"/>
      <c r="D9" s="1711" t="s">
        <v>958</v>
      </c>
      <c r="E9" s="1712">
        <v>1</v>
      </c>
      <c r="F9" s="1279" t="s">
        <v>955</v>
      </c>
      <c r="G9" s="1280">
        <v>7374890</v>
      </c>
      <c r="H9" s="1280"/>
      <c r="I9" s="1280"/>
      <c r="J9" s="1280"/>
      <c r="K9" s="1280"/>
      <c r="L9" s="1280"/>
      <c r="M9" s="1281">
        <f>SUM(G9:L9)</f>
        <v>7374890</v>
      </c>
    </row>
    <row r="10" spans="1:13" s="876" customFormat="1" ht="26.25" customHeight="1">
      <c r="A10" s="1714"/>
      <c r="B10" s="1709"/>
      <c r="C10" s="1710"/>
      <c r="D10" s="1711"/>
      <c r="E10" s="1713"/>
      <c r="F10" s="1286" t="s">
        <v>1005</v>
      </c>
      <c r="G10" s="1280">
        <v>0</v>
      </c>
      <c r="H10" s="1280"/>
      <c r="I10" s="1280"/>
      <c r="J10" s="1280"/>
      <c r="K10" s="1280"/>
      <c r="L10" s="1280">
        <f>'3.bev '!G186</f>
        <v>137019157</v>
      </c>
      <c r="M10" s="1281">
        <f>8000+6808356</f>
        <v>6816356</v>
      </c>
    </row>
    <row r="11" spans="1:13" s="877" customFormat="1" ht="23.25" customHeight="1">
      <c r="A11" s="1693">
        <v>3</v>
      </c>
      <c r="B11" s="1707" t="s">
        <v>959</v>
      </c>
      <c r="C11" s="1708"/>
      <c r="D11" s="1711" t="s">
        <v>960</v>
      </c>
      <c r="E11" s="1712">
        <v>1</v>
      </c>
      <c r="F11" s="1279" t="s">
        <v>955</v>
      </c>
      <c r="G11" s="1280">
        <v>10065385</v>
      </c>
      <c r="H11" s="1280"/>
      <c r="I11" s="1280"/>
      <c r="J11" s="1280"/>
      <c r="K11" s="1280"/>
      <c r="L11" s="1280"/>
      <c r="M11" s="1281">
        <f>SUM(G11:L11)</f>
        <v>10065385</v>
      </c>
    </row>
    <row r="12" spans="1:13" s="877" customFormat="1" ht="23.25" customHeight="1">
      <c r="A12" s="1694"/>
      <c r="B12" s="1709"/>
      <c r="C12" s="1710"/>
      <c r="D12" s="1711"/>
      <c r="E12" s="1713"/>
      <c r="F12" s="1286" t="s">
        <v>1005</v>
      </c>
      <c r="G12" s="1280">
        <v>0</v>
      </c>
      <c r="H12" s="1280"/>
      <c r="I12" s="1280"/>
      <c r="J12" s="1280"/>
      <c r="K12" s="1280"/>
      <c r="L12" s="1280">
        <f>'3.bev '!G182</f>
        <v>244622074</v>
      </c>
      <c r="M12" s="1281">
        <f>180400+7549039</f>
        <v>7729439</v>
      </c>
    </row>
    <row r="13" spans="1:13" s="877" customFormat="1" ht="18.75" customHeight="1">
      <c r="A13" s="1283">
        <v>4</v>
      </c>
      <c r="B13" s="1705" t="s">
        <v>856</v>
      </c>
      <c r="C13" s="1706"/>
      <c r="D13" s="1285" t="s">
        <v>961</v>
      </c>
      <c r="E13" s="1285">
        <v>4</v>
      </c>
      <c r="F13" s="1286" t="s">
        <v>1005</v>
      </c>
      <c r="G13" s="1280">
        <v>0</v>
      </c>
      <c r="H13" s="1280"/>
      <c r="I13" s="1280"/>
      <c r="J13" s="1280"/>
      <c r="K13" s="1280"/>
      <c r="L13" s="1280"/>
      <c r="M13" s="1281">
        <v>0</v>
      </c>
    </row>
    <row r="14" spans="1:13" s="877" customFormat="1" ht="17.25" customHeight="1">
      <c r="A14" s="1278">
        <v>5</v>
      </c>
      <c r="B14" s="1699" t="s">
        <v>962</v>
      </c>
      <c r="C14" s="1700"/>
      <c r="D14" s="1287" t="s">
        <v>963</v>
      </c>
      <c r="E14" s="1287">
        <v>2</v>
      </c>
      <c r="F14" s="1333" t="s">
        <v>1005</v>
      </c>
      <c r="G14" s="1282">
        <v>0</v>
      </c>
      <c r="H14" s="1282"/>
      <c r="I14" s="1282"/>
      <c r="J14" s="1282"/>
      <c r="K14" s="1282"/>
      <c r="L14" s="1282"/>
      <c r="M14" s="1281">
        <f>SUM(G14:L14)</f>
        <v>0</v>
      </c>
    </row>
    <row r="15" spans="1:13" s="877" customFormat="1" ht="20.25" customHeight="1">
      <c r="A15" s="1278">
        <v>6</v>
      </c>
      <c r="B15" s="1699" t="s">
        <v>964</v>
      </c>
      <c r="C15" s="1700"/>
      <c r="D15" s="1287" t="s">
        <v>965</v>
      </c>
      <c r="E15" s="1287">
        <v>5</v>
      </c>
      <c r="F15" s="1286" t="s">
        <v>1005</v>
      </c>
      <c r="G15" s="1282">
        <v>0</v>
      </c>
      <c r="H15" s="1282"/>
      <c r="I15" s="1282"/>
      <c r="J15" s="1282"/>
      <c r="K15" s="1282"/>
      <c r="L15" s="1282"/>
      <c r="M15" s="1281">
        <f>SUM(G15:L15)</f>
        <v>0</v>
      </c>
    </row>
    <row r="16" spans="1:13" s="877" customFormat="1" ht="18" customHeight="1">
      <c r="A16" s="1278">
        <v>7</v>
      </c>
      <c r="B16" s="1699" t="s">
        <v>878</v>
      </c>
      <c r="C16" s="1700"/>
      <c r="D16" s="1287" t="s">
        <v>966</v>
      </c>
      <c r="E16" s="1287">
        <v>1</v>
      </c>
      <c r="F16" s="1286" t="s">
        <v>1005</v>
      </c>
      <c r="G16" s="1282">
        <v>0</v>
      </c>
      <c r="H16" s="1282"/>
      <c r="I16" s="1282"/>
      <c r="J16" s="1282"/>
      <c r="K16" s="1282"/>
      <c r="L16" s="1282">
        <f>'4.int.bev '!L20</f>
        <v>39679080</v>
      </c>
      <c r="M16" s="1281">
        <f>'5.kiad'!Q23</f>
        <v>10984454</v>
      </c>
    </row>
    <row r="17" spans="1:13" s="877" customFormat="1" ht="39" customHeight="1">
      <c r="A17" s="1278">
        <v>8</v>
      </c>
      <c r="B17" s="1691" t="s">
        <v>967</v>
      </c>
      <c r="C17" s="1692"/>
      <c r="D17" s="1285" t="s">
        <v>968</v>
      </c>
      <c r="E17" s="1285">
        <v>5</v>
      </c>
      <c r="F17" s="1336" t="s">
        <v>1005</v>
      </c>
      <c r="G17" s="1280">
        <v>228600</v>
      </c>
      <c r="H17" s="1280"/>
      <c r="I17" s="1280"/>
      <c r="J17" s="1280"/>
      <c r="K17" s="1280"/>
      <c r="L17" s="1280"/>
      <c r="M17" s="1281">
        <v>228600</v>
      </c>
    </row>
    <row r="18" spans="1:13" s="877" customFormat="1" ht="35.25" customHeight="1">
      <c r="A18" s="1278">
        <v>9</v>
      </c>
      <c r="B18" s="1691" t="s">
        <v>969</v>
      </c>
      <c r="C18" s="1692"/>
      <c r="D18" s="1289" t="s">
        <v>970</v>
      </c>
      <c r="E18" s="1289">
        <v>4</v>
      </c>
      <c r="F18" s="1286" t="s">
        <v>1005</v>
      </c>
      <c r="G18" s="1282">
        <v>190500</v>
      </c>
      <c r="H18" s="1282"/>
      <c r="I18" s="1282"/>
      <c r="J18" s="1282"/>
      <c r="K18" s="1282"/>
      <c r="L18" s="1282"/>
      <c r="M18" s="1281">
        <f>'6.mell'!F37</f>
        <v>190500</v>
      </c>
    </row>
    <row r="19" spans="1:13" s="877" customFormat="1" ht="32.25" customHeight="1">
      <c r="A19" s="1278">
        <v>10</v>
      </c>
      <c r="B19" s="1699" t="s">
        <v>971</v>
      </c>
      <c r="C19" s="1700"/>
      <c r="D19" s="1277" t="s">
        <v>972</v>
      </c>
      <c r="E19" s="1277">
        <v>5</v>
      </c>
      <c r="F19" s="1286" t="s">
        <v>1005</v>
      </c>
      <c r="G19" s="1282">
        <v>0</v>
      </c>
      <c r="H19" s="1282"/>
      <c r="I19" s="1282"/>
      <c r="J19" s="1282"/>
      <c r="K19" s="1282"/>
      <c r="L19" s="1282"/>
      <c r="M19" s="1281">
        <f>SUM(G19:L19)</f>
        <v>0</v>
      </c>
    </row>
    <row r="20" spans="1:13" s="877" customFormat="1" ht="50.25" customHeight="1">
      <c r="A20" s="1278">
        <v>11</v>
      </c>
      <c r="B20" s="1691" t="s">
        <v>973</v>
      </c>
      <c r="C20" s="1692"/>
      <c r="D20" s="1289" t="s">
        <v>974</v>
      </c>
      <c r="E20" s="1289">
        <v>2</v>
      </c>
      <c r="F20" s="1286" t="s">
        <v>1005</v>
      </c>
      <c r="G20" s="1282">
        <v>0</v>
      </c>
      <c r="H20" s="1282"/>
      <c r="I20" s="1282"/>
      <c r="J20" s="1282"/>
      <c r="K20" s="1282"/>
      <c r="L20" s="1282"/>
      <c r="M20" s="1281">
        <v>0</v>
      </c>
    </row>
    <row r="21" spans="1:13" s="877" customFormat="1" ht="33.75" customHeight="1">
      <c r="A21" s="1278">
        <v>12</v>
      </c>
      <c r="B21" s="1691" t="s">
        <v>880</v>
      </c>
      <c r="C21" s="1692"/>
      <c r="D21" s="1289" t="s">
        <v>975</v>
      </c>
      <c r="E21" s="1289">
        <v>1</v>
      </c>
      <c r="F21" s="1286" t="s">
        <v>1005</v>
      </c>
      <c r="G21" s="1282">
        <v>0</v>
      </c>
      <c r="H21" s="1282"/>
      <c r="I21" s="1282"/>
      <c r="J21" s="1282"/>
      <c r="K21" s="1282"/>
      <c r="L21" s="1282">
        <f>'3.bev '!G170+'3.bev '!F134</f>
        <v>9000000</v>
      </c>
      <c r="M21" s="1281">
        <f>'5.kiad'!Q263</f>
        <v>2542227</v>
      </c>
    </row>
    <row r="22" spans="1:13" s="877" customFormat="1" ht="18" customHeight="1">
      <c r="A22" s="1278">
        <v>13</v>
      </c>
      <c r="B22" s="1691" t="s">
        <v>976</v>
      </c>
      <c r="C22" s="1692"/>
      <c r="D22" s="1289" t="s">
        <v>977</v>
      </c>
      <c r="E22" s="1289">
        <v>4</v>
      </c>
      <c r="F22" s="1286" t="s">
        <v>1005</v>
      </c>
      <c r="G22" s="1282">
        <v>0</v>
      </c>
      <c r="H22" s="1282"/>
      <c r="I22" s="1282"/>
      <c r="J22" s="1282"/>
      <c r="K22" s="1282"/>
      <c r="L22" s="1282"/>
      <c r="M22" s="1281">
        <v>0</v>
      </c>
    </row>
    <row r="23" spans="1:13" s="877" customFormat="1" ht="31.5" customHeight="1">
      <c r="A23" s="1278">
        <v>14</v>
      </c>
      <c r="B23" s="1691" t="s">
        <v>978</v>
      </c>
      <c r="C23" s="1692"/>
      <c r="D23" s="1289" t="s">
        <v>979</v>
      </c>
      <c r="E23" s="1289">
        <v>5</v>
      </c>
      <c r="F23" s="1286" t="s">
        <v>1005</v>
      </c>
      <c r="G23" s="1282">
        <v>0</v>
      </c>
      <c r="H23" s="1282"/>
      <c r="I23" s="1282"/>
      <c r="J23" s="1282"/>
      <c r="K23" s="1282"/>
      <c r="L23" s="1282"/>
      <c r="M23" s="1281">
        <f>L23+G23</f>
        <v>0</v>
      </c>
    </row>
    <row r="24" spans="1:13" s="877" customFormat="1" ht="24" customHeight="1">
      <c r="A24" s="1693">
        <v>15</v>
      </c>
      <c r="B24" s="1701" t="s">
        <v>894</v>
      </c>
      <c r="C24" s="1702"/>
      <c r="D24" s="1689" t="s">
        <v>980</v>
      </c>
      <c r="E24" s="1689">
        <v>1</v>
      </c>
      <c r="F24" s="1286" t="s">
        <v>955</v>
      </c>
      <c r="G24" s="1282">
        <f>2883205+23524222</f>
        <v>26407427</v>
      </c>
      <c r="H24" s="1282"/>
      <c r="I24" s="1282"/>
      <c r="J24" s="1282"/>
      <c r="K24" s="1282"/>
      <c r="L24" s="1282"/>
      <c r="M24" s="1281">
        <f>L24+G24</f>
        <v>26407427</v>
      </c>
    </row>
    <row r="25" spans="1:13" s="877" customFormat="1" ht="23.25" customHeight="1">
      <c r="A25" s="1694"/>
      <c r="B25" s="1703"/>
      <c r="C25" s="1704"/>
      <c r="D25" s="1690"/>
      <c r="E25" s="1690"/>
      <c r="F25" s="1286" t="s">
        <v>1005</v>
      </c>
      <c r="G25" s="1282">
        <f>M25</f>
        <v>4101582</v>
      </c>
      <c r="H25" s="1282"/>
      <c r="I25" s="1282"/>
      <c r="J25" s="1282"/>
      <c r="K25" s="1282"/>
      <c r="L25" s="1282">
        <f>'3.bev '!G206</f>
        <v>0</v>
      </c>
      <c r="M25" s="1281">
        <f>3016580+1085002</f>
        <v>4101582</v>
      </c>
    </row>
    <row r="26" spans="1:13" s="877" customFormat="1" ht="29.25" customHeight="1">
      <c r="A26" s="1278">
        <v>16</v>
      </c>
      <c r="B26" s="1691" t="s">
        <v>981</v>
      </c>
      <c r="C26" s="1692"/>
      <c r="D26" s="1289" t="s">
        <v>982</v>
      </c>
      <c r="E26" s="1289">
        <v>5</v>
      </c>
      <c r="F26" s="1286" t="s">
        <v>1005</v>
      </c>
      <c r="G26" s="1282">
        <v>0</v>
      </c>
      <c r="H26" s="1282"/>
      <c r="I26" s="1282"/>
      <c r="J26" s="1282"/>
      <c r="K26" s="1282"/>
      <c r="L26" s="1282"/>
      <c r="M26" s="1281">
        <f>L26+G26</f>
        <v>0</v>
      </c>
    </row>
    <row r="27" spans="1:13" s="877" customFormat="1" ht="18.75" customHeight="1">
      <c r="A27" s="1278">
        <v>17</v>
      </c>
      <c r="B27" s="1691" t="s">
        <v>898</v>
      </c>
      <c r="C27" s="1692"/>
      <c r="D27" s="1289" t="s">
        <v>983</v>
      </c>
      <c r="E27" s="1289">
        <v>1</v>
      </c>
      <c r="F27" s="1286" t="s">
        <v>1005</v>
      </c>
      <c r="G27" s="1282">
        <v>0</v>
      </c>
      <c r="H27" s="1282"/>
      <c r="I27" s="1282"/>
      <c r="J27" s="1282"/>
      <c r="K27" s="1282"/>
      <c r="L27" s="1282">
        <f>'3.bev '!G218</f>
        <v>0</v>
      </c>
      <c r="M27" s="1281">
        <v>0</v>
      </c>
    </row>
    <row r="28" spans="1:13" s="877" customFormat="1" ht="31.5" customHeight="1">
      <c r="A28" s="1278">
        <v>18</v>
      </c>
      <c r="B28" s="1691" t="s">
        <v>984</v>
      </c>
      <c r="C28" s="1692"/>
      <c r="D28" s="1289" t="s">
        <v>985</v>
      </c>
      <c r="E28" s="1289">
        <v>3</v>
      </c>
      <c r="F28" s="1286" t="s">
        <v>1005</v>
      </c>
      <c r="G28" s="1282">
        <v>0</v>
      </c>
      <c r="H28" s="1282"/>
      <c r="I28" s="1282"/>
      <c r="J28" s="1282"/>
      <c r="K28" s="1282"/>
      <c r="L28" s="1282"/>
      <c r="M28" s="1281">
        <v>0</v>
      </c>
    </row>
    <row r="29" spans="1:13" s="877" customFormat="1" ht="30" customHeight="1">
      <c r="A29" s="1278">
        <v>19</v>
      </c>
      <c r="B29" s="1691" t="s">
        <v>986</v>
      </c>
      <c r="C29" s="1692"/>
      <c r="D29" s="1289" t="s">
        <v>987</v>
      </c>
      <c r="E29" s="1289">
        <v>5</v>
      </c>
      <c r="F29" s="1286" t="s">
        <v>1005</v>
      </c>
      <c r="G29" s="1282">
        <v>0</v>
      </c>
      <c r="H29" s="1282"/>
      <c r="I29" s="1282">
        <v>40000</v>
      </c>
      <c r="J29" s="1282"/>
      <c r="K29" s="1282"/>
      <c r="L29" s="1282"/>
      <c r="M29" s="1281">
        <v>40000</v>
      </c>
    </row>
    <row r="30" spans="1:13" s="877" customFormat="1" ht="39" customHeight="1">
      <c r="A30" s="1693">
        <v>20</v>
      </c>
      <c r="B30" s="1695" t="s">
        <v>895</v>
      </c>
      <c r="C30" s="1696"/>
      <c r="D30" s="1689" t="s">
        <v>988</v>
      </c>
      <c r="E30" s="1689">
        <v>1</v>
      </c>
      <c r="F30" s="1286" t="s">
        <v>955</v>
      </c>
      <c r="G30" s="1282">
        <v>0</v>
      </c>
      <c r="H30" s="1282">
        <v>150000000</v>
      </c>
      <c r="I30" s="1282"/>
      <c r="J30" s="1282"/>
      <c r="K30" s="1282"/>
      <c r="L30" s="1282"/>
      <c r="M30" s="1281">
        <v>150000000</v>
      </c>
    </row>
    <row r="31" spans="1:13" s="877" customFormat="1" ht="39" customHeight="1">
      <c r="A31" s="1694"/>
      <c r="B31" s="1697"/>
      <c r="C31" s="1698"/>
      <c r="D31" s="1690"/>
      <c r="E31" s="1690"/>
      <c r="F31" s="1286" t="s">
        <v>1005</v>
      </c>
      <c r="G31" s="1282">
        <v>0</v>
      </c>
      <c r="H31" s="1282">
        <v>0</v>
      </c>
      <c r="I31" s="1282">
        <v>3209899</v>
      </c>
      <c r="J31" s="1282"/>
      <c r="K31" s="1282"/>
      <c r="L31" s="1282">
        <f>'3.bev '!G210</f>
        <v>0</v>
      </c>
      <c r="M31" s="1281">
        <v>3209899</v>
      </c>
    </row>
    <row r="32" spans="1:13" s="877" customFormat="1" ht="22.5" customHeight="1">
      <c r="A32" s="1283">
        <v>21</v>
      </c>
      <c r="B32" s="1684" t="s">
        <v>989</v>
      </c>
      <c r="C32" s="1685"/>
      <c r="D32" s="1290" t="s">
        <v>990</v>
      </c>
      <c r="E32" s="1290">
        <v>5</v>
      </c>
      <c r="F32" s="1286" t="s">
        <v>1005</v>
      </c>
      <c r="G32" s="1282">
        <v>3327700</v>
      </c>
      <c r="H32" s="1325"/>
      <c r="I32" s="1282"/>
      <c r="J32" s="1282"/>
      <c r="K32" s="1282"/>
      <c r="L32" s="1282"/>
      <c r="M32" s="1281">
        <f>'5.kiad'!Q459</f>
        <v>3327700</v>
      </c>
    </row>
    <row r="33" spans="1:13" s="877" customFormat="1" ht="22.5" customHeight="1">
      <c r="A33" s="1283">
        <v>22</v>
      </c>
      <c r="B33" s="1684" t="s">
        <v>896</v>
      </c>
      <c r="C33" s="1685"/>
      <c r="D33" s="1290" t="s">
        <v>991</v>
      </c>
      <c r="E33" s="1290">
        <v>1</v>
      </c>
      <c r="F33" s="1286" t="s">
        <v>1005</v>
      </c>
      <c r="G33" s="1325"/>
      <c r="H33" s="1325"/>
      <c r="I33" s="1282">
        <v>317500</v>
      </c>
      <c r="J33" s="1282"/>
      <c r="K33" s="1282"/>
      <c r="L33" s="1282">
        <f>'3.bev '!G214</f>
        <v>0</v>
      </c>
      <c r="M33" s="1281">
        <v>317500</v>
      </c>
    </row>
    <row r="34" spans="1:13" s="877" customFormat="1" ht="30" customHeight="1">
      <c r="A34" s="1283">
        <v>23</v>
      </c>
      <c r="B34" s="1684" t="s">
        <v>992</v>
      </c>
      <c r="C34" s="1685"/>
      <c r="D34" s="1290" t="s">
        <v>993</v>
      </c>
      <c r="E34" s="1290">
        <v>5</v>
      </c>
      <c r="F34" s="1286" t="s">
        <v>1005</v>
      </c>
      <c r="G34" s="1282">
        <v>3977900</v>
      </c>
      <c r="H34" s="1282"/>
      <c r="I34" s="1282"/>
      <c r="J34" s="1282"/>
      <c r="K34" s="1282"/>
      <c r="L34" s="1282"/>
      <c r="M34" s="1281">
        <v>3977900</v>
      </c>
    </row>
    <row r="35" spans="1:13" s="877" customFormat="1" ht="22.5" customHeight="1">
      <c r="A35" s="1283">
        <v>24</v>
      </c>
      <c r="B35" s="1684" t="s">
        <v>994</v>
      </c>
      <c r="C35" s="1685"/>
      <c r="D35" s="1290" t="s">
        <v>995</v>
      </c>
      <c r="E35" s="1290">
        <v>5</v>
      </c>
      <c r="F35" s="1286" t="s">
        <v>1005</v>
      </c>
      <c r="G35" s="1282">
        <v>0</v>
      </c>
      <c r="H35" s="1282"/>
      <c r="I35" s="1282"/>
      <c r="J35" s="1282"/>
      <c r="K35" s="1282"/>
      <c r="L35" s="1282"/>
      <c r="M35" s="1281">
        <v>0</v>
      </c>
    </row>
    <row r="36" spans="1:13" s="877" customFormat="1" ht="22.5" customHeight="1">
      <c r="A36" s="1283">
        <v>25</v>
      </c>
      <c r="B36" s="1684" t="s">
        <v>976</v>
      </c>
      <c r="C36" s="1685"/>
      <c r="D36" s="1290" t="s">
        <v>996</v>
      </c>
      <c r="E36" s="1290">
        <v>5</v>
      </c>
      <c r="F36" s="1286" t="s">
        <v>1005</v>
      </c>
      <c r="G36" s="1282">
        <v>0</v>
      </c>
      <c r="H36" s="1282"/>
      <c r="I36" s="1282"/>
      <c r="J36" s="1282"/>
      <c r="K36" s="1282"/>
      <c r="L36" s="1282"/>
      <c r="M36" s="1281">
        <v>0</v>
      </c>
    </row>
    <row r="37" spans="1:13" s="877" customFormat="1" ht="14.25">
      <c r="A37" s="1686" t="s">
        <v>694</v>
      </c>
      <c r="B37" s="1686"/>
      <c r="C37" s="1686"/>
      <c r="D37" s="1686"/>
      <c r="E37" s="1686"/>
      <c r="F37" s="1686"/>
      <c r="G37" s="1291">
        <f>SUM(G6:G35)</f>
        <v>72751890</v>
      </c>
      <c r="H37" s="1291">
        <f>SUM(H6:H35)</f>
        <v>150000000</v>
      </c>
      <c r="I37" s="1291">
        <f>SUM(I6:I35)</f>
        <v>3567399</v>
      </c>
      <c r="J37" s="1291">
        <f>SUM(J6:J35)</f>
        <v>0</v>
      </c>
      <c r="K37" s="1291">
        <f>SUM(K6:K35)</f>
        <v>0</v>
      </c>
      <c r="L37" s="1291">
        <f>SUM(L6:L36)</f>
        <v>813640311</v>
      </c>
      <c r="M37" s="1291">
        <f>SUM(M6:M35)</f>
        <v>263371928</v>
      </c>
    </row>
    <row r="38" spans="1:13" s="877" customFormat="1" ht="14.25">
      <c r="A38" s="1292"/>
      <c r="B38" s="1293"/>
      <c r="C38" s="1293"/>
      <c r="D38" s="1292"/>
      <c r="E38" s="1292"/>
      <c r="F38" s="1292"/>
      <c r="G38" s="1294"/>
      <c r="H38" s="1294"/>
      <c r="I38" s="1294"/>
      <c r="J38" s="1294"/>
      <c r="K38" s="1294"/>
      <c r="L38" s="1294"/>
      <c r="M38" s="1295" t="s">
        <v>997</v>
      </c>
    </row>
    <row r="39" spans="1:13" s="876" customFormat="1" ht="24" customHeight="1">
      <c r="A39" s="1278">
        <v>1</v>
      </c>
      <c r="B39" s="1687" t="s">
        <v>998</v>
      </c>
      <c r="C39" s="1687"/>
      <c r="D39" s="1277" t="s">
        <v>999</v>
      </c>
      <c r="E39" s="1277">
        <v>5</v>
      </c>
      <c r="F39" s="1286" t="s">
        <v>1005</v>
      </c>
      <c r="G39" s="1282"/>
      <c r="H39" s="1282"/>
      <c r="I39" s="1282"/>
      <c r="J39" s="1282"/>
      <c r="K39" s="1282"/>
      <c r="L39" s="1282">
        <v>0</v>
      </c>
      <c r="M39" s="1281">
        <v>75000</v>
      </c>
    </row>
    <row r="40" spans="1:13" s="876" customFormat="1" ht="16.5" customHeight="1">
      <c r="A40" s="1688" t="s">
        <v>1000</v>
      </c>
      <c r="B40" s="1688"/>
      <c r="C40" s="1688"/>
      <c r="D40" s="1688"/>
      <c r="E40" s="1688"/>
      <c r="F40" s="1296"/>
      <c r="G40" s="1296"/>
      <c r="H40" s="1296"/>
      <c r="I40" s="1296"/>
      <c r="J40" s="1296"/>
      <c r="K40" s="1296"/>
      <c r="L40" s="1296"/>
      <c r="M40" s="1296"/>
    </row>
    <row r="41" spans="1:13" s="876" customFormat="1" ht="16.5" customHeight="1">
      <c r="A41" s="1670" t="s">
        <v>1001</v>
      </c>
      <c r="B41" s="1670"/>
      <c r="C41" s="1670"/>
      <c r="D41" s="1670"/>
      <c r="E41" s="1670"/>
      <c r="F41" s="1297"/>
      <c r="G41" s="1297"/>
      <c r="H41" s="1297"/>
      <c r="I41" s="1297"/>
      <c r="J41" s="1297"/>
      <c r="K41" s="1297"/>
      <c r="L41" s="1297"/>
      <c r="M41" s="1297"/>
    </row>
    <row r="42" spans="1:13" s="876" customFormat="1" ht="16.5" customHeight="1">
      <c r="A42" s="1670" t="s">
        <v>1002</v>
      </c>
      <c r="B42" s="1670"/>
      <c r="C42" s="1670"/>
      <c r="D42" s="1670"/>
      <c r="E42" s="1670"/>
      <c r="F42" s="1297"/>
      <c r="G42" s="1297"/>
      <c r="H42" s="1297"/>
      <c r="I42" s="1297"/>
      <c r="J42" s="1297"/>
      <c r="K42" s="1297"/>
      <c r="L42" s="1297"/>
      <c r="M42" s="1297"/>
    </row>
    <row r="43" spans="1:13" s="876" customFormat="1" ht="12.75" customHeight="1">
      <c r="A43" s="1673" t="s">
        <v>1003</v>
      </c>
      <c r="B43" s="1673"/>
      <c r="C43" s="1673"/>
      <c r="D43" s="1673"/>
      <c r="E43" s="1673"/>
      <c r="F43" s="1298"/>
      <c r="G43" s="1299"/>
      <c r="H43" s="1299"/>
      <c r="I43" s="1299"/>
      <c r="J43" s="1299"/>
      <c r="K43" s="1299"/>
      <c r="L43" s="1299"/>
      <c r="M43" s="1299"/>
    </row>
    <row r="44" spans="1:13" s="876" customFormat="1" ht="15.75" customHeight="1">
      <c r="A44" s="1673" t="s">
        <v>1004</v>
      </c>
      <c r="B44" s="1673"/>
      <c r="C44" s="1673"/>
      <c r="D44" s="1673"/>
      <c r="E44" s="1673"/>
      <c r="F44" s="1298"/>
      <c r="G44" s="1299"/>
      <c r="H44" s="1299"/>
      <c r="I44" s="1299"/>
      <c r="J44" s="1299"/>
      <c r="K44" s="1299"/>
      <c r="L44" s="1299"/>
      <c r="M44" s="1299"/>
    </row>
    <row r="45" spans="1:13" ht="18.75" customHeight="1">
      <c r="A45" s="1674" t="s">
        <v>543</v>
      </c>
      <c r="B45" s="1674"/>
      <c r="C45" s="1675"/>
      <c r="D45" s="1675"/>
      <c r="E45" s="1675"/>
      <c r="F45" s="1675"/>
      <c r="G45" s="1675"/>
      <c r="H45" s="1675"/>
      <c r="I45" s="1675"/>
      <c r="J45" s="1675"/>
      <c r="K45" s="1675"/>
      <c r="L45" s="1675"/>
      <c r="M45" s="1675"/>
    </row>
    <row r="46" spans="1:13" ht="15.75" customHeight="1">
      <c r="A46" s="1676" t="s">
        <v>54</v>
      </c>
      <c r="B46" s="1678" t="s">
        <v>537</v>
      </c>
      <c r="C46" s="1679"/>
      <c r="D46" s="1679"/>
      <c r="E46" s="1679"/>
      <c r="F46" s="1680"/>
      <c r="G46" s="1669" t="s">
        <v>544</v>
      </c>
      <c r="H46" s="1669"/>
      <c r="I46" s="1669"/>
      <c r="J46" s="1669"/>
      <c r="K46" s="1329"/>
      <c r="L46" s="1326"/>
      <c r="M46" s="1326"/>
    </row>
    <row r="47" spans="1:13" ht="23.25" customHeight="1">
      <c r="A47" s="1677"/>
      <c r="B47" s="1681"/>
      <c r="C47" s="1682"/>
      <c r="D47" s="1682"/>
      <c r="E47" s="1682"/>
      <c r="F47" s="1683"/>
      <c r="G47" s="1277" t="s">
        <v>1047</v>
      </c>
      <c r="H47" s="1277" t="s">
        <v>545</v>
      </c>
      <c r="I47" s="1669" t="s">
        <v>546</v>
      </c>
      <c r="J47" s="1669"/>
      <c r="K47" s="1329"/>
      <c r="L47" s="1327"/>
      <c r="M47" s="1327"/>
    </row>
    <row r="48" spans="1:13" ht="18" customHeight="1">
      <c r="A48" s="1724">
        <v>1</v>
      </c>
      <c r="B48" s="1720" t="s">
        <v>941</v>
      </c>
      <c r="C48" s="1721"/>
      <c r="D48" s="1726" t="s">
        <v>1046</v>
      </c>
      <c r="E48" s="1693"/>
      <c r="F48" s="1356" t="s">
        <v>955</v>
      </c>
      <c r="G48" s="1358">
        <v>6540500</v>
      </c>
      <c r="H48" s="1358">
        <v>0</v>
      </c>
      <c r="I48" s="1728">
        <v>0</v>
      </c>
      <c r="J48" s="1729"/>
      <c r="K48" s="1329"/>
      <c r="L48" s="1327"/>
      <c r="M48" s="1327"/>
    </row>
    <row r="49" spans="1:13" ht="17.25" customHeight="1">
      <c r="A49" s="1725"/>
      <c r="B49" s="1722"/>
      <c r="C49" s="1723"/>
      <c r="D49" s="1727"/>
      <c r="E49" s="1694"/>
      <c r="F49" s="1357" t="s">
        <v>1005</v>
      </c>
      <c r="G49" s="1282">
        <v>5715000</v>
      </c>
      <c r="H49" s="1282">
        <v>3500000</v>
      </c>
      <c r="I49" s="1671">
        <v>0</v>
      </c>
      <c r="J49" s="1671"/>
      <c r="K49" s="1328"/>
      <c r="L49" s="1328"/>
      <c r="M49" s="1328"/>
    </row>
    <row r="50" spans="1:13" ht="14.25" customHeight="1">
      <c r="A50" s="1300"/>
      <c r="B50" s="1300"/>
      <c r="C50" s="1301"/>
      <c r="D50" s="1301"/>
      <c r="E50" s="1301"/>
      <c r="F50" s="1288"/>
      <c r="G50" s="1282"/>
      <c r="H50" s="1282"/>
      <c r="I50" s="1672"/>
      <c r="J50" s="1672"/>
      <c r="K50" s="1274"/>
      <c r="L50" s="1274"/>
      <c r="M50" s="1274"/>
    </row>
  </sheetData>
  <sheetProtection/>
  <mergeCells count="74">
    <mergeCell ref="A2:G2"/>
    <mergeCell ref="A3:A5"/>
    <mergeCell ref="B3:C5"/>
    <mergeCell ref="D3:D5"/>
    <mergeCell ref="I4:I5"/>
    <mergeCell ref="J4:J5"/>
    <mergeCell ref="K4:K5"/>
    <mergeCell ref="L4:L5"/>
    <mergeCell ref="H1:M1"/>
    <mergeCell ref="B48:C49"/>
    <mergeCell ref="A48:A49"/>
    <mergeCell ref="D48:D49"/>
    <mergeCell ref="E48:E49"/>
    <mergeCell ref="I48:J48"/>
    <mergeCell ref="B6:B8"/>
    <mergeCell ref="C6:C7"/>
    <mergeCell ref="D6:D7"/>
    <mergeCell ref="E6:E7"/>
    <mergeCell ref="A11:A12"/>
    <mergeCell ref="E3:E5"/>
    <mergeCell ref="F3:F5"/>
    <mergeCell ref="G3:L3"/>
    <mergeCell ref="M3:M5"/>
    <mergeCell ref="G4:H4"/>
    <mergeCell ref="A9:A10"/>
    <mergeCell ref="B9:C10"/>
    <mergeCell ref="D9:D10"/>
    <mergeCell ref="E9:E10"/>
    <mergeCell ref="A6:A8"/>
    <mergeCell ref="B11:C12"/>
    <mergeCell ref="D11:D12"/>
    <mergeCell ref="E11:E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A25"/>
    <mergeCell ref="B24:C25"/>
    <mergeCell ref="D24:D25"/>
    <mergeCell ref="E24:E25"/>
    <mergeCell ref="B26:C26"/>
    <mergeCell ref="B27:C27"/>
    <mergeCell ref="B28:C28"/>
    <mergeCell ref="B29:C29"/>
    <mergeCell ref="A30:A31"/>
    <mergeCell ref="B30:C31"/>
    <mergeCell ref="D30:D31"/>
    <mergeCell ref="E30:E31"/>
    <mergeCell ref="B32:C32"/>
    <mergeCell ref="B33:C33"/>
    <mergeCell ref="G46:J46"/>
    <mergeCell ref="B34:C34"/>
    <mergeCell ref="B35:C35"/>
    <mergeCell ref="B36:C36"/>
    <mergeCell ref="A37:F37"/>
    <mergeCell ref="B39:C39"/>
    <mergeCell ref="A40:E40"/>
    <mergeCell ref="I47:J47"/>
    <mergeCell ref="A41:E41"/>
    <mergeCell ref="A42:E42"/>
    <mergeCell ref="I49:J49"/>
    <mergeCell ref="I50:J50"/>
    <mergeCell ref="A43:E43"/>
    <mergeCell ref="A44:E44"/>
    <mergeCell ref="A45:M45"/>
    <mergeCell ref="A46:A47"/>
    <mergeCell ref="B46:F47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9" r:id="rId2"/>
  <rowBreaks count="1" manualBreakCount="1">
    <brk id="25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zoomScalePageLayoutView="0" workbookViewId="0" topLeftCell="A1">
      <selection activeCell="L8" sqref="L8"/>
    </sheetView>
  </sheetViews>
  <sheetFormatPr defaultColWidth="9.00390625" defaultRowHeight="12" customHeight="1"/>
  <cols>
    <col min="1" max="1" width="3.875" style="878" customWidth="1"/>
    <col min="2" max="2" width="57.875" style="897" customWidth="1"/>
    <col min="3" max="3" width="10.625" style="1330" customWidth="1"/>
    <col min="4" max="4" width="11.00390625" style="1331" customWidth="1"/>
    <col min="5" max="5" width="9.75390625" style="1331" customWidth="1"/>
    <col min="6" max="6" width="10.00390625" style="1331" customWidth="1"/>
    <col min="7" max="7" width="10.75390625" style="1331" customWidth="1"/>
    <col min="8" max="8" width="10.875" style="1332" customWidth="1"/>
    <col min="9" max="9" width="10.75390625" style="880" customWidth="1"/>
    <col min="10" max="10" width="9.125" style="880" customWidth="1"/>
    <col min="11" max="11" width="9.625" style="880" bestFit="1" customWidth="1"/>
    <col min="12" max="16384" width="9.125" style="880" customWidth="1"/>
  </cols>
  <sheetData>
    <row r="1" spans="3:8" ht="7.5" customHeight="1">
      <c r="C1" s="897"/>
      <c r="D1" s="880"/>
      <c r="E1" s="880"/>
      <c r="F1" s="880"/>
      <c r="G1" s="880"/>
      <c r="H1" s="879"/>
    </row>
    <row r="2" spans="3:8" ht="12" customHeight="1">
      <c r="C2" s="897"/>
      <c r="D2" s="880"/>
      <c r="E2" s="1953" t="s">
        <v>1101</v>
      </c>
      <c r="F2" s="1953"/>
      <c r="G2" s="1953"/>
      <c r="H2" s="1953"/>
    </row>
    <row r="3" spans="3:8" ht="12" customHeight="1">
      <c r="C3" s="897"/>
      <c r="D3" s="880"/>
      <c r="E3" s="880"/>
      <c r="F3" s="880"/>
      <c r="G3" s="880"/>
      <c r="H3" s="879"/>
    </row>
    <row r="4" spans="3:8" ht="18" customHeight="1">
      <c r="C4" s="897"/>
      <c r="D4" s="880"/>
      <c r="E4" s="880"/>
      <c r="F4" s="880"/>
      <c r="G4" s="880"/>
      <c r="H4" s="879"/>
    </row>
    <row r="5" spans="3:8" ht="18" customHeight="1" thickBot="1">
      <c r="C5" s="897"/>
      <c r="D5" s="880"/>
      <c r="E5" s="880"/>
      <c r="F5" s="880"/>
      <c r="G5" s="880"/>
      <c r="H5" s="1302" t="s">
        <v>508</v>
      </c>
    </row>
    <row r="6" spans="1:8" ht="18" customHeight="1">
      <c r="A6" s="1750" t="s">
        <v>547</v>
      </c>
      <c r="B6" s="1751"/>
      <c r="C6" s="1303"/>
      <c r="D6" s="1754" t="s">
        <v>548</v>
      </c>
      <c r="E6" s="1755"/>
      <c r="F6" s="1755"/>
      <c r="G6" s="1756"/>
      <c r="H6" s="1757" t="s">
        <v>2</v>
      </c>
    </row>
    <row r="7" spans="1:8" ht="48.75" customHeight="1">
      <c r="A7" s="1752"/>
      <c r="B7" s="1753"/>
      <c r="C7" s="1304" t="s">
        <v>1006</v>
      </c>
      <c r="D7" s="894" t="s">
        <v>1057</v>
      </c>
      <c r="E7" s="894" t="s">
        <v>1058</v>
      </c>
      <c r="F7" s="894" t="s">
        <v>1059</v>
      </c>
      <c r="G7" s="895" t="s">
        <v>1060</v>
      </c>
      <c r="H7" s="1758"/>
    </row>
    <row r="8" spans="1:11" ht="29.25" customHeight="1">
      <c r="A8" s="881" t="s">
        <v>3</v>
      </c>
      <c r="B8" s="1115" t="s">
        <v>696</v>
      </c>
      <c r="C8" s="883">
        <f>'5.kiad'!I198+'5.kiad'!I335+'5.kiad'!I535+'5.kiad'!G487</f>
        <v>160702254</v>
      </c>
      <c r="D8" s="884">
        <v>131283012</v>
      </c>
      <c r="E8" s="884">
        <v>133908672</v>
      </c>
      <c r="F8" s="1378">
        <v>68293423</v>
      </c>
      <c r="G8" s="1379">
        <v>0</v>
      </c>
      <c r="H8" s="1380">
        <f aca="true" t="shared" si="0" ref="H8:H15">SUM(C8:G8)</f>
        <v>494187361</v>
      </c>
      <c r="K8" s="1377"/>
    </row>
    <row r="9" spans="1:11" ht="18" customHeight="1">
      <c r="A9" s="881" t="s">
        <v>4</v>
      </c>
      <c r="B9" s="1115" t="s">
        <v>697</v>
      </c>
      <c r="C9" s="883">
        <f>'5.kiad'!Q435</f>
        <v>25337594</v>
      </c>
      <c r="D9" s="884">
        <v>25200000</v>
      </c>
      <c r="E9" s="884">
        <v>12600000</v>
      </c>
      <c r="F9" s="1378">
        <v>0</v>
      </c>
      <c r="G9" s="1379">
        <v>0</v>
      </c>
      <c r="H9" s="1380">
        <f t="shared" si="0"/>
        <v>63137594</v>
      </c>
      <c r="K9" s="1377"/>
    </row>
    <row r="10" spans="1:11" ht="13.5" customHeight="1">
      <c r="A10" s="881" t="s">
        <v>5</v>
      </c>
      <c r="B10" s="1115" t="s">
        <v>698</v>
      </c>
      <c r="C10" s="883">
        <f>'5.kiad'!Q39</f>
        <v>8365587</v>
      </c>
      <c r="D10" s="884">
        <v>25500000</v>
      </c>
      <c r="E10" s="884">
        <v>26010000</v>
      </c>
      <c r="F10" s="884">
        <v>26530000</v>
      </c>
      <c r="G10" s="884">
        <v>0</v>
      </c>
      <c r="H10" s="1380">
        <f t="shared" si="0"/>
        <v>86405587</v>
      </c>
      <c r="K10" s="1377"/>
    </row>
    <row r="11" spans="1:11" ht="13.5" customHeight="1">
      <c r="A11" s="881" t="s">
        <v>6</v>
      </c>
      <c r="B11" s="882" t="s">
        <v>699</v>
      </c>
      <c r="C11" s="883">
        <f>'5.kiad'!Q19</f>
        <v>124834418</v>
      </c>
      <c r="D11" s="884">
        <v>141705302</v>
      </c>
      <c r="E11" s="884">
        <v>144539408</v>
      </c>
      <c r="F11" s="884">
        <v>110572647</v>
      </c>
      <c r="G11" s="884">
        <v>0</v>
      </c>
      <c r="H11" s="1380">
        <f t="shared" si="0"/>
        <v>521651775</v>
      </c>
      <c r="K11" s="1377"/>
    </row>
    <row r="12" spans="1:11" ht="13.5" customHeight="1">
      <c r="A12" s="1116" t="s">
        <v>7</v>
      </c>
      <c r="B12" s="1117" t="s">
        <v>700</v>
      </c>
      <c r="C12" s="883">
        <f>'5.kiad'!Q391</f>
        <v>53535580</v>
      </c>
      <c r="D12" s="884">
        <v>53340000</v>
      </c>
      <c r="E12" s="884">
        <v>26670000</v>
      </c>
      <c r="F12" s="884">
        <v>0</v>
      </c>
      <c r="G12" s="884"/>
      <c r="H12" s="1380">
        <f t="shared" si="0"/>
        <v>133545580</v>
      </c>
      <c r="K12" s="1377"/>
    </row>
    <row r="13" spans="1:11" ht="13.5" customHeight="1">
      <c r="A13" s="1116" t="s">
        <v>8</v>
      </c>
      <c r="B13" s="1118" t="s">
        <v>701</v>
      </c>
      <c r="C13" s="883">
        <v>1219200</v>
      </c>
      <c r="D13" s="884"/>
      <c r="E13" s="884"/>
      <c r="F13" s="884"/>
      <c r="G13" s="884"/>
      <c r="H13" s="1380">
        <f t="shared" si="0"/>
        <v>1219200</v>
      </c>
      <c r="K13" s="1377"/>
    </row>
    <row r="14" spans="1:11" ht="13.5" customHeight="1">
      <c r="A14" s="1116" t="s">
        <v>9</v>
      </c>
      <c r="B14" s="1118" t="s">
        <v>919</v>
      </c>
      <c r="C14" s="883">
        <f>'6.mell'!F51</f>
        <v>13000000</v>
      </c>
      <c r="D14" s="884">
        <v>13000000</v>
      </c>
      <c r="E14" s="884">
        <v>13000000</v>
      </c>
      <c r="F14" s="884">
        <v>13000000</v>
      </c>
      <c r="G14" s="884">
        <v>13000000</v>
      </c>
      <c r="H14" s="1380">
        <f t="shared" si="0"/>
        <v>65000000</v>
      </c>
      <c r="K14" s="1377"/>
    </row>
    <row r="15" spans="1:11" ht="13.5" customHeight="1">
      <c r="A15" s="1116" t="s">
        <v>10</v>
      </c>
      <c r="B15" s="1117" t="s">
        <v>702</v>
      </c>
      <c r="C15" s="883">
        <v>900000</v>
      </c>
      <c r="D15" s="884">
        <v>900000</v>
      </c>
      <c r="E15" s="884">
        <v>900000</v>
      </c>
      <c r="F15" s="884">
        <v>450000</v>
      </c>
      <c r="G15" s="884"/>
      <c r="H15" s="1380">
        <f t="shared" si="0"/>
        <v>3150000</v>
      </c>
      <c r="K15" s="1377"/>
    </row>
    <row r="16" spans="1:11" s="885" customFormat="1" ht="15.75" customHeight="1" thickBot="1">
      <c r="A16" s="1759" t="s">
        <v>549</v>
      </c>
      <c r="B16" s="1760"/>
      <c r="C16" s="1382">
        <f aca="true" t="shared" si="1" ref="C16:H16">SUM(C8:C15)</f>
        <v>387894633</v>
      </c>
      <c r="D16" s="1382">
        <f t="shared" si="1"/>
        <v>390928314</v>
      </c>
      <c r="E16" s="1382">
        <f t="shared" si="1"/>
        <v>357628080</v>
      </c>
      <c r="F16" s="1382">
        <f t="shared" si="1"/>
        <v>218846070</v>
      </c>
      <c r="G16" s="1382">
        <f t="shared" si="1"/>
        <v>13000000</v>
      </c>
      <c r="H16" s="1396">
        <f t="shared" si="1"/>
        <v>1368297097</v>
      </c>
      <c r="K16" s="1377"/>
    </row>
    <row r="17" spans="1:8" s="885" customFormat="1" ht="16.5" customHeight="1">
      <c r="A17" s="1119" t="s">
        <v>550</v>
      </c>
      <c r="B17" s="897"/>
      <c r="C17" s="1330"/>
      <c r="D17" s="1331"/>
      <c r="E17" s="1331"/>
      <c r="F17" s="1331"/>
      <c r="G17" s="1331"/>
      <c r="H17" s="1332"/>
    </row>
    <row r="18" spans="1:8" s="885" customFormat="1" ht="24.75" customHeight="1">
      <c r="A18" s="1120" t="s">
        <v>3</v>
      </c>
      <c r="B18" s="1768" t="s">
        <v>1007</v>
      </c>
      <c r="C18" s="1768"/>
      <c r="D18" s="1768"/>
      <c r="E18" s="1768"/>
      <c r="F18" s="1768"/>
      <c r="G18" s="1768"/>
      <c r="H18" s="1768"/>
    </row>
    <row r="19" spans="1:8" s="885" customFormat="1" ht="13.5" customHeight="1">
      <c r="A19" s="1120" t="s">
        <v>4</v>
      </c>
      <c r="B19" s="1749" t="s">
        <v>703</v>
      </c>
      <c r="C19" s="1749"/>
      <c r="D19" s="1749"/>
      <c r="E19" s="1749"/>
      <c r="F19" s="1749"/>
      <c r="G19" s="1749"/>
      <c r="H19" s="1749"/>
    </row>
    <row r="20" spans="1:8" s="885" customFormat="1" ht="12.75" customHeight="1">
      <c r="A20" s="1120" t="s">
        <v>5</v>
      </c>
      <c r="B20" s="1749" t="s">
        <v>704</v>
      </c>
      <c r="C20" s="1749"/>
      <c r="D20" s="1749"/>
      <c r="E20" s="1749"/>
      <c r="F20" s="1749"/>
      <c r="G20" s="1749"/>
      <c r="H20" s="1749"/>
    </row>
    <row r="21" spans="1:8" s="885" customFormat="1" ht="11.25" customHeight="1">
      <c r="A21" s="1120" t="s">
        <v>6</v>
      </c>
      <c r="B21" s="897" t="s">
        <v>705</v>
      </c>
      <c r="C21" s="897"/>
      <c r="D21" s="880"/>
      <c r="E21" s="880"/>
      <c r="F21" s="880"/>
      <c r="G21" s="880"/>
      <c r="H21" s="879"/>
    </row>
    <row r="22" spans="1:8" s="885" customFormat="1" ht="11.25" customHeight="1">
      <c r="A22" s="1120" t="s">
        <v>7</v>
      </c>
      <c r="B22" s="897" t="s">
        <v>706</v>
      </c>
      <c r="C22" s="897"/>
      <c r="D22" s="880"/>
      <c r="E22" s="880"/>
      <c r="F22" s="880"/>
      <c r="G22" s="880"/>
      <c r="H22" s="879"/>
    </row>
    <row r="23" spans="1:8" s="885" customFormat="1" ht="11.25" customHeight="1">
      <c r="A23" s="1120" t="s">
        <v>8</v>
      </c>
      <c r="B23" s="897" t="s">
        <v>707</v>
      </c>
      <c r="C23" s="897"/>
      <c r="D23" s="880"/>
      <c r="E23" s="880"/>
      <c r="F23" s="880"/>
      <c r="G23" s="880"/>
      <c r="H23" s="879"/>
    </row>
    <row r="24" spans="1:8" s="885" customFormat="1" ht="11.25" customHeight="1">
      <c r="A24" s="1120" t="s">
        <v>9</v>
      </c>
      <c r="B24" s="897" t="s">
        <v>1061</v>
      </c>
      <c r="C24" s="897"/>
      <c r="D24" s="880"/>
      <c r="E24" s="880"/>
      <c r="F24" s="880"/>
      <c r="G24" s="880"/>
      <c r="H24" s="879"/>
    </row>
    <row r="25" spans="1:8" s="885" customFormat="1" ht="11.25" customHeight="1">
      <c r="A25" s="1120" t="s">
        <v>10</v>
      </c>
      <c r="B25" s="897" t="s">
        <v>708</v>
      </c>
      <c r="C25" s="897"/>
      <c r="D25" s="880"/>
      <c r="E25" s="880"/>
      <c r="F25" s="880"/>
      <c r="G25" s="880"/>
      <c r="H25" s="879"/>
    </row>
    <row r="26" spans="1:8" s="885" customFormat="1" ht="11.25" customHeight="1">
      <c r="A26" s="1120"/>
      <c r="B26" s="897"/>
      <c r="C26" s="897"/>
      <c r="D26" s="880"/>
      <c r="E26" s="880"/>
      <c r="F26" s="880"/>
      <c r="G26" s="880"/>
      <c r="H26" s="879"/>
    </row>
    <row r="27" spans="1:8" s="885" customFormat="1" ht="4.5" customHeight="1" thickBot="1">
      <c r="A27" s="887"/>
      <c r="B27" s="888"/>
      <c r="C27" s="888"/>
      <c r="D27" s="889"/>
      <c r="E27" s="889"/>
      <c r="F27" s="889"/>
      <c r="G27" s="889"/>
      <c r="H27" s="889"/>
    </row>
    <row r="28" spans="1:8" ht="16.5" customHeight="1">
      <c r="A28" s="1750" t="s">
        <v>551</v>
      </c>
      <c r="B28" s="1751"/>
      <c r="C28" s="1303"/>
      <c r="D28" s="1754" t="s">
        <v>688</v>
      </c>
      <c r="E28" s="1755"/>
      <c r="F28" s="1755"/>
      <c r="G28" s="1756"/>
      <c r="H28" s="1757" t="s">
        <v>2</v>
      </c>
    </row>
    <row r="29" spans="1:8" ht="45" customHeight="1">
      <c r="A29" s="1752"/>
      <c r="B29" s="1753"/>
      <c r="C29" s="1304" t="s">
        <v>1006</v>
      </c>
      <c r="D29" s="894" t="s">
        <v>1057</v>
      </c>
      <c r="E29" s="894" t="s">
        <v>1058</v>
      </c>
      <c r="F29" s="894" t="s">
        <v>1059</v>
      </c>
      <c r="G29" s="895" t="s">
        <v>1060</v>
      </c>
      <c r="H29" s="1758"/>
    </row>
    <row r="30" spans="1:8" ht="32.25" customHeight="1">
      <c r="A30" s="881" t="s">
        <v>3</v>
      </c>
      <c r="B30" s="890" t="s">
        <v>552</v>
      </c>
      <c r="C30" s="884">
        <f>'3.bev '!H388</f>
        <v>1161562</v>
      </c>
      <c r="D30" s="884">
        <v>1800000</v>
      </c>
      <c r="E30" s="1381">
        <v>1000000</v>
      </c>
      <c r="F30" s="1379">
        <v>1000000</v>
      </c>
      <c r="G30" s="1379">
        <f>1000000+10423484</f>
        <v>11423484</v>
      </c>
      <c r="H30" s="1380">
        <f>SUM(C30:G30)</f>
        <v>16385046</v>
      </c>
    </row>
    <row r="31" spans="1:8" ht="15.75" customHeight="1">
      <c r="A31" s="1116" t="s">
        <v>4</v>
      </c>
      <c r="B31" s="896" t="s">
        <v>697</v>
      </c>
      <c r="C31" s="884">
        <f>'3.bev '!F130+'3.bev '!G162</f>
        <v>25200000</v>
      </c>
      <c r="D31" s="884">
        <v>25200000</v>
      </c>
      <c r="E31" s="1378">
        <v>12600000</v>
      </c>
      <c r="F31" s="884"/>
      <c r="G31" s="884"/>
      <c r="H31" s="1380">
        <f>SUM(C31:G31)</f>
        <v>63000000</v>
      </c>
    </row>
    <row r="32" spans="1:8" ht="18" customHeight="1">
      <c r="A32" s="1116" t="s">
        <v>5</v>
      </c>
      <c r="B32" s="896" t="s">
        <v>698</v>
      </c>
      <c r="C32" s="884">
        <f>'4.int.bev '!D33</f>
        <v>893505</v>
      </c>
      <c r="D32" s="884">
        <v>6000000</v>
      </c>
      <c r="E32" s="1378">
        <v>6000000</v>
      </c>
      <c r="F32" s="884">
        <v>6000000</v>
      </c>
      <c r="G32" s="884"/>
      <c r="H32" s="1380">
        <f>SUM(C32:G32)</f>
        <v>18893505</v>
      </c>
    </row>
    <row r="33" spans="1:8" ht="18.75" customHeight="1">
      <c r="A33" s="1116" t="s">
        <v>6</v>
      </c>
      <c r="B33" s="1121" t="s">
        <v>709</v>
      </c>
      <c r="C33" s="884">
        <f>'4.int.bev '!D16+'4.int.bev '!H16+'4.int.bev '!I16</f>
        <v>58459040</v>
      </c>
      <c r="D33" s="884">
        <v>57500000</v>
      </c>
      <c r="E33" s="884">
        <f>D33</f>
        <v>57500000</v>
      </c>
      <c r="F33" s="884">
        <v>43125000</v>
      </c>
      <c r="G33" s="884">
        <v>0</v>
      </c>
      <c r="H33" s="1380">
        <f>SUM(C33:G33)</f>
        <v>216584040</v>
      </c>
    </row>
    <row r="34" spans="1:8" s="885" customFormat="1" ht="17.25" customHeight="1" thickBot="1">
      <c r="A34" s="1759" t="s">
        <v>549</v>
      </c>
      <c r="B34" s="1760"/>
      <c r="C34" s="1383">
        <f aca="true" t="shared" si="2" ref="C34:H34">SUM(C30:C33)</f>
        <v>85714107</v>
      </c>
      <c r="D34" s="1383">
        <f t="shared" si="2"/>
        <v>90500000</v>
      </c>
      <c r="E34" s="1383">
        <f t="shared" si="2"/>
        <v>77100000</v>
      </c>
      <c r="F34" s="1383">
        <f t="shared" si="2"/>
        <v>50125000</v>
      </c>
      <c r="G34" s="1383">
        <f t="shared" si="2"/>
        <v>11423484</v>
      </c>
      <c r="H34" s="1384">
        <f t="shared" si="2"/>
        <v>314862591</v>
      </c>
    </row>
    <row r="35" spans="1:8" s="885" customFormat="1" ht="17.25" customHeight="1">
      <c r="A35" s="886" t="s">
        <v>550</v>
      </c>
      <c r="B35" s="1122"/>
      <c r="C35" s="1123"/>
      <c r="D35" s="889"/>
      <c r="E35" s="889"/>
      <c r="F35" s="889"/>
      <c r="G35" s="889"/>
      <c r="H35" s="889"/>
    </row>
    <row r="36" spans="1:8" s="885" customFormat="1" ht="17.25" customHeight="1">
      <c r="A36" s="1124" t="s">
        <v>4</v>
      </c>
      <c r="B36" s="1125" t="s">
        <v>705</v>
      </c>
      <c r="C36" s="1126"/>
      <c r="D36" s="1127"/>
      <c r="E36" s="1127"/>
      <c r="F36" s="1127"/>
      <c r="G36" s="1127"/>
      <c r="H36" s="1127"/>
    </row>
    <row r="37" spans="3:8" ht="15.75" customHeight="1" thickBot="1">
      <c r="C37" s="897"/>
      <c r="D37" s="880"/>
      <c r="E37" s="880"/>
      <c r="F37" s="880"/>
      <c r="G37" s="880"/>
      <c r="H37" s="891"/>
    </row>
    <row r="38" spans="1:10" s="893" customFormat="1" ht="17.25" customHeight="1">
      <c r="A38" s="1761" t="s">
        <v>553</v>
      </c>
      <c r="B38" s="1762"/>
      <c r="C38" s="1303"/>
      <c r="D38" s="1765" t="s">
        <v>548</v>
      </c>
      <c r="E38" s="1765"/>
      <c r="F38" s="1765"/>
      <c r="G38" s="1765"/>
      <c r="H38" s="1766" t="s">
        <v>2</v>
      </c>
      <c r="I38" s="892"/>
      <c r="J38" s="892"/>
    </row>
    <row r="39" spans="1:8" s="893" customFormat="1" ht="50.25" customHeight="1">
      <c r="A39" s="1763"/>
      <c r="B39" s="1764"/>
      <c r="C39" s="1305" t="s">
        <v>1006</v>
      </c>
      <c r="D39" s="894" t="s">
        <v>1057</v>
      </c>
      <c r="E39" s="894" t="s">
        <v>1058</v>
      </c>
      <c r="F39" s="894" t="s">
        <v>1059</v>
      </c>
      <c r="G39" s="895" t="s">
        <v>1060</v>
      </c>
      <c r="H39" s="1767"/>
    </row>
    <row r="40" spans="1:8" s="897" customFormat="1" ht="27" customHeight="1">
      <c r="A40" s="1742" t="s">
        <v>1008</v>
      </c>
      <c r="B40" s="896" t="s">
        <v>1009</v>
      </c>
      <c r="C40" s="1394">
        <f>'6.mell'!F84</f>
        <v>11147617</v>
      </c>
      <c r="D40" s="1745">
        <v>52594000</v>
      </c>
      <c r="E40" s="1389">
        <v>86148000</v>
      </c>
      <c r="F40" s="1389">
        <v>120693000</v>
      </c>
      <c r="G40" s="1745">
        <f>120693000+26712000+600976000</f>
        <v>748381000</v>
      </c>
      <c r="H40" s="1387">
        <f>SUM(C40:G40)</f>
        <v>1018963617</v>
      </c>
    </row>
    <row r="41" spans="1:11" s="897" customFormat="1" ht="18.75" customHeight="1">
      <c r="A41" s="1743"/>
      <c r="B41" s="896" t="s">
        <v>1010</v>
      </c>
      <c r="C41" s="1395">
        <v>3708399</v>
      </c>
      <c r="D41" s="1746"/>
      <c r="E41" s="1389">
        <v>30283000</v>
      </c>
      <c r="F41" s="1389">
        <v>31458000</v>
      </c>
      <c r="G41" s="1746"/>
      <c r="H41" s="1387">
        <f>D41+E41+F41</f>
        <v>61741000</v>
      </c>
      <c r="K41" s="1306"/>
    </row>
    <row r="42" spans="1:8" s="897" customFormat="1" ht="26.25" customHeight="1">
      <c r="A42" s="1743"/>
      <c r="B42" s="896" t="s">
        <v>1011</v>
      </c>
      <c r="C42" s="1745">
        <v>0</v>
      </c>
      <c r="D42" s="1745">
        <v>5730000</v>
      </c>
      <c r="E42" s="1389">
        <v>66200000</v>
      </c>
      <c r="F42" s="1389">
        <v>81351000</v>
      </c>
      <c r="G42" s="1745">
        <f>96503000+64239000+596489000</f>
        <v>757231000</v>
      </c>
      <c r="H42" s="1387">
        <f>D42+E42+F42+C42</f>
        <v>153281000</v>
      </c>
    </row>
    <row r="43" spans="1:8" s="897" customFormat="1" ht="12.75" customHeight="1">
      <c r="A43" s="1744"/>
      <c r="B43" s="896" t="s">
        <v>710</v>
      </c>
      <c r="C43" s="1746"/>
      <c r="D43" s="1746"/>
      <c r="E43" s="1389">
        <v>36850000</v>
      </c>
      <c r="F43" s="1389">
        <v>38799000</v>
      </c>
      <c r="G43" s="1746"/>
      <c r="H43" s="1387">
        <f>D43+E43+F43</f>
        <v>75649000</v>
      </c>
    </row>
    <row r="44" spans="1:8" s="898" customFormat="1" ht="15" customHeight="1">
      <c r="A44" s="1747" t="s">
        <v>549</v>
      </c>
      <c r="B44" s="1748"/>
      <c r="C44" s="1385">
        <f>SUM(C40:C43)</f>
        <v>14856016</v>
      </c>
      <c r="D44" s="1385">
        <f>SUM(D40:D43)</f>
        <v>58324000</v>
      </c>
      <c r="E44" s="1385">
        <f>SUM(E40:E43)</f>
        <v>219481000</v>
      </c>
      <c r="F44" s="1385">
        <f>SUM(F40:F43)</f>
        <v>272301000</v>
      </c>
      <c r="G44" s="1385">
        <f>SUM(G40:G43)</f>
        <v>1505612000</v>
      </c>
      <c r="H44" s="1387">
        <f>SUM(C44:G44)</f>
        <v>2070574016</v>
      </c>
    </row>
    <row r="45" spans="1:8" s="897" customFormat="1" ht="15.75" customHeight="1" thickBot="1">
      <c r="A45" s="899" t="s">
        <v>3</v>
      </c>
      <c r="B45" s="900" t="s">
        <v>554</v>
      </c>
      <c r="C45" s="1386">
        <f>'3.bev '!F238+'3.bev '!F260+'3.bev '!F263+'3.bev '!F286</f>
        <v>979802376</v>
      </c>
      <c r="D45" s="1386">
        <v>767807955</v>
      </c>
      <c r="E45" s="1386">
        <v>639070000</v>
      </c>
      <c r="F45" s="1386">
        <v>656397000</v>
      </c>
      <c r="G45" s="1386">
        <f>674040000+4718280000</f>
        <v>5392320000</v>
      </c>
      <c r="H45" s="1388">
        <f>SUM(C45:G45)</f>
        <v>8435397331</v>
      </c>
    </row>
  </sheetData>
  <sheetProtection/>
  <mergeCells count="22">
    <mergeCell ref="E2:H2"/>
    <mergeCell ref="A6:B7"/>
    <mergeCell ref="D6:G6"/>
    <mergeCell ref="H6:H7"/>
    <mergeCell ref="A16:B16"/>
    <mergeCell ref="B18:H18"/>
    <mergeCell ref="B19:H19"/>
    <mergeCell ref="B20:H20"/>
    <mergeCell ref="A28:B29"/>
    <mergeCell ref="D28:G28"/>
    <mergeCell ref="H28:H29"/>
    <mergeCell ref="A34:B34"/>
    <mergeCell ref="A38:B39"/>
    <mergeCell ref="D38:G38"/>
    <mergeCell ref="H38:H39"/>
    <mergeCell ref="A40:A43"/>
    <mergeCell ref="G40:G41"/>
    <mergeCell ref="C42:C43"/>
    <mergeCell ref="G42:G43"/>
    <mergeCell ref="A44:B44"/>
    <mergeCell ref="D40:D41"/>
    <mergeCell ref="D42:D4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Éva</cp:lastModifiedBy>
  <cp:lastPrinted>2018-05-18T11:35:55Z</cp:lastPrinted>
  <dcterms:created xsi:type="dcterms:W3CDTF">2006-02-08T00:02:41Z</dcterms:created>
  <dcterms:modified xsi:type="dcterms:W3CDTF">2018-05-18T11:44:35Z</dcterms:modified>
  <cp:category/>
  <cp:version/>
  <cp:contentType/>
  <cp:contentStatus/>
</cp:coreProperties>
</file>