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32" activeTab="5"/>
  </bookViews>
  <sheets>
    <sheet name="1.mell" sheetId="1" r:id="rId1"/>
    <sheet name="2.mell" sheetId="2" r:id="rId2"/>
    <sheet name="3.mell" sheetId="3" r:id="rId3"/>
    <sheet name="4.mell " sheetId="4" r:id="rId4"/>
    <sheet name="5.mell" sheetId="5" r:id="rId5"/>
    <sheet name="6.mell" sheetId="6" r:id="rId6"/>
    <sheet name="7.mell" sheetId="7" r:id="rId7"/>
  </sheets>
  <definedNames>
    <definedName name="_xlnm.Print_Titles" localSheetId="2">'3.mell'!$4:$5</definedName>
    <definedName name="_xlnm.Print_Titles" localSheetId="4">'5.mell'!$5:$7</definedName>
    <definedName name="_xlnm.Print_Titles" localSheetId="5">'6.mell'!$7:$7</definedName>
    <definedName name="_xlnm.Print_Area" localSheetId="0">'1.mell'!$A$1:$O$31</definedName>
    <definedName name="_xlnm.Print_Area" localSheetId="1">'2.mell'!$A$1:$E$50</definedName>
    <definedName name="_xlnm.Print_Area" localSheetId="2">'3.mell'!$A$1:$H$164</definedName>
    <definedName name="_xlnm.Print_Area" localSheetId="3">'4.mell '!$A$1:$L$20</definedName>
    <definedName name="_xlnm.Print_Area" localSheetId="4">'5.mell'!$A$1:$R$152</definedName>
    <definedName name="_xlnm.Print_Area" localSheetId="5">'6.mell'!$A$1:$D$77</definedName>
    <definedName name="_xlnm.Print_Area" localSheetId="6">'7.mell'!$A$1:$E$19</definedName>
  </definedNames>
  <calcPr fullCalcOnLoad="1"/>
</workbook>
</file>

<file path=xl/sharedStrings.xml><?xml version="1.0" encoding="utf-8"?>
<sst xmlns="http://schemas.openxmlformats.org/spreadsheetml/2006/main" count="987" uniqueCount="495">
  <si>
    <t>Intézményi villamosenergia</t>
  </si>
  <si>
    <t xml:space="preserve">Közfoglalkoztatás </t>
  </si>
  <si>
    <t>Útépítés</t>
  </si>
  <si>
    <t>Ezer Ft - ban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</si>
  <si>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</si>
  <si>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</si>
  <si>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</si>
  <si>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</si>
  <si>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</si>
  <si>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</si>
  <si>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</si>
  <si>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</si>
  <si>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</si>
  <si>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</si>
  <si>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</si>
  <si>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</si>
  <si>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</si>
  <si>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</si>
  <si>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</si>
  <si>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</si>
  <si>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</si>
  <si>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</si>
  <si>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</si>
  <si>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</si>
  <si>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</si>
  <si>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</si>
  <si>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</si>
  <si>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</si>
  <si>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</si>
  <si>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KIADÁSI ELŐIRÁNYZAT FELHASZNÁLÁS ALAKULÁSA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</si>
  <si>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</si>
  <si>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</si>
  <si>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</si>
  <si>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</si>
  <si>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</si>
  <si>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</si>
  <si>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</si>
  <si>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</si>
  <si>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</si>
  <si>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</si>
  <si>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</si>
  <si>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</si>
  <si>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</si>
  <si>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</si>
  <si>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</si>
  <si>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</si>
  <si>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Talajterhelési díj</t>
  </si>
  <si>
    <t>Mezőőri feladatok ellátására támogatás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</si>
  <si>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</si>
  <si>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</si>
  <si>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</si>
  <si>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</si>
  <si>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</si>
  <si>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</si>
  <si>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</si>
  <si>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</si>
  <si>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</si>
  <si>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Egyéb felhalmozási célú kiadások</t>
  </si>
  <si>
    <t>Cím</t>
  </si>
  <si>
    <t>Cím ,</t>
  </si>
  <si>
    <t>Személyi</t>
  </si>
  <si>
    <t>Dologi</t>
  </si>
  <si>
    <t>Beruházá-</t>
  </si>
  <si>
    <t>Létszám-</t>
  </si>
  <si>
    <t>Alcím</t>
  </si>
  <si>
    <t xml:space="preserve">             alcím megnevezése</t>
  </si>
  <si>
    <t>kiadások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</si>
  <si>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</si>
  <si>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</si>
  <si>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</si>
  <si>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</si>
  <si>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</si>
  <si>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</si>
  <si>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</si>
  <si>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Ö S S Z E S E N</t>
  </si>
  <si>
    <t xml:space="preserve"> </t>
  </si>
  <si>
    <t xml:space="preserve">Ellátottak pénzbeli juttatása </t>
  </si>
  <si>
    <t>Sikeres Magyarországért Panel Plusz Hitelprogram</t>
  </si>
  <si>
    <t>Lakbértámogatás</t>
  </si>
  <si>
    <t>Köztemetés</t>
  </si>
  <si>
    <t>Petőfi Sándor Városi Könyvtár</t>
  </si>
  <si>
    <t xml:space="preserve">Petőfi Szülőház és Emlékmúzeum </t>
  </si>
  <si>
    <t>Dolgozóknak nyújtott lakásvásárlási-, lakásépítési kölcsön</t>
  </si>
  <si>
    <t>Környezetvédelmi bírság</t>
  </si>
  <si>
    <t xml:space="preserve">Felújítások </t>
  </si>
  <si>
    <t>Finanszírozási kiadások</t>
  </si>
  <si>
    <t xml:space="preserve">      Áruértékesítéshez, szolgáltatásnyújtáshoz kapcsolódó ÁFA befizetések</t>
  </si>
  <si>
    <t>Önkormányzat igazgatási tevékenysége</t>
  </si>
  <si>
    <t>Igazgatási tevékenység</t>
  </si>
  <si>
    <t>Adóigazgatási tevékenység</t>
  </si>
  <si>
    <t xml:space="preserve">     Állategészségügyi tevékenység</t>
  </si>
  <si>
    <t>Víztermelés, -kezelés, - ellátás</t>
  </si>
  <si>
    <t>Lakó- és nem lakóépület építése, felújítása</t>
  </si>
  <si>
    <t>Közutak üzemeltetése, fenntartársa</t>
  </si>
  <si>
    <t xml:space="preserve">     Önkormányzati vagyon hasznosításával kapcsolatos kiadások</t>
  </si>
  <si>
    <t>Zöldterület-kezelés, parkfenntartás, parképítés</t>
  </si>
  <si>
    <t>Testületi feladatok</t>
  </si>
  <si>
    <t xml:space="preserve">     Költségvetési tartalékok</t>
  </si>
  <si>
    <t xml:space="preserve">     Mezőőri feladatok</t>
  </si>
  <si>
    <t>Központi költségvetési befizetések</t>
  </si>
  <si>
    <t>Önkormányzatok nemzetközi kapcsolatai</t>
  </si>
  <si>
    <t>Közterület rendjének fenntartása</t>
  </si>
  <si>
    <t>Bűnmegelőzés</t>
  </si>
  <si>
    <t>Önkéntes Tűzoltó Egyesület támogatása</t>
  </si>
  <si>
    <t>Ár- és belvízvédelemmel összefüggő tevékenységek</t>
  </si>
  <si>
    <t>Egyéb szociális ellátások bentlakás nélkül</t>
  </si>
  <si>
    <t>Kulturális műsorok, rendezvények, kiállítások szervezése</t>
  </si>
  <si>
    <t xml:space="preserve">      Szüreti Napok</t>
  </si>
  <si>
    <t>Közművelődési tevékenységek és támogatásuk</t>
  </si>
  <si>
    <t>Szabadidős park, fürdő- és strandszolgáltatás</t>
  </si>
  <si>
    <t>Köztemető fenntartása és működtetése</t>
  </si>
  <si>
    <t>Közfoglalkoztatás</t>
  </si>
  <si>
    <t>Egyéb működési célú kiadások</t>
  </si>
  <si>
    <t>juttatások</t>
  </si>
  <si>
    <t>Ellátottak pénzbeli juttatásai</t>
  </si>
  <si>
    <t>Egyéb veszélyes hulladékok kezelése</t>
  </si>
  <si>
    <t>Szennyvíz-kezelés</t>
  </si>
  <si>
    <t>Képviselő-testületi ülések, városi rendezvények közvetítése</t>
  </si>
  <si>
    <t>Mezőgazdaság igazgatási és szabályozási feladatai</t>
  </si>
  <si>
    <t>Köz- és díszvilágítás</t>
  </si>
  <si>
    <t xml:space="preserve">     Térfigyelő kamera üzemeltetése</t>
  </si>
  <si>
    <t>Oktatási feladatok</t>
  </si>
  <si>
    <t>BURSA - támogatás önerő</t>
  </si>
  <si>
    <t>Állami lakástámogatások jogszabály alapján - Sikeres Magyarországért Panel Plusz</t>
  </si>
  <si>
    <t>-ebből OEP</t>
  </si>
  <si>
    <t>Egyéb köztisztasági tevékenységek</t>
  </si>
  <si>
    <t>Díszvilágítás</t>
  </si>
  <si>
    <t>Környezetvédelmi Alap felhasználása</t>
  </si>
  <si>
    <t>Közhatalmi bevételek</t>
  </si>
  <si>
    <t>23.</t>
  </si>
  <si>
    <t>34.</t>
  </si>
  <si>
    <t>Anyakönyvi eljárás díja</t>
  </si>
  <si>
    <t>20.</t>
  </si>
  <si>
    <t>22.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</si>
  <si>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</si>
  <si>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</si>
  <si>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</si>
  <si>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</si>
  <si>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</si>
  <si>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</si>
  <si>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</si>
  <si>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</si>
  <si>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</si>
  <si>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Önkormányzati intézmények bevételei</t>
  </si>
  <si>
    <t>ebből: OEP támogatás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</si>
  <si>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</si>
  <si>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</si>
  <si>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</si>
  <si>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</si>
  <si>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</si>
  <si>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</si>
  <si>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</si>
  <si>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</si>
  <si>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</si>
  <si>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</si>
  <si>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</si>
  <si>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</si>
  <si>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</si>
  <si>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Ebből: kötelező feladatellátáshoz kapcsolódó</t>
  </si>
  <si>
    <t>önként vállalt feladatok ellátásához kapcsolódó</t>
  </si>
  <si>
    <t>Kiemelt önkormányzati, városi rendezvények, fizetendő jogdíjak</t>
  </si>
  <si>
    <t>Társulási hozzájárulás</t>
  </si>
  <si>
    <t>27.</t>
  </si>
  <si>
    <t>Önkormányzat bevételei</t>
  </si>
  <si>
    <t>AZ ÖNKORMÁNYZAT ÉS A POLGÁRMESTERI HIVATAL BEVÉTELEI</t>
  </si>
  <si>
    <t>AZ ÖNKORMÁNYZAT ÁLTAL IRÁNYÍTOTT KÖLTSÉGVETÉSI SZERVEK  BEVÉTELEI</t>
  </si>
  <si>
    <t>Utak fenntartása, építése</t>
  </si>
  <si>
    <t xml:space="preserve">        önként vállalt feladatok</t>
  </si>
  <si>
    <t>Polgármesteri Hivatal</t>
  </si>
  <si>
    <t>Polgármesteri Hivatal tevékenysége</t>
  </si>
  <si>
    <t>Petőfi Sándor Társaság támogatása</t>
  </si>
  <si>
    <t>Kiskőrös Városért Alapítvány támogatása</t>
  </si>
  <si>
    <t>Kiskőrösi Óvodák</t>
  </si>
  <si>
    <t>állami (államigazgatási) feladat</t>
  </si>
  <si>
    <t>önként vállalt feladatokhoz</t>
  </si>
  <si>
    <t>ebből: kötelező feladatellátáshoz</t>
  </si>
  <si>
    <t>Ebből: kötelező feladatellátáshoz</t>
  </si>
  <si>
    <t>- általános működési támogatás</t>
  </si>
  <si>
    <t>á</t>
  </si>
  <si>
    <t>Jogalkotás</t>
  </si>
  <si>
    <t>Társulás  - Háziorvosi ügyelet támogatása</t>
  </si>
  <si>
    <t>Települési marketing és média</t>
  </si>
  <si>
    <t>Kiskőrösi Advent</t>
  </si>
  <si>
    <t>Sportcélok támogatása</t>
  </si>
  <si>
    <t>Férfi kézilabda támogatása</t>
  </si>
  <si>
    <t>Kiskőrösi Labdarúgó Klub támogatása</t>
  </si>
  <si>
    <t>Küzdősportok támogatása</t>
  </si>
  <si>
    <t>Kiskőrös Város Hegyközsége támogatása</t>
  </si>
  <si>
    <t>Borversenyek, Agrárexpo támogatása</t>
  </si>
  <si>
    <t>Jégelhárító rendszer működtetése</t>
  </si>
  <si>
    <t>Állami (államigazgatási) feladatellátáshoz</t>
  </si>
  <si>
    <t>Önként vállalt feladatellátáshoz</t>
  </si>
  <si>
    <t xml:space="preserve">Polgármesteri Hivatal bevételei </t>
  </si>
  <si>
    <t>Ebből:kötelező feladatellátáshoz</t>
  </si>
  <si>
    <t>ezer Ft</t>
  </si>
  <si>
    <t>Az Önkormányzat által irányított költségvetési szervek bevételei összesen A</t>
  </si>
  <si>
    <t xml:space="preserve">Finanszírozási bevételek </t>
  </si>
  <si>
    <t>Finanszírozási bevételek</t>
  </si>
  <si>
    <t>BEVÉTELEK MINDÖSSZESEN (I.+II.+III.)</t>
  </si>
  <si>
    <t>Polgármesteri Hivatal pénzbeli és természetbeni ellátásai</t>
  </si>
  <si>
    <t xml:space="preserve">     Vagyon hasznosításával kapcsolatos kiadások</t>
  </si>
  <si>
    <t>Kisoroszi tábor fenntartása, működtetése</t>
  </si>
  <si>
    <t>35.</t>
  </si>
  <si>
    <t>Kiskőrösi Női KSZSE támogatása</t>
  </si>
  <si>
    <t>Bem DSE  támogatása</t>
  </si>
  <si>
    <t>Egészségügyi, Gyermekjóléti és Szociális Intézmény</t>
  </si>
  <si>
    <t>Társulási feladatok ellátása</t>
  </si>
  <si>
    <t>Rendszeres gyermekvédelmi kedvezmény</t>
  </si>
  <si>
    <t>Közétkeztetéshez beszerzések</t>
  </si>
  <si>
    <t>Településrendezési terv</t>
  </si>
  <si>
    <t>rovat</t>
  </si>
  <si>
    <t>KÖLTSÉGVETÉSI BEVÉTELEK               (B1-7.)</t>
  </si>
  <si>
    <t>A</t>
  </si>
  <si>
    <t>B</t>
  </si>
  <si>
    <t>B111</t>
  </si>
  <si>
    <t>B112</t>
  </si>
  <si>
    <t>- egyes köznevelési feladatok támogatása</t>
  </si>
  <si>
    <t>B113</t>
  </si>
  <si>
    <t>B114</t>
  </si>
  <si>
    <t>- kulturális feladatok támogatása</t>
  </si>
  <si>
    <t>B115</t>
  </si>
  <si>
    <t>B116</t>
  </si>
  <si>
    <t>- kiegészítő támogatások</t>
  </si>
  <si>
    <t>B12. Elvonások és befizetések bevételei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</si>
  <si>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</si>
  <si>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</si>
  <si>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</si>
  <si>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</si>
  <si>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Társulási feladatokhoz támogatás</t>
  </si>
  <si>
    <t>B31. Jövedelemadók</t>
  </si>
  <si>
    <t>B32. Szociális hozzájárulási adó és járulákok</t>
  </si>
  <si>
    <t>Magánszemélyek kommunális adója</t>
  </si>
  <si>
    <t>Iparűzési adó</t>
  </si>
  <si>
    <t>Idegenforgalmi adó bevételek</t>
  </si>
  <si>
    <t>B36. Egyéb közhatalmi bevételek:</t>
  </si>
  <si>
    <t>B36</t>
  </si>
  <si>
    <t>Igazgatási szolgáltatási díjak</t>
  </si>
  <si>
    <t>Szabálysértési és közigazgatási bírságok önkormányzatot megillető része</t>
  </si>
  <si>
    <t>Ket. alapján kiszabott eljárási bírságok</t>
  </si>
  <si>
    <t>B4. Működési bevételek</t>
  </si>
  <si>
    <t>B404</t>
  </si>
  <si>
    <t>B403</t>
  </si>
  <si>
    <t>B408</t>
  </si>
  <si>
    <t>B402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</si>
  <si>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</si>
  <si>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</si>
  <si>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</si>
  <si>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</si>
  <si>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KÖLTSÉGVETÉSI BEVÉTELEK ÖSSZESEN A+B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</si>
  <si>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</si>
  <si>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</si>
  <si>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</si>
  <si>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</si>
  <si>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</si>
  <si>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</si>
  <si>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</si>
  <si>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</si>
  <si>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</si>
  <si>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</si>
  <si>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</si>
  <si>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Felhalmozási költségvetés összesen:</t>
  </si>
  <si>
    <t>K9.Finanszírozási kiadások:</t>
  </si>
  <si>
    <t xml:space="preserve">KIADÁSOK ÖSSZESEN </t>
  </si>
  <si>
    <t>- ebből: kötelező feladatellátás</t>
  </si>
  <si>
    <t>államigazgatási (állami) feladatok</t>
  </si>
  <si>
    <t>KIADÁSOK MINDÖSSZESEN (I+II+III)</t>
  </si>
  <si>
    <t>Ellátottak</t>
  </si>
  <si>
    <t>pénzbeli</t>
  </si>
  <si>
    <t>juttatásai</t>
  </si>
  <si>
    <t>Felhalmozási célú átvett pénzeszközök</t>
  </si>
  <si>
    <t>Működési célú átvett pénzeszközök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</si>
  <si>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</si>
  <si>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</si>
  <si>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</si>
  <si>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</si>
  <si>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Összesen ( II./1-7.)</t>
  </si>
  <si>
    <t>- szociális, gyermekjóléti és gyermekétkeztetési feladatok támogatása</t>
  </si>
  <si>
    <t>- működési célú központosított előirányzatok</t>
  </si>
  <si>
    <t>B3. Közhatalmi bevételek (B31.+…+B36.)</t>
  </si>
  <si>
    <t>B8131</t>
  </si>
  <si>
    <t>Mellrákszűrés</t>
  </si>
  <si>
    <t>Tranzakciós illeték, kamatkiadások, bankköltségek</t>
  </si>
  <si>
    <t>B33. Bérhez és foglalkoztatáshoz kapcsolódó adók</t>
  </si>
  <si>
    <t>Működési célú</t>
  </si>
  <si>
    <t>B1. Működési célú támogatások államháztartáson belülről (B11.+…+B16.):</t>
  </si>
  <si>
    <t>B401</t>
  </si>
  <si>
    <t>B409</t>
  </si>
  <si>
    <t>B410</t>
  </si>
  <si>
    <t>Egyéb pénzügyi műveletek bevételei</t>
  </si>
  <si>
    <t>Egyéb működési bevételek</t>
  </si>
  <si>
    <t>Polgármesteri Hivatal:</t>
  </si>
  <si>
    <t>Önkormányzat:</t>
  </si>
  <si>
    <t>Rendőrség támogatása</t>
  </si>
  <si>
    <t>B11. Önkormányzat működési támogatásai:</t>
  </si>
  <si>
    <t>B2. Felhalmozási célú támogatások államháztartáson belülről (B21.+…+B25) - Önkormányzat:</t>
  </si>
  <si>
    <t>B34. Vagyoni típusú adók - Önkormányzat:</t>
  </si>
  <si>
    <t>B35. Termékek és szolgáltatások adói - Önkormányzat:</t>
  </si>
  <si>
    <t>B. Az Önkormányzat és a Polgármesteri Hivatal bevételei összesen B1.+…+B8.</t>
  </si>
  <si>
    <t>Működési célú támogatások államháztar-táson belülről     B1.</t>
  </si>
  <si>
    <t>Felhalmozási célú átvett pénzeszközök     B7.</t>
  </si>
  <si>
    <t>Működési célú átvett pénzeszközök            B6.</t>
  </si>
  <si>
    <t>Felhalmozási célú támogatások államháztar-táson belülről      B2.</t>
  </si>
  <si>
    <t>Felhal-mozási     célú</t>
  </si>
  <si>
    <t xml:space="preserve">B16 </t>
  </si>
  <si>
    <t xml:space="preserve">B25 </t>
  </si>
  <si>
    <t>B351121</t>
  </si>
  <si>
    <t>B34114</t>
  </si>
  <si>
    <t>B354121</t>
  </si>
  <si>
    <t>B355121</t>
  </si>
  <si>
    <t>- bölcsődei ellátás</t>
  </si>
  <si>
    <t>- gyermekétkeztetés</t>
  </si>
  <si>
    <t>- bentlakásos intézmény</t>
  </si>
  <si>
    <t>Kamatbevételek</t>
  </si>
  <si>
    <t>B817</t>
  </si>
  <si>
    <t>Betétek megszűntetése</t>
  </si>
  <si>
    <t>Szolgáltatások ellenértéke</t>
  </si>
  <si>
    <t>B355122</t>
  </si>
  <si>
    <t>János Vitéz Látogatóközpont kialakítása Kiskőrösön - DAOP -2.1.1/J-12-2012-0060</t>
  </si>
  <si>
    <t>Intézményi beruházások, kisértékű tárgyi eszköz beszerzések</t>
  </si>
  <si>
    <t>Áru- és készletértékesítés ellenértéke</t>
  </si>
  <si>
    <t>Közvetített szolgáltatások ellenértéke</t>
  </si>
  <si>
    <t>Egyéb közhatalmi bevételek</t>
  </si>
  <si>
    <t>Tulajdonosi bevételek</t>
  </si>
  <si>
    <t>Önkormányzati pénzbeli, természetbeni ellátások</t>
  </si>
  <si>
    <t>B52-53</t>
  </si>
  <si>
    <t>államház-tartáson kívülre</t>
  </si>
  <si>
    <t>államház-tartáson belülre</t>
  </si>
  <si>
    <t>tarta-lékok</t>
  </si>
  <si>
    <t>Települési támogatás</t>
  </si>
  <si>
    <t>Egyéb felhalmozás célú kiadások</t>
  </si>
  <si>
    <t>BERUHÁZÁSOK, FELÚJÍTÁSOK ÉS EGYÉB FELHALMOZÁSI</t>
  </si>
  <si>
    <t>JELLEGŰ KIADÁSOK, TÁMOGATÁSOK ÖSSZESEN</t>
  </si>
  <si>
    <t>Beruházások és felújítások összesen</t>
  </si>
  <si>
    <t>Önkormányzati hozzájárulás</t>
  </si>
  <si>
    <t>B407</t>
  </si>
  <si>
    <t>B406</t>
  </si>
  <si>
    <t>Ellátási díjak</t>
  </si>
  <si>
    <t>Kiszámlázott általános forgalmi adó</t>
  </si>
  <si>
    <t>Általános forgalmi adó visszatérítés</t>
  </si>
  <si>
    <t>B405</t>
  </si>
  <si>
    <t xml:space="preserve">Közfoglalkoztatás eszközök beszerzése </t>
  </si>
  <si>
    <t>Kiskőrösi Polgármesteri Hivatal</t>
  </si>
  <si>
    <t>Állati hulladékgyűjtő telep kialakítása</t>
  </si>
  <si>
    <t>Szociális lakásvásárlás, munkáltatói kölcsönök, belvízkárosult lakások visszatérítendő kölcsönei</t>
  </si>
  <si>
    <t>k: kötelező, ö: önként vállalt, á: államigaz-gatás feladat</t>
  </si>
  <si>
    <t>k: kötelező, ö: önként vállalt, á: államigaz-gatási feladat</t>
  </si>
  <si>
    <t>k: kötelező, ö: önként vállalt, á: állam-igaz-gatási feladat</t>
  </si>
  <si>
    <t>KÖLTSÉGVETÉSI BEVÉTELEK ÖSSZESEN (I.+II.)</t>
  </si>
  <si>
    <t>Az Önkormányzat által irányított költségvetési szervek költségvetési bevételei</t>
  </si>
  <si>
    <t>Az Önkormányzat és a Polgármesteri Hivatal költségvetési bevételei</t>
  </si>
  <si>
    <t xml:space="preserve">KÖLTSÉGVETÉSI KIADÁSOK ÖSSZESEN </t>
  </si>
  <si>
    <t>Költségvetési egyenleg - hiány (Költségvetési bevételek összesen -Költségvetési kiadások összesen)</t>
  </si>
  <si>
    <t xml:space="preserve"> Értékbecslések, tulajdoni lapok, térképkivonatok, vázrajzok, ingatlan-nyilvántartási eljárás díjai, közbeszerzési eljárások lebonyolítása, közzétételi díjak, ellenjegyzést igénylő szerződések ügyvédi munkadíjai</t>
  </si>
  <si>
    <t>Polgári védelmi feladatok, védőeszközök tárolása, kezelése</t>
  </si>
  <si>
    <t>Értékesítések</t>
  </si>
  <si>
    <t>Cím megnevezése</t>
  </si>
  <si>
    <t>Költségvetési bevételek B1-B7.</t>
  </si>
  <si>
    <t>Finanszírozási bevételek B8.</t>
  </si>
  <si>
    <t xml:space="preserve">Előző évi pénzmaradvány           </t>
  </si>
  <si>
    <t>B4</t>
  </si>
  <si>
    <t>B6, B7</t>
  </si>
  <si>
    <t>Támogatások államháztartáson belülről, átvett pénzeszközök</t>
  </si>
  <si>
    <t>B1, B2</t>
  </si>
  <si>
    <t>Együttműködés fejlesztése a Kiskőrösi járásban - ÁROP-1.A3-2014-2014-0107</t>
  </si>
  <si>
    <t>Kiskőrösi Bírkózó Klub - volt iskolaépület sportcélú felújítása</t>
  </si>
  <si>
    <t>Kőrösszolg Kft. - intézményüzemeltetési feladatai</t>
  </si>
  <si>
    <t>Kőrösszolg Kft. - köztisztasági és parkfenntartási feladatai</t>
  </si>
  <si>
    <t>Kiskőrös Városért Alapítvány - Petőfi témájú dombormű - önerő</t>
  </si>
  <si>
    <t>Működési bevételek    B3-4.</t>
  </si>
  <si>
    <t>Épületek építése, fenntartása, üzemeltetése</t>
  </si>
  <si>
    <t>Épületenergetikai fejlesztés - KEOP - 5.7.0.</t>
  </si>
  <si>
    <t>Petőfi témájú dombormű</t>
  </si>
  <si>
    <t>Egészségfejlesztési Iroda</t>
  </si>
  <si>
    <t>B411</t>
  </si>
  <si>
    <t>Béke utca - járdaépítés</t>
  </si>
  <si>
    <t>Biztosítók által fizetett kártérítés</t>
  </si>
  <si>
    <t xml:space="preserve">Széles út építése </t>
  </si>
  <si>
    <t>Család- és gyermekjóléti központ kialakítása</t>
  </si>
  <si>
    <t>Szeretetházi Baptista Gyülekezet Kiskőrös - család- és gyermekjóléti szolgálat normatíva továbbutalása</t>
  </si>
  <si>
    <t>Rászoruló gyermekek intézményen kívüli szünidei étkezése</t>
  </si>
  <si>
    <t>Gyermekétkeztetési feladatok</t>
  </si>
  <si>
    <t>Bentlakásos intézmény étkezés</t>
  </si>
  <si>
    <t>2016. évi nettó finanszírozás megelőlegezésének visszafizetése</t>
  </si>
  <si>
    <t>ő</t>
  </si>
  <si>
    <t>János Vitéz Látogatóközpont</t>
  </si>
  <si>
    <t>Összesen 1-4. sorok</t>
  </si>
  <si>
    <t>INTÉZMÉNYEK ÖSSZESEN ( 1. - 4. sorok )</t>
  </si>
  <si>
    <t>POLGÁRMESTERI HIVATAL KIADÁSAI ÖSSZESEN (5. sor)</t>
  </si>
  <si>
    <t xml:space="preserve">     Fürdő üzemeltetési díja</t>
  </si>
  <si>
    <t>Kőrösszolg Kft. - sport feladatai</t>
  </si>
  <si>
    <t>Egészségfejlesztési Iroda fenntartása</t>
  </si>
  <si>
    <t>Pályázatokhoz önerő, pályázatok előkészítő szakaszainak kiadásai, el nem számolható kiadások</t>
  </si>
  <si>
    <t>Befejezett viziközmű</t>
  </si>
  <si>
    <t>Önkormányzati bérlakások felújítása, kialakítása, karbantartása</t>
  </si>
  <si>
    <t>Bem József Általános Iskola - fűtés fejlesztés</t>
  </si>
  <si>
    <t>Szűcsi Óvoda járda bontása, építés, tereprendezés</t>
  </si>
  <si>
    <t>Árpád utca 8. helyiségek átalakítása</t>
  </si>
  <si>
    <t>DÉMÁSZ oszlopok kiváltások, áthelyezések</t>
  </si>
  <si>
    <t>ÖNKORMÁNYZATI KIADÁSOK ÖSSZESEN ( 6-33. sorok )</t>
  </si>
  <si>
    <r>
      <t xml:space="preserve">ÖNKORMÁNYZAT ÉS A POLGÁRMESTERI HIVATAL KIADÁSAI FINANSZÍROZÁSI KIADÁSOKKAL ÖSSZESEN </t>
    </r>
    <r>
      <rPr>
        <sz val="8"/>
        <rFont val="Times New Roman CE"/>
        <family val="1"/>
      </rPr>
      <t>(6-35. sorok)</t>
    </r>
  </si>
  <si>
    <r>
      <t xml:space="preserve">KIADÁSOK ÖSSZESEN </t>
    </r>
    <r>
      <rPr>
        <sz val="8"/>
        <rFont val="Times New Roman CE"/>
        <family val="1"/>
      </rPr>
      <t>( 1-35. sorok )</t>
    </r>
  </si>
  <si>
    <t>Wattay Szakközépiskola napelem telepítés kapcsán mérőóra és amper átalakítás</t>
  </si>
  <si>
    <t>Komáromi és Erdőtelki út sarkán (hrsz:2808) napelem telepítés kapcsán mérőóra és amper átalakítás</t>
  </si>
  <si>
    <t>B8</t>
  </si>
  <si>
    <t>Műfüves Futball pálya építése</t>
  </si>
  <si>
    <t>Új Óvoda</t>
  </si>
  <si>
    <t>Kossuth utca 6. épületbe klíma</t>
  </si>
  <si>
    <t>Áruértékesítéshez, szolgáltatásnyújtáshoz kapcsolódó ÁFA befizetések</t>
  </si>
  <si>
    <t>Támogatások</t>
  </si>
  <si>
    <t>Szennyvízcsatornázás VII. és VIII. ütemhez kapcsolódó közműfejlesztés</t>
  </si>
  <si>
    <t>Polgármesteri Hivatal villámvédelem felújítása és érintésvédelem</t>
  </si>
  <si>
    <t>Előző év maradványának igénybevétele</t>
  </si>
  <si>
    <t xml:space="preserve">Költségvetési hiány finanszírozása -  belső finanszírozás - előző év maradványának igénybevétele </t>
  </si>
  <si>
    <t>Önkormányzati kisebb beruházások</t>
  </si>
  <si>
    <t>Új Óvoda építése</t>
  </si>
  <si>
    <t>Önkormányzati kisebb felújítások</t>
  </si>
  <si>
    <t xml:space="preserve">Önkormányzati bérlakások felújítása </t>
  </si>
  <si>
    <t xml:space="preserve">Önkormányzati bérlakások kialakítása, vásárlása </t>
  </si>
  <si>
    <t>"C" épület felújítása</t>
  </si>
  <si>
    <t>Diákkonyha burkolása</t>
  </si>
  <si>
    <t>B74</t>
  </si>
  <si>
    <t>2015. évi maradvány</t>
  </si>
  <si>
    <t>- család- és gyermekjóléti szolgálat és központ</t>
  </si>
  <si>
    <t>Európai Uniós szakmai konferencia - önerő</t>
  </si>
  <si>
    <t>- ágazati pótlék, kiegészítő ágazati pótlék</t>
  </si>
  <si>
    <t>Kiskőrös Város Német Nemzetiségi Önkormányzata - busz vásárlás önrész</t>
  </si>
  <si>
    <t>Ágazati pótlék, kiegészítő ágazati pótlék, bérkompenzáció</t>
  </si>
  <si>
    <t>Piaccsarnok vásárlása</t>
  </si>
  <si>
    <t>Kőrösszolg Kft. felújításai</t>
  </si>
  <si>
    <t>1. melléklet a ../2016. (…...) önk. rendelethez</t>
  </si>
  <si>
    <t>2. melléklet a ../2016. (…...) önk. rendelethez</t>
  </si>
  <si>
    <t>3. melléklet a ../2016. (…...) önk. rendelethez</t>
  </si>
  <si>
    <t>4. melléklet a ../2016. (…...) önk. rendelethez</t>
  </si>
  <si>
    <t>5. melléklet a ../2016. (…...) önk. rendelethez</t>
  </si>
  <si>
    <t>6. melléklet a ../2016. (…...) önk. rendelethez</t>
  </si>
  <si>
    <t>Kollégium - közösségi tér kialakítása, konyhaberendezés vásárlása</t>
  </si>
  <si>
    <t>Nyílt szikkasztó-, vízelvezető árok lefedések, áteresz építések, csapadékvíz bekötések</t>
  </si>
  <si>
    <t>Csapadékvíz elvezető csatornák, árkok felújítása</t>
  </si>
  <si>
    <t>Burkolatfelújítások, parkolók, járdák felújítása</t>
  </si>
  <si>
    <t xml:space="preserve">Kollégium - emeleti vizesblokk felújítása, konyha, közösségi tér </t>
  </si>
  <si>
    <t>Városi Sporttelep fejlesztése, Klubház</t>
  </si>
  <si>
    <t xml:space="preserve">Kőrösszolg Kft. </t>
  </si>
  <si>
    <t>János Vitéz Látogatóközpont kialakítása Kiskőrösön - DAOP-2.1.1/J-12-2012-0060</t>
  </si>
  <si>
    <t>Intézményi 2015. évi szabad pénzmaradvány</t>
  </si>
  <si>
    <t xml:space="preserve">I. világháborús, Szomorú katona emlékmű felújítása </t>
  </si>
  <si>
    <t>B75</t>
  </si>
  <si>
    <t xml:space="preserve">Közép- és Kelet Európai Történelem és Társadalom Kutatásáért Közalapítvány - I. világháborús, Szomorú katona emlékmű felújítása </t>
  </si>
  <si>
    <t xml:space="preserve">Csapadékvíz gyűjtésére szolgáló záportározó kiépítéséhez szükséges ingatlanok megvásárlása, előkészítési feladatok </t>
  </si>
  <si>
    <t>Kiskőrös Város Önkormányzatának épületenergetikai fejlesztési projektje - TOP-3.2.1-15 - önerő</t>
  </si>
  <si>
    <t>Biomassza erőmű projekt Kiskőrösön - TOP-3.2.2-15  - önerő</t>
  </si>
  <si>
    <t>B6</t>
  </si>
  <si>
    <t>Kőrösszolg Kft. 2015. évi elszámolása</t>
  </si>
  <si>
    <t>Közművelődési intézmények, kulturális és közösségi színterek működtetése, infrastrukturális fejlesztése, Tourinform Iroda működtetése</t>
  </si>
  <si>
    <t xml:space="preserve">Szarvas utca 2. ingatlan </t>
  </si>
  <si>
    <t xml:space="preserve">Egészségügyi, Gyermekjóléti és Szociális Intézmény  </t>
  </si>
  <si>
    <t>Földes utak útalappal történő kiépítése, járdaépítések, útburkolatok, parkolóépítés, gyalogátkelőhelyek kialakítása</t>
  </si>
  <si>
    <t>Kiskőrösi Többcélú Kistérségi Társulás - kerékpárút kölcsön</t>
  </si>
  <si>
    <t>B141</t>
  </si>
  <si>
    <t>Kiskőrös Város szennyvízelvezetésének végleges megoldása  - KEOP-1.2.0/09-11-2011-0042</t>
  </si>
  <si>
    <t>Kiskőrös Város Önkormányzatának városközpont rehabilitációs projektje - DAOP-5.1.2/A-09-2f-2011-0005</t>
  </si>
  <si>
    <t>SZÓ-LA-M Alapfokú Művészeti Iskola néptánc tanszak</t>
  </si>
  <si>
    <t xml:space="preserve">Gyermekétkeztetés feltételeit javító fejlesztések - Batthyány utcai óvoda fejlesztése önerő </t>
  </si>
  <si>
    <t>Diófa utca útalap és belvízelvezetés</t>
  </si>
  <si>
    <t>B23</t>
  </si>
  <si>
    <t>Kiskőrös és Térsége Ivóvízminőség-javító Önkormányzati Társulás - KEOP-1.3.0/09-11-2011-0015 - "EU Önerő Alap" támogatás visszautalása</t>
  </si>
  <si>
    <t>Közművelődési intézmény beruházás - önerő</t>
  </si>
  <si>
    <t>B811</t>
  </si>
  <si>
    <t>Költségvetési hiány finanszírozása -  külső finanszírozás - adósságot keletkeztető ügylet - hitel felvétele</t>
  </si>
  <si>
    <t>Adósságot keletkeztető ügylet - hitel felvétele</t>
  </si>
  <si>
    <t>Nemzeti Szabadidős-Egészség Sportpark Program pályázat - önerő</t>
  </si>
  <si>
    <t>Kortárs Művészeti Köztéri Munkák létrehozása pályázat - önerő</t>
  </si>
  <si>
    <t xml:space="preserve">    Városi Sporttelep fejlesztései, Sportpark építése</t>
  </si>
  <si>
    <t>János Vitéz Látogatóközpont hálózatépítés, zenemű beszerzése</t>
  </si>
  <si>
    <t>Kiskőrös-Soltvadkert kerékpárút felújítása</t>
  </si>
  <si>
    <t>Kisoroszi tábor, Krimpeni Ház felújítása</t>
  </si>
  <si>
    <t>7. melléklet a ../2016. (…...) önk. rendelethez</t>
  </si>
  <si>
    <t>ezer Ft-ban</t>
  </si>
  <si>
    <t>Sor-szám</t>
  </si>
  <si>
    <t>Feladat</t>
  </si>
  <si>
    <t>2016. évi előirányzat</t>
  </si>
  <si>
    <t>Az átcsoportosítás jogát gyakorolja</t>
  </si>
  <si>
    <t>Rendkívüli javítások, karbantartások elvégzése, halaszthatatlan kisértékű tárgyi eszközök pótlása</t>
  </si>
  <si>
    <t>Polgármester</t>
  </si>
  <si>
    <t>Indokolt létszámcsökkentés végrehajtása érdekében felmerülő végkielégítés, egyéb nem tervezett rendkívüli személyi juttatás fedezete</t>
  </si>
  <si>
    <t>Képviselő-testület</t>
  </si>
  <si>
    <t>Más forrásból nem finanszírozható, városi feladatok ellátása</t>
  </si>
  <si>
    <t>Az Önkormányzat és az általa irányított költségvetési szervek dologi kiadásai indokolt kiegészítéséhez szükséges tartalék</t>
  </si>
  <si>
    <t>Bem József Általános Iskola sport célú beruházásához, felújításához önerő</t>
  </si>
  <si>
    <t>János Vitéz Látogatóközpont dologi kiadásaihoz</t>
  </si>
  <si>
    <t>Összesen:</t>
  </si>
  <si>
    <t>Betétek elhelyezése, értékpapírok vásárlása</t>
  </si>
  <si>
    <t>1,1-6</t>
  </si>
  <si>
    <t>Népszavazás</t>
  </si>
  <si>
    <t>Kiskőrösi Idősek Otthona felújítása, bővítése, technológiai korszerűsítése - TIOP-3.4.2-11/1-2012-0164</t>
  </si>
  <si>
    <t>Kiskőrösi Kézilabda Sportszervezet Kft. támogatása - kézilabda csarnok építéséhez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</si>
</sst>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  <numFmt numFmtId="186" formatCode="&quot;H-&quot;0000"/>
    <numFmt numFmtId="187" formatCode="[$¥€-2]\ #\ ##,000_);[Red]\([$€-2]\ #\ ##,000\)"/>
  </numFmts>
  <fonts count="9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i/>
      <sz val="8"/>
      <name val="Times New Roman CE"/>
      <family val="1"/>
    </font>
    <font>
      <sz val="7"/>
      <color indexed="10"/>
      <name val="Times New Roman CE"/>
      <family val="1"/>
    </font>
    <font>
      <b/>
      <i/>
      <sz val="7"/>
      <name val="Times New Roman CE"/>
      <family val="1"/>
    </font>
    <font>
      <i/>
      <sz val="7"/>
      <name val="Times New Roman CE"/>
      <family val="1"/>
    </font>
    <font>
      <i/>
      <sz val="7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"/>
      <family val="1"/>
    </font>
    <font>
      <b/>
      <sz val="10"/>
      <color indexed="8"/>
      <name val="Times New Roman CE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ahoma"/>
      <family val="2"/>
    </font>
    <font>
      <sz val="10"/>
      <color indexed="10"/>
      <name val="Tahoma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7"/>
      <name val="Times New Roman"/>
      <family val="1"/>
    </font>
    <font>
      <sz val="8"/>
      <name val="Arial CE"/>
      <family val="0"/>
    </font>
    <font>
      <i/>
      <sz val="8"/>
      <name val="Tahoma"/>
      <family val="2"/>
    </font>
    <font>
      <i/>
      <sz val="8"/>
      <name val="Times New Roman"/>
      <family val="1"/>
    </font>
    <font>
      <i/>
      <sz val="10"/>
      <color indexed="8"/>
      <name val="Times New Roman CE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medium"/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9" fillId="4" borderId="0" applyNumberFormat="0" applyBorder="0" applyAlignment="0" applyProtection="0"/>
    <xf numFmtId="0" fontId="56" fillId="4" borderId="0" applyNumberFormat="0" applyBorder="0" applyAlignment="0" applyProtection="0"/>
    <xf numFmtId="0" fontId="79" fillId="5" borderId="0" applyNumberFormat="0" applyBorder="0" applyAlignment="0" applyProtection="0"/>
    <xf numFmtId="0" fontId="56" fillId="5" borderId="0" applyNumberFormat="0" applyBorder="0" applyAlignment="0" applyProtection="0"/>
    <xf numFmtId="0" fontId="79" fillId="6" borderId="0" applyNumberFormat="0" applyBorder="0" applyAlignment="0" applyProtection="0"/>
    <xf numFmtId="0" fontId="56" fillId="6" borderId="0" applyNumberFormat="0" applyBorder="0" applyAlignment="0" applyProtection="0"/>
    <xf numFmtId="0" fontId="79" fillId="7" borderId="0" applyNumberFormat="0" applyBorder="0" applyAlignment="0" applyProtection="0"/>
    <xf numFmtId="0" fontId="56" fillId="7" borderId="0" applyNumberFormat="0" applyBorder="0" applyAlignment="0" applyProtection="0"/>
    <xf numFmtId="0" fontId="79" fillId="8" borderId="0" applyNumberFormat="0" applyBorder="0" applyAlignment="0" applyProtection="0"/>
    <xf numFmtId="0" fontId="56" fillId="9" borderId="0" applyNumberFormat="0" applyBorder="0" applyAlignment="0" applyProtection="0"/>
    <xf numFmtId="0" fontId="79" fillId="10" borderId="0" applyNumberFormat="0" applyBorder="0" applyAlignment="0" applyProtection="0"/>
    <xf numFmtId="0" fontId="56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56" fillId="15" borderId="0" applyNumberFormat="0" applyBorder="0" applyAlignment="0" applyProtection="0"/>
    <xf numFmtId="0" fontId="79" fillId="16" borderId="0" applyNumberFormat="0" applyBorder="0" applyAlignment="0" applyProtection="0"/>
    <xf numFmtId="0" fontId="56" fillId="17" borderId="0" applyNumberFormat="0" applyBorder="0" applyAlignment="0" applyProtection="0"/>
    <xf numFmtId="0" fontId="79" fillId="18" borderId="0" applyNumberFormat="0" applyBorder="0" applyAlignment="0" applyProtection="0"/>
    <xf numFmtId="0" fontId="56" fillId="18" borderId="0" applyNumberFormat="0" applyBorder="0" applyAlignment="0" applyProtection="0"/>
    <xf numFmtId="0" fontId="79" fillId="19" borderId="0" applyNumberFormat="0" applyBorder="0" applyAlignment="0" applyProtection="0"/>
    <xf numFmtId="0" fontId="56" fillId="7" borderId="0" applyNumberFormat="0" applyBorder="0" applyAlignment="0" applyProtection="0"/>
    <xf numFmtId="0" fontId="79" fillId="20" borderId="0" applyNumberFormat="0" applyBorder="0" applyAlignment="0" applyProtection="0"/>
    <xf numFmtId="0" fontId="56" fillId="15" borderId="0" applyNumberFormat="0" applyBorder="0" applyAlignment="0" applyProtection="0"/>
    <xf numFmtId="0" fontId="79" fillId="21" borderId="0" applyNumberFormat="0" applyBorder="0" applyAlignment="0" applyProtection="0"/>
    <xf numFmtId="0" fontId="56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55" fillId="26" borderId="0" applyNumberFormat="0" applyBorder="0" applyAlignment="0" applyProtection="0"/>
    <xf numFmtId="0" fontId="78" fillId="27" borderId="0" applyNumberFormat="0" applyBorder="0" applyAlignment="0" applyProtection="0"/>
    <xf numFmtId="0" fontId="55" fillId="17" borderId="0" applyNumberFormat="0" applyBorder="0" applyAlignment="0" applyProtection="0"/>
    <xf numFmtId="0" fontId="78" fillId="18" borderId="0" applyNumberFormat="0" applyBorder="0" applyAlignment="0" applyProtection="0"/>
    <xf numFmtId="0" fontId="55" fillId="18" borderId="0" applyNumberFormat="0" applyBorder="0" applyAlignment="0" applyProtection="0"/>
    <xf numFmtId="0" fontId="78" fillId="28" borderId="0" applyNumberFormat="0" applyBorder="0" applyAlignment="0" applyProtection="0"/>
    <xf numFmtId="0" fontId="55" fillId="28" borderId="0" applyNumberFormat="0" applyBorder="0" applyAlignment="0" applyProtection="0"/>
    <xf numFmtId="0" fontId="78" fillId="29" borderId="0" applyNumberFormat="0" applyBorder="0" applyAlignment="0" applyProtection="0"/>
    <xf numFmtId="0" fontId="55" fillId="30" borderId="0" applyNumberFormat="0" applyBorder="0" applyAlignment="0" applyProtection="0"/>
    <xf numFmtId="0" fontId="78" fillId="31" borderId="0" applyNumberFormat="0" applyBorder="0" applyAlignment="0" applyProtection="0"/>
    <xf numFmtId="0" fontId="55" fillId="31" borderId="0" applyNumberFormat="0" applyBorder="0" applyAlignment="0" applyProtection="0"/>
    <xf numFmtId="0" fontId="80" fillId="32" borderId="1" applyNumberFormat="0" applyAlignment="0" applyProtection="0"/>
    <xf numFmtId="0" fontId="57" fillId="11" borderId="2" applyNumberFormat="0" applyAlignment="0" applyProtection="0"/>
    <xf numFmtId="0" fontId="8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59" fillId="0" borderId="4" applyNumberFormat="0" applyFill="0" applyAlignment="0" applyProtection="0"/>
    <xf numFmtId="0" fontId="83" fillId="0" borderId="5" applyNumberFormat="0" applyFill="0" applyAlignment="0" applyProtection="0"/>
    <xf numFmtId="0" fontId="60" fillId="0" borderId="6" applyNumberFormat="0" applyFill="0" applyAlignment="0" applyProtection="0"/>
    <xf numFmtId="0" fontId="84" fillId="0" borderId="7" applyNumberFormat="0" applyFill="0" applyAlignment="0" applyProtection="0"/>
    <xf numFmtId="0" fontId="61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5" fillId="33" borderId="9" applyNumberFormat="0" applyAlignment="0" applyProtection="0"/>
    <xf numFmtId="0" fontId="62" fillId="3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64" fillId="0" borderId="12" applyNumberFormat="0" applyFill="0" applyAlignment="0" applyProtection="0"/>
    <xf numFmtId="0" fontId="0" fillId="35" borderId="13" applyNumberFormat="0" applyFont="0" applyAlignment="0" applyProtection="0"/>
    <xf numFmtId="0" fontId="0" fillId="36" borderId="14" applyNumberFormat="0" applyFont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28" borderId="0" applyNumberFormat="0" applyBorder="0" applyAlignment="0" applyProtection="0"/>
    <xf numFmtId="0" fontId="55" fillId="30" borderId="0" applyNumberFormat="0" applyBorder="0" applyAlignment="0" applyProtection="0"/>
    <xf numFmtId="0" fontId="55" fillId="40" borderId="0" applyNumberFormat="0" applyBorder="0" applyAlignment="0" applyProtection="0"/>
    <xf numFmtId="0" fontId="88" fillId="41" borderId="0" applyNumberFormat="0" applyBorder="0" applyAlignment="0" applyProtection="0"/>
    <xf numFmtId="0" fontId="65" fillId="6" borderId="0" applyNumberFormat="0" applyBorder="0" applyAlignment="0" applyProtection="0"/>
    <xf numFmtId="0" fontId="89" fillId="42" borderId="15" applyNumberFormat="0" applyAlignment="0" applyProtection="0"/>
    <xf numFmtId="0" fontId="66" fillId="43" borderId="16" applyNumberFormat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17" applyNumberFormat="0" applyFill="0" applyAlignment="0" applyProtection="0"/>
    <xf numFmtId="0" fontId="6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44" borderId="0" applyNumberFormat="0" applyBorder="0" applyAlignment="0" applyProtection="0"/>
    <xf numFmtId="0" fontId="69" fillId="5" borderId="0" applyNumberFormat="0" applyBorder="0" applyAlignment="0" applyProtection="0"/>
    <xf numFmtId="0" fontId="93" fillId="45" borderId="0" applyNumberFormat="0" applyBorder="0" applyAlignment="0" applyProtection="0"/>
    <xf numFmtId="0" fontId="70" fillId="46" borderId="0" applyNumberFormat="0" applyBorder="0" applyAlignment="0" applyProtection="0"/>
    <xf numFmtId="0" fontId="94" fillId="42" borderId="1" applyNumberFormat="0" applyAlignment="0" applyProtection="0"/>
    <xf numFmtId="0" fontId="71" fillId="43" borderId="2" applyNumberFormat="0" applyAlignment="0" applyProtection="0"/>
    <xf numFmtId="9" fontId="0" fillId="0" borderId="0" applyFont="0" applyFill="0" applyBorder="0" applyAlignment="0" applyProtection="0"/>
  </cellStyleXfs>
  <cellXfs count="994">
    <xf numFmtId="0" fontId="0" fillId="0" borderId="0" xfId="0" applyAlignment="1">
      <alignment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vertical="center" shrinkToFit="1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horizontal="justify" vertical="center" shrinkToFit="1"/>
    </xf>
    <xf numFmtId="0" fontId="6" fillId="0" borderId="19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0" fillId="0" borderId="2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3" fontId="16" fillId="0" borderId="0" xfId="94" applyNumberFormat="1" applyFont="1" applyFill="1" applyAlignment="1">
      <alignment horizontal="center" vertical="center"/>
      <protection/>
    </xf>
    <xf numFmtId="3" fontId="14" fillId="0" borderId="0" xfId="94" applyNumberFormat="1" applyFont="1" applyFill="1" applyAlignment="1">
      <alignment vertical="center"/>
      <protection/>
    </xf>
    <xf numFmtId="3" fontId="21" fillId="0" borderId="21" xfId="94" applyNumberFormat="1" applyFont="1" applyFill="1" applyBorder="1" applyAlignment="1">
      <alignment horizontal="center" vertical="center"/>
      <protection/>
    </xf>
    <xf numFmtId="3" fontId="15" fillId="0" borderId="0" xfId="94" applyNumberFormat="1" applyFont="1" applyFill="1" applyBorder="1" applyAlignment="1">
      <alignment horizontal="center" vertical="center"/>
      <protection/>
    </xf>
    <xf numFmtId="3" fontId="21" fillId="0" borderId="22" xfId="94" applyNumberFormat="1" applyFont="1" applyFill="1" applyBorder="1" applyAlignment="1">
      <alignment horizontal="center" vertical="center"/>
      <protection/>
    </xf>
    <xf numFmtId="3" fontId="21" fillId="0" borderId="23" xfId="94" applyNumberFormat="1" applyFont="1" applyFill="1" applyBorder="1" applyAlignment="1">
      <alignment horizontal="center" vertical="center"/>
      <protection/>
    </xf>
    <xf numFmtId="3" fontId="15" fillId="0" borderId="24" xfId="94" applyNumberFormat="1" applyFont="1" applyFill="1" applyBorder="1" applyAlignment="1">
      <alignment horizontal="center" vertical="center"/>
      <protection/>
    </xf>
    <xf numFmtId="3" fontId="13" fillId="0" borderId="25" xfId="94" applyNumberFormat="1" applyFont="1" applyFill="1" applyBorder="1" applyAlignment="1">
      <alignment vertical="center"/>
      <protection/>
    </xf>
    <xf numFmtId="3" fontId="21" fillId="0" borderId="25" xfId="94" applyNumberFormat="1" applyFont="1" applyFill="1" applyBorder="1" applyAlignment="1">
      <alignment vertical="center"/>
      <protection/>
    </xf>
    <xf numFmtId="3" fontId="15" fillId="0" borderId="26" xfId="94" applyNumberFormat="1" applyFont="1" applyFill="1" applyBorder="1" applyAlignment="1">
      <alignment horizontal="center" vertical="center"/>
      <protection/>
    </xf>
    <xf numFmtId="3" fontId="13" fillId="0" borderId="27" xfId="94" applyNumberFormat="1" applyFont="1" applyFill="1" applyBorder="1" applyAlignment="1">
      <alignment vertical="center"/>
      <protection/>
    </xf>
    <xf numFmtId="3" fontId="19" fillId="0" borderId="27" xfId="94" applyNumberFormat="1" applyFont="1" applyFill="1" applyBorder="1" applyAlignment="1">
      <alignment horizontal="left" vertical="center" indent="1"/>
      <protection/>
    </xf>
    <xf numFmtId="3" fontId="21" fillId="0" borderId="27" xfId="94" applyNumberFormat="1" applyFont="1" applyFill="1" applyBorder="1" applyAlignment="1">
      <alignment vertical="center"/>
      <protection/>
    </xf>
    <xf numFmtId="3" fontId="15" fillId="0" borderId="28" xfId="94" applyNumberFormat="1" applyFont="1" applyFill="1" applyBorder="1" applyAlignment="1">
      <alignment horizontal="center" vertical="center"/>
      <protection/>
    </xf>
    <xf numFmtId="3" fontId="19" fillId="0" borderId="22" xfId="94" applyNumberFormat="1" applyFont="1" applyFill="1" applyBorder="1" applyAlignment="1">
      <alignment horizontal="left" vertical="center" indent="1"/>
      <protection/>
    </xf>
    <xf numFmtId="3" fontId="21" fillId="0" borderId="22" xfId="94" applyNumberFormat="1" applyFont="1" applyFill="1" applyBorder="1" applyAlignment="1">
      <alignment vertical="center"/>
      <protection/>
    </xf>
    <xf numFmtId="3" fontId="21" fillId="0" borderId="29" xfId="94" applyNumberFormat="1" applyFont="1" applyFill="1" applyBorder="1" applyAlignment="1">
      <alignment vertical="center"/>
      <protection/>
    </xf>
    <xf numFmtId="3" fontId="15" fillId="0" borderId="30" xfId="94" applyNumberFormat="1" applyFont="1" applyFill="1" applyBorder="1" applyAlignment="1">
      <alignment horizontal="center" vertical="center"/>
      <protection/>
    </xf>
    <xf numFmtId="3" fontId="13" fillId="0" borderId="31" xfId="94" applyNumberFormat="1" applyFont="1" applyFill="1" applyBorder="1" applyAlignment="1">
      <alignment horizontal="center" vertical="center"/>
      <protection/>
    </xf>
    <xf numFmtId="3" fontId="15" fillId="0" borderId="32" xfId="94" applyNumberFormat="1" applyFont="1" applyFill="1" applyBorder="1" applyAlignment="1">
      <alignment horizontal="center" vertical="center"/>
      <protection/>
    </xf>
    <xf numFmtId="3" fontId="13" fillId="0" borderId="33" xfId="94" applyNumberFormat="1" applyFont="1" applyFill="1" applyBorder="1" applyAlignment="1">
      <alignment horizontal="center" vertical="center"/>
      <protection/>
    </xf>
    <xf numFmtId="3" fontId="19" fillId="0" borderId="33" xfId="94" applyNumberFormat="1" applyFont="1" applyFill="1" applyBorder="1" applyAlignment="1">
      <alignment horizontal="left" vertical="center" indent="1"/>
      <protection/>
    </xf>
    <xf numFmtId="3" fontId="19" fillId="0" borderId="33" xfId="94" applyNumberFormat="1" applyFont="1" applyFill="1" applyBorder="1" applyAlignment="1">
      <alignment vertical="center"/>
      <protection/>
    </xf>
    <xf numFmtId="3" fontId="15" fillId="0" borderId="34" xfId="94" applyNumberFormat="1" applyFont="1" applyFill="1" applyBorder="1" applyAlignment="1">
      <alignment horizontal="center" vertical="center"/>
      <protection/>
    </xf>
    <xf numFmtId="3" fontId="13" fillId="0" borderId="35" xfId="94" applyNumberFormat="1" applyFont="1" applyFill="1" applyBorder="1" applyAlignment="1">
      <alignment horizontal="center" vertical="center"/>
      <protection/>
    </xf>
    <xf numFmtId="3" fontId="19" fillId="0" borderId="35" xfId="94" applyNumberFormat="1" applyFont="1" applyFill="1" applyBorder="1" applyAlignment="1">
      <alignment vertical="center"/>
      <protection/>
    </xf>
    <xf numFmtId="3" fontId="13" fillId="0" borderId="22" xfId="94" applyNumberFormat="1" applyFont="1" applyFill="1" applyBorder="1" applyAlignment="1">
      <alignment horizontal="center" vertical="center"/>
      <protection/>
    </xf>
    <xf numFmtId="3" fontId="16" fillId="0" borderId="0" xfId="94" applyNumberFormat="1" applyFont="1" applyFill="1" applyAlignment="1">
      <alignment vertical="center"/>
      <protection/>
    </xf>
    <xf numFmtId="3" fontId="13" fillId="0" borderId="32" xfId="94" applyNumberFormat="1" applyFont="1" applyFill="1" applyBorder="1" applyAlignment="1">
      <alignment horizontal="center" vertical="center"/>
      <protection/>
    </xf>
    <xf numFmtId="3" fontId="13" fillId="0" borderId="30" xfId="94" applyNumberFormat="1" applyFont="1" applyFill="1" applyBorder="1" applyAlignment="1">
      <alignment horizontal="center" vertical="center"/>
      <protection/>
    </xf>
    <xf numFmtId="1" fontId="13" fillId="0" borderId="33" xfId="94" applyNumberFormat="1" applyFont="1" applyFill="1" applyBorder="1" applyAlignment="1">
      <alignment horizontal="center" vertical="center"/>
      <protection/>
    </xf>
    <xf numFmtId="1" fontId="13" fillId="0" borderId="35" xfId="94" applyNumberFormat="1" applyFont="1" applyFill="1" applyBorder="1" applyAlignment="1">
      <alignment horizontal="center" vertical="center"/>
      <protection/>
    </xf>
    <xf numFmtId="3" fontId="15" fillId="0" borderId="36" xfId="94" applyNumberFormat="1" applyFont="1" applyFill="1" applyBorder="1" applyAlignment="1">
      <alignment horizontal="center" vertical="center"/>
      <protection/>
    </xf>
    <xf numFmtId="3" fontId="19" fillId="0" borderId="35" xfId="94" applyNumberFormat="1" applyFont="1" applyFill="1" applyBorder="1" applyAlignment="1">
      <alignment horizontal="left" vertical="center" indent="1"/>
      <protection/>
    </xf>
    <xf numFmtId="3" fontId="15" fillId="0" borderId="37" xfId="94" applyNumberFormat="1" applyFont="1" applyFill="1" applyBorder="1" applyAlignment="1">
      <alignment horizontal="center" vertical="center"/>
      <protection/>
    </xf>
    <xf numFmtId="3" fontId="13" fillId="0" borderId="21" xfId="94" applyNumberFormat="1" applyFont="1" applyFill="1" applyBorder="1" applyAlignment="1">
      <alignment horizontal="center" vertical="center"/>
      <protection/>
    </xf>
    <xf numFmtId="3" fontId="21" fillId="0" borderId="21" xfId="94" applyNumberFormat="1" applyFont="1" applyFill="1" applyBorder="1" applyAlignment="1">
      <alignment vertical="center"/>
      <protection/>
    </xf>
    <xf numFmtId="164" fontId="13" fillId="0" borderId="31" xfId="94" applyNumberFormat="1" applyFont="1" applyFill="1" applyBorder="1" applyAlignment="1">
      <alignment horizontal="center" vertical="center"/>
      <protection/>
    </xf>
    <xf numFmtId="3" fontId="13" fillId="0" borderId="27" xfId="94" applyNumberFormat="1" applyFont="1" applyFill="1" applyBorder="1" applyAlignment="1">
      <alignment horizontal="center" vertical="center"/>
      <protection/>
    </xf>
    <xf numFmtId="164" fontId="13" fillId="0" borderId="33" xfId="94" applyNumberFormat="1" applyFont="1" applyFill="1" applyBorder="1" applyAlignment="1">
      <alignment horizontal="center" vertical="center"/>
      <protection/>
    </xf>
    <xf numFmtId="3" fontId="15" fillId="0" borderId="38" xfId="94" applyNumberFormat="1" applyFont="1" applyFill="1" applyBorder="1" applyAlignment="1">
      <alignment horizontal="center" vertical="center"/>
      <protection/>
    </xf>
    <xf numFmtId="164" fontId="13" fillId="0" borderId="27" xfId="94" applyNumberFormat="1" applyFont="1" applyFill="1" applyBorder="1" applyAlignment="1">
      <alignment horizontal="center" vertical="center"/>
      <protection/>
    </xf>
    <xf numFmtId="3" fontId="13" fillId="0" borderId="32" xfId="94" applyNumberFormat="1" applyFont="1" applyFill="1" applyBorder="1" applyAlignment="1">
      <alignment horizontal="left" vertical="center"/>
      <protection/>
    </xf>
    <xf numFmtId="3" fontId="21" fillId="0" borderId="21" xfId="94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3" fontId="19" fillId="0" borderId="33" xfId="94" applyNumberFormat="1" applyFont="1" applyFill="1" applyBorder="1" applyAlignment="1">
      <alignment horizontal="left" vertical="center" wrapText="1" indent="1"/>
      <protection/>
    </xf>
    <xf numFmtId="3" fontId="21" fillId="0" borderId="23" xfId="94" applyNumberFormat="1" applyFont="1" applyFill="1" applyBorder="1" applyAlignment="1">
      <alignment vertical="center"/>
      <protection/>
    </xf>
    <xf numFmtId="3" fontId="21" fillId="0" borderId="25" xfId="94" applyNumberFormat="1" applyFont="1" applyFill="1" applyBorder="1" applyAlignment="1">
      <alignment horizontal="left" vertical="center"/>
      <protection/>
    </xf>
    <xf numFmtId="3" fontId="0" fillId="0" borderId="0" xfId="0" applyNumberFormat="1" applyAlignment="1">
      <alignment/>
    </xf>
    <xf numFmtId="3" fontId="21" fillId="0" borderId="22" xfId="94" applyNumberFormat="1" applyFont="1" applyFill="1" applyBorder="1" applyAlignment="1">
      <alignment horizontal="center" vertical="center" wrapText="1"/>
      <protection/>
    </xf>
    <xf numFmtId="3" fontId="21" fillId="0" borderId="23" xfId="94" applyNumberFormat="1" applyFont="1" applyFill="1" applyBorder="1" applyAlignment="1">
      <alignment horizontal="center" vertical="center" wrapText="1"/>
      <protection/>
    </xf>
    <xf numFmtId="1" fontId="27" fillId="0" borderId="0" xfId="94" applyNumberFormat="1" applyFont="1" applyFill="1" applyAlignment="1">
      <alignment horizontal="right" vertical="center"/>
      <protection/>
    </xf>
    <xf numFmtId="1" fontId="30" fillId="0" borderId="21" xfId="94" applyNumberFormat="1" applyFont="1" applyFill="1" applyBorder="1" applyAlignment="1">
      <alignment horizontal="right" vertical="center"/>
      <protection/>
    </xf>
    <xf numFmtId="3" fontId="31" fillId="0" borderId="26" xfId="94" applyNumberFormat="1" applyFont="1" applyFill="1" applyBorder="1" applyAlignment="1">
      <alignment horizontal="center" vertical="center"/>
      <protection/>
    </xf>
    <xf numFmtId="3" fontId="34" fillId="0" borderId="0" xfId="94" applyNumberFormat="1" applyFont="1" applyFill="1" applyAlignment="1">
      <alignment vertical="center"/>
      <protection/>
    </xf>
    <xf numFmtId="1" fontId="13" fillId="0" borderId="35" xfId="94" applyNumberFormat="1" applyFont="1" applyFill="1" applyBorder="1" applyAlignment="1">
      <alignment horizontal="right" vertical="center"/>
      <protection/>
    </xf>
    <xf numFmtId="1" fontId="13" fillId="0" borderId="33" xfId="94" applyNumberFormat="1" applyFont="1" applyFill="1" applyBorder="1" applyAlignment="1">
      <alignment horizontal="right" vertical="center"/>
      <protection/>
    </xf>
    <xf numFmtId="1" fontId="13" fillId="0" borderId="22" xfId="94" applyNumberFormat="1" applyFont="1" applyFill="1" applyBorder="1" applyAlignment="1">
      <alignment horizontal="right" vertical="center"/>
      <protection/>
    </xf>
    <xf numFmtId="1" fontId="13" fillId="0" borderId="31" xfId="94" applyNumberFormat="1" applyFont="1" applyFill="1" applyBorder="1" applyAlignment="1">
      <alignment horizontal="right" vertical="center"/>
      <protection/>
    </xf>
    <xf numFmtId="1" fontId="32" fillId="0" borderId="33" xfId="94" applyNumberFormat="1" applyFont="1" applyFill="1" applyBorder="1" applyAlignment="1">
      <alignment horizontal="right" vertical="center"/>
      <protection/>
    </xf>
    <xf numFmtId="1" fontId="13" fillId="0" borderId="25" xfId="94" applyNumberFormat="1" applyFont="1" applyFill="1" applyBorder="1" applyAlignment="1">
      <alignment horizontal="right" vertical="center"/>
      <protection/>
    </xf>
    <xf numFmtId="1" fontId="13" fillId="0" borderId="29" xfId="94" applyNumberFormat="1" applyFont="1" applyFill="1" applyBorder="1" applyAlignment="1">
      <alignment horizontal="right" vertical="center"/>
      <protection/>
    </xf>
    <xf numFmtId="3" fontId="32" fillId="0" borderId="26" xfId="94" applyNumberFormat="1" applyFont="1" applyFill="1" applyBorder="1" applyAlignment="1">
      <alignment horizontal="center" vertical="center"/>
      <protection/>
    </xf>
    <xf numFmtId="1" fontId="32" fillId="0" borderId="27" xfId="94" applyNumberFormat="1" applyFont="1" applyFill="1" applyBorder="1" applyAlignment="1">
      <alignment horizontal="right" vertical="center"/>
      <protection/>
    </xf>
    <xf numFmtId="1" fontId="13" fillId="0" borderId="27" xfId="94" applyNumberFormat="1" applyFont="1" applyFill="1" applyBorder="1" applyAlignment="1">
      <alignment horizontal="right" vertical="center"/>
      <protection/>
    </xf>
    <xf numFmtId="1" fontId="13" fillId="0" borderId="29" xfId="94" applyNumberFormat="1" applyFont="1" applyFill="1" applyBorder="1" applyAlignment="1">
      <alignment horizontal="right" vertical="center"/>
      <protection/>
    </xf>
    <xf numFmtId="3" fontId="31" fillId="0" borderId="34" xfId="94" applyNumberFormat="1" applyFont="1" applyFill="1" applyBorder="1" applyAlignment="1">
      <alignment horizontal="center" vertical="center"/>
      <protection/>
    </xf>
    <xf numFmtId="1" fontId="13" fillId="0" borderId="21" xfId="94" applyNumberFormat="1" applyFont="1" applyFill="1" applyBorder="1" applyAlignment="1">
      <alignment horizontal="right" vertical="center"/>
      <protection/>
    </xf>
    <xf numFmtId="1" fontId="15" fillId="0" borderId="29" xfId="94" applyNumberFormat="1" applyFont="1" applyFill="1" applyBorder="1" applyAlignment="1">
      <alignment horizontal="right" vertical="center"/>
      <protection/>
    </xf>
    <xf numFmtId="3" fontId="29" fillId="0" borderId="0" xfId="0" applyNumberFormat="1" applyFont="1" applyFill="1" applyAlignment="1">
      <alignment vertical="center"/>
    </xf>
    <xf numFmtId="1" fontId="13" fillId="0" borderId="23" xfId="94" applyNumberFormat="1" applyFont="1" applyFill="1" applyBorder="1" applyAlignment="1">
      <alignment horizontal="right" vertical="center"/>
      <protection/>
    </xf>
    <xf numFmtId="3" fontId="19" fillId="0" borderId="31" xfId="94" applyNumberFormat="1" applyFont="1" applyFill="1" applyBorder="1" applyAlignment="1">
      <alignment horizontal="left" vertical="center" wrapText="1" indent="1"/>
      <protection/>
    </xf>
    <xf numFmtId="3" fontId="35" fillId="0" borderId="0" xfId="94" applyNumberFormat="1" applyFont="1" applyFill="1" applyAlignment="1">
      <alignment vertical="center"/>
      <protection/>
    </xf>
    <xf numFmtId="164" fontId="13" fillId="0" borderId="35" xfId="94" applyNumberFormat="1" applyFont="1" applyFill="1" applyBorder="1" applyAlignment="1">
      <alignment horizontal="center" vertical="center"/>
      <protection/>
    </xf>
    <xf numFmtId="1" fontId="32" fillId="0" borderId="35" xfId="94" applyNumberFormat="1" applyFont="1" applyFill="1" applyBorder="1" applyAlignment="1">
      <alignment horizontal="right" vertical="center"/>
      <protection/>
    </xf>
    <xf numFmtId="3" fontId="13" fillId="0" borderId="27" xfId="94" applyNumberFormat="1" applyFont="1" applyFill="1" applyBorder="1" applyAlignment="1">
      <alignment horizontal="center" vertical="center"/>
      <protection/>
    </xf>
    <xf numFmtId="3" fontId="13" fillId="0" borderId="23" xfId="94" applyNumberFormat="1" applyFont="1" applyFill="1" applyBorder="1" applyAlignment="1">
      <alignment horizontal="center" vertical="center"/>
      <protection/>
    </xf>
    <xf numFmtId="3" fontId="13" fillId="0" borderId="25" xfId="94" applyNumberFormat="1" applyFont="1" applyFill="1" applyBorder="1" applyAlignment="1">
      <alignment horizontal="center" vertical="center"/>
      <protection/>
    </xf>
    <xf numFmtId="3" fontId="13" fillId="0" borderId="25" xfId="94" applyNumberFormat="1" applyFont="1" applyFill="1" applyBorder="1" applyAlignment="1">
      <alignment horizontal="center" vertical="center"/>
      <protection/>
    </xf>
    <xf numFmtId="3" fontId="13" fillId="0" borderId="29" xfId="94" applyNumberFormat="1" applyFont="1" applyFill="1" applyBorder="1" applyAlignment="1">
      <alignment horizontal="center" vertical="center"/>
      <protection/>
    </xf>
    <xf numFmtId="3" fontId="13" fillId="0" borderId="29" xfId="94" applyNumberFormat="1" applyFont="1" applyFill="1" applyBorder="1" applyAlignment="1">
      <alignment horizontal="center" vertical="center"/>
      <protection/>
    </xf>
    <xf numFmtId="3" fontId="21" fillId="0" borderId="39" xfId="94" applyNumberFormat="1" applyFont="1" applyFill="1" applyBorder="1" applyAlignment="1">
      <alignment horizontal="right" vertical="center"/>
      <protection/>
    </xf>
    <xf numFmtId="0" fontId="37" fillId="0" borderId="0" xfId="0" applyFont="1" applyFill="1" applyBorder="1" applyAlignment="1">
      <alignment vertical="center" shrinkToFit="1"/>
    </xf>
    <xf numFmtId="3" fontId="15" fillId="0" borderId="29" xfId="94" applyNumberFormat="1" applyFont="1" applyFill="1" applyBorder="1" applyAlignment="1">
      <alignment horizontal="center" vertical="center"/>
      <protection/>
    </xf>
    <xf numFmtId="1" fontId="15" fillId="0" borderId="29" xfId="94" applyNumberFormat="1" applyFont="1" applyFill="1" applyBorder="1" applyAlignment="1">
      <alignment horizontal="right" vertical="center"/>
      <protection/>
    </xf>
    <xf numFmtId="3" fontId="15" fillId="0" borderId="21" xfId="94" applyNumberFormat="1" applyFont="1" applyFill="1" applyBorder="1" applyAlignment="1">
      <alignment horizontal="center" vertical="center"/>
      <protection/>
    </xf>
    <xf numFmtId="1" fontId="15" fillId="0" borderId="21" xfId="94" applyNumberFormat="1" applyFont="1" applyFill="1" applyBorder="1" applyAlignment="1">
      <alignment horizontal="right" vertical="center"/>
      <protection/>
    </xf>
    <xf numFmtId="1" fontId="13" fillId="0" borderId="33" xfId="94" applyNumberFormat="1" applyFont="1" applyFill="1" applyBorder="1" applyAlignment="1">
      <alignment horizontal="right" vertical="center"/>
      <protection/>
    </xf>
    <xf numFmtId="0" fontId="38" fillId="0" borderId="0" xfId="0" applyFont="1" applyAlignment="1">
      <alignment/>
    </xf>
    <xf numFmtId="3" fontId="32" fillId="0" borderId="32" xfId="94" applyNumberFormat="1" applyFont="1" applyFill="1" applyBorder="1" applyAlignment="1">
      <alignment horizontal="left" vertical="center"/>
      <protection/>
    </xf>
    <xf numFmtId="3" fontId="12" fillId="0" borderId="0" xfId="0" applyNumberFormat="1" applyFont="1" applyFill="1" applyAlignment="1">
      <alignment vertical="center"/>
    </xf>
    <xf numFmtId="4" fontId="21" fillId="0" borderId="40" xfId="94" applyNumberFormat="1" applyFont="1" applyFill="1" applyBorder="1" applyAlignment="1">
      <alignment horizontal="center" vertical="center"/>
      <protection/>
    </xf>
    <xf numFmtId="4" fontId="21" fillId="0" borderId="41" xfId="94" applyNumberFormat="1" applyFont="1" applyFill="1" applyBorder="1" applyAlignment="1">
      <alignment horizontal="center" vertical="center"/>
      <protection/>
    </xf>
    <xf numFmtId="4" fontId="21" fillId="0" borderId="42" xfId="94" applyNumberFormat="1" applyFont="1" applyFill="1" applyBorder="1" applyAlignment="1">
      <alignment horizontal="right" vertical="center"/>
      <protection/>
    </xf>
    <xf numFmtId="1" fontId="13" fillId="0" borderId="25" xfId="94" applyNumberFormat="1" applyFont="1" applyFill="1" applyBorder="1" applyAlignment="1">
      <alignment horizontal="right" vertical="center"/>
      <protection/>
    </xf>
    <xf numFmtId="3" fontId="8" fillId="0" borderId="0" xfId="0" applyNumberFormat="1" applyFont="1" applyFill="1" applyAlignment="1">
      <alignment vertical="center" shrinkToFit="1"/>
    </xf>
    <xf numFmtId="3" fontId="9" fillId="0" borderId="0" xfId="0" applyNumberFormat="1" applyFont="1" applyFill="1" applyAlignment="1">
      <alignment shrinkToFit="1"/>
    </xf>
    <xf numFmtId="0" fontId="16" fillId="0" borderId="43" xfId="0" applyFont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shrinkToFit="1"/>
    </xf>
    <xf numFmtId="1" fontId="20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3" fontId="13" fillId="0" borderId="26" xfId="94" applyNumberFormat="1" applyFont="1" applyFill="1" applyBorder="1" applyAlignment="1">
      <alignment horizontal="left" vertical="center"/>
      <protection/>
    </xf>
    <xf numFmtId="3" fontId="15" fillId="0" borderId="26" xfId="94" applyNumberFormat="1" applyFont="1" applyFill="1" applyBorder="1" applyAlignment="1">
      <alignment horizontal="left" vertical="center"/>
      <protection/>
    </xf>
    <xf numFmtId="1" fontId="15" fillId="0" borderId="27" xfId="94" applyNumberFormat="1" applyFont="1" applyFill="1" applyBorder="1" applyAlignment="1">
      <alignment horizontal="right" vertical="center"/>
      <protection/>
    </xf>
    <xf numFmtId="165" fontId="13" fillId="0" borderId="33" xfId="94" applyNumberFormat="1" applyFont="1" applyFill="1" applyBorder="1" applyAlignment="1">
      <alignment horizontal="center" vertical="center"/>
      <protection/>
    </xf>
    <xf numFmtId="165" fontId="32" fillId="0" borderId="33" xfId="94" applyNumberFormat="1" applyFont="1" applyFill="1" applyBorder="1" applyAlignment="1">
      <alignment horizontal="center" vertical="center"/>
      <protection/>
    </xf>
    <xf numFmtId="165" fontId="15" fillId="0" borderId="27" xfId="94" applyNumberFormat="1" applyFont="1" applyFill="1" applyBorder="1" applyAlignment="1">
      <alignment horizontal="center" vertical="center"/>
      <protection/>
    </xf>
    <xf numFmtId="165" fontId="13" fillId="0" borderId="27" xfId="94" applyNumberFormat="1" applyFont="1" applyFill="1" applyBorder="1" applyAlignment="1">
      <alignment horizontal="center" vertical="center"/>
      <protection/>
    </xf>
    <xf numFmtId="1" fontId="13" fillId="0" borderId="31" xfId="94" applyNumberFormat="1" applyFont="1" applyFill="1" applyBorder="1" applyAlignment="1">
      <alignment horizontal="right" vertical="center"/>
      <protection/>
    </xf>
    <xf numFmtId="3" fontId="13" fillId="0" borderId="34" xfId="94" applyNumberFormat="1" applyFont="1" applyFill="1" applyBorder="1" applyAlignment="1">
      <alignment horizontal="center" vertical="center"/>
      <protection/>
    </xf>
    <xf numFmtId="1" fontId="13" fillId="0" borderId="35" xfId="94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Alignment="1">
      <alignment vertical="center" shrinkToFit="1"/>
    </xf>
    <xf numFmtId="3" fontId="51" fillId="0" borderId="0" xfId="94" applyNumberFormat="1" applyFont="1" applyFill="1" applyAlignment="1">
      <alignment vertical="center"/>
      <protection/>
    </xf>
    <xf numFmtId="3" fontId="14" fillId="0" borderId="0" xfId="0" applyNumberFormat="1" applyFont="1" applyFill="1" applyAlignment="1">
      <alignment vertical="center"/>
    </xf>
    <xf numFmtId="3" fontId="52" fillId="0" borderId="0" xfId="94" applyNumberFormat="1" applyFont="1" applyFill="1" applyBorder="1" applyAlignment="1">
      <alignment vertical="center"/>
      <protection/>
    </xf>
    <xf numFmtId="4" fontId="52" fillId="0" borderId="0" xfId="94" applyNumberFormat="1" applyFont="1" applyFill="1" applyBorder="1" applyAlignment="1">
      <alignment horizontal="right" vertical="center"/>
      <protection/>
    </xf>
    <xf numFmtId="4" fontId="52" fillId="0" borderId="39" xfId="94" applyNumberFormat="1" applyFont="1" applyFill="1" applyBorder="1" applyAlignment="1">
      <alignment horizontal="right" vertical="center"/>
      <protection/>
    </xf>
    <xf numFmtId="4" fontId="52" fillId="0" borderId="44" xfId="94" applyNumberFormat="1" applyFont="1" applyFill="1" applyBorder="1" applyAlignment="1">
      <alignment horizontal="right" vertical="center"/>
      <protection/>
    </xf>
    <xf numFmtId="4" fontId="52" fillId="0" borderId="45" xfId="94" applyNumberFormat="1" applyFont="1" applyFill="1" applyBorder="1" applyAlignment="1">
      <alignment horizontal="right" vertical="center"/>
      <protection/>
    </xf>
    <xf numFmtId="4" fontId="52" fillId="0" borderId="40" xfId="94" applyNumberFormat="1" applyFont="1" applyFill="1" applyBorder="1" applyAlignment="1">
      <alignment horizontal="right" vertical="center"/>
      <protection/>
    </xf>
    <xf numFmtId="4" fontId="52" fillId="0" borderId="46" xfId="94" applyNumberFormat="1" applyFont="1" applyFill="1" applyBorder="1" applyAlignment="1">
      <alignment horizontal="right" vertical="center"/>
      <protection/>
    </xf>
    <xf numFmtId="4" fontId="52" fillId="0" borderId="47" xfId="94" applyNumberFormat="1" applyFont="1" applyFill="1" applyBorder="1" applyAlignment="1">
      <alignment horizontal="right" vertical="center"/>
      <protection/>
    </xf>
    <xf numFmtId="4" fontId="52" fillId="0" borderId="41" xfId="94" applyNumberFormat="1" applyFont="1" applyFill="1" applyBorder="1" applyAlignment="1">
      <alignment horizontal="right" vertical="center"/>
      <protection/>
    </xf>
    <xf numFmtId="4" fontId="53" fillId="0" borderId="48" xfId="94" applyNumberFormat="1" applyFont="1" applyFill="1" applyBorder="1" applyAlignment="1">
      <alignment horizontal="right" vertical="center"/>
      <protection/>
    </xf>
    <xf numFmtId="4" fontId="51" fillId="0" borderId="48" xfId="94" applyNumberFormat="1" applyFont="1" applyFill="1" applyBorder="1" applyAlignment="1">
      <alignment horizontal="right" vertical="center"/>
      <protection/>
    </xf>
    <xf numFmtId="4" fontId="52" fillId="0" borderId="49" xfId="94" applyNumberFormat="1" applyFont="1" applyFill="1" applyBorder="1" applyAlignment="1">
      <alignment horizontal="right" vertical="center"/>
      <protection/>
    </xf>
    <xf numFmtId="4" fontId="52" fillId="0" borderId="48" xfId="94" applyNumberFormat="1" applyFont="1" applyFill="1" applyBorder="1" applyAlignment="1">
      <alignment horizontal="right" vertical="center"/>
      <protection/>
    </xf>
    <xf numFmtId="4" fontId="52" fillId="0" borderId="0" xfId="94" applyNumberFormat="1" applyFont="1" applyFill="1" applyAlignment="1">
      <alignment horizontal="right" vertical="center"/>
      <protection/>
    </xf>
    <xf numFmtId="2" fontId="51" fillId="0" borderId="0" xfId="94" applyNumberFormat="1" applyFont="1" applyFill="1" applyAlignment="1">
      <alignment vertical="center"/>
      <protection/>
    </xf>
    <xf numFmtId="3" fontId="52" fillId="0" borderId="0" xfId="94" applyNumberFormat="1" applyFont="1" applyFill="1" applyAlignment="1">
      <alignment vertical="center"/>
      <protection/>
    </xf>
    <xf numFmtId="2" fontId="52" fillId="0" borderId="0" xfId="94" applyNumberFormat="1" applyFont="1" applyFill="1" applyAlignment="1">
      <alignment horizontal="right" vertical="center"/>
      <protection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vertical="center"/>
    </xf>
    <xf numFmtId="3" fontId="14" fillId="0" borderId="50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vertical="center"/>
    </xf>
    <xf numFmtId="3" fontId="16" fillId="0" borderId="52" xfId="0" applyNumberFormat="1" applyFont="1" applyFill="1" applyBorder="1" applyAlignment="1">
      <alignment vertical="center"/>
    </xf>
    <xf numFmtId="3" fontId="16" fillId="0" borderId="39" xfId="0" applyNumberFormat="1" applyFont="1" applyFill="1" applyBorder="1" applyAlignment="1">
      <alignment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24" fillId="0" borderId="53" xfId="0" applyNumberFormat="1" applyFont="1" applyFill="1" applyBorder="1" applyAlignment="1">
      <alignment vertical="center"/>
    </xf>
    <xf numFmtId="3" fontId="14" fillId="0" borderId="54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justify" vertical="center"/>
    </xf>
    <xf numFmtId="3" fontId="25" fillId="0" borderId="56" xfId="0" applyNumberFormat="1" applyFont="1" applyFill="1" applyBorder="1" applyAlignment="1">
      <alignment horizontal="right" vertical="center"/>
    </xf>
    <xf numFmtId="3" fontId="25" fillId="0" borderId="57" xfId="0" applyNumberFormat="1" applyFont="1" applyFill="1" applyBorder="1" applyAlignment="1">
      <alignment horizontal="right"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58" xfId="0" applyNumberFormat="1" applyFont="1" applyFill="1" applyBorder="1" applyAlignment="1">
      <alignment horizontal="center" vertical="center"/>
    </xf>
    <xf numFmtId="3" fontId="14" fillId="0" borderId="58" xfId="0" applyNumberFormat="1" applyFont="1" applyFill="1" applyBorder="1" applyAlignment="1">
      <alignment horizontal="center" vertical="center"/>
    </xf>
    <xf numFmtId="3" fontId="36" fillId="0" borderId="56" xfId="0" applyNumberFormat="1" applyFont="1" applyFill="1" applyBorder="1" applyAlignment="1">
      <alignment horizontal="left" vertical="center" indent="1"/>
    </xf>
    <xf numFmtId="3" fontId="36" fillId="0" borderId="56" xfId="0" applyNumberFormat="1" applyFont="1" applyFill="1" applyBorder="1" applyAlignment="1">
      <alignment horizontal="right" vertical="center"/>
    </xf>
    <xf numFmtId="3" fontId="34" fillId="0" borderId="59" xfId="0" applyNumberFormat="1" applyFont="1" applyFill="1" applyBorder="1" applyAlignment="1">
      <alignment horizontal="center" vertical="center"/>
    </xf>
    <xf numFmtId="3" fontId="34" fillId="0" borderId="60" xfId="0" applyNumberFormat="1" applyFont="1" applyFill="1" applyBorder="1" applyAlignment="1">
      <alignment horizontal="center" vertical="center"/>
    </xf>
    <xf numFmtId="3" fontId="14" fillId="0" borderId="60" xfId="0" applyNumberFormat="1" applyFont="1" applyFill="1" applyBorder="1" applyAlignment="1">
      <alignment horizontal="center" vertical="center"/>
    </xf>
    <xf numFmtId="3" fontId="34" fillId="0" borderId="61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43" borderId="62" xfId="0" applyNumberFormat="1" applyFont="1" applyFill="1" applyBorder="1" applyAlignment="1">
      <alignment horizontal="right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14" fillId="0" borderId="58" xfId="0" applyNumberFormat="1" applyFont="1" applyFill="1" applyBorder="1" applyAlignment="1">
      <alignment horizontal="center" vertical="center"/>
    </xf>
    <xf numFmtId="3" fontId="36" fillId="0" borderId="63" xfId="0" applyNumberFormat="1" applyFont="1" applyFill="1" applyBorder="1" applyAlignment="1">
      <alignment horizontal="right" vertical="center"/>
    </xf>
    <xf numFmtId="3" fontId="36" fillId="43" borderId="62" xfId="0" applyNumberFormat="1" applyFont="1" applyFill="1" applyBorder="1" applyAlignment="1">
      <alignment horizontal="right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24" fillId="0" borderId="64" xfId="0" applyNumberFormat="1" applyFont="1" applyFill="1" applyBorder="1" applyAlignment="1">
      <alignment horizontal="right" vertical="center"/>
    </xf>
    <xf numFmtId="3" fontId="24" fillId="43" borderId="65" xfId="0" applyNumberFormat="1" applyFont="1" applyFill="1" applyBorder="1" applyAlignment="1">
      <alignment horizontal="right" vertical="center"/>
    </xf>
    <xf numFmtId="3" fontId="24" fillId="0" borderId="66" xfId="0" applyNumberFormat="1" applyFont="1" applyFill="1" applyBorder="1" applyAlignment="1">
      <alignment horizontal="right" vertical="center"/>
    </xf>
    <xf numFmtId="49" fontId="14" fillId="0" borderId="58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vertical="center" wrapText="1"/>
    </xf>
    <xf numFmtId="3" fontId="24" fillId="0" borderId="56" xfId="0" applyNumberFormat="1" applyFont="1" applyFill="1" applyBorder="1" applyAlignment="1">
      <alignment horizontal="right" vertical="center"/>
    </xf>
    <xf numFmtId="3" fontId="24" fillId="43" borderId="62" xfId="0" applyNumberFormat="1" applyFont="1" applyFill="1" applyBorder="1" applyAlignment="1">
      <alignment horizontal="right" vertical="center"/>
    </xf>
    <xf numFmtId="3" fontId="24" fillId="0" borderId="67" xfId="0" applyNumberFormat="1" applyFont="1" applyFill="1" applyBorder="1" applyAlignment="1">
      <alignment vertical="center"/>
    </xf>
    <xf numFmtId="3" fontId="24" fillId="0" borderId="67" xfId="0" applyNumberFormat="1" applyFont="1" applyFill="1" applyBorder="1" applyAlignment="1">
      <alignment horizontal="right" vertical="center"/>
    </xf>
    <xf numFmtId="3" fontId="24" fillId="43" borderId="68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vertical="center"/>
    </xf>
    <xf numFmtId="3" fontId="24" fillId="0" borderId="63" xfId="0" applyNumberFormat="1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horizontal="center" vertical="center"/>
    </xf>
    <xf numFmtId="3" fontId="24" fillId="0" borderId="64" xfId="95" applyNumberFormat="1" applyFont="1" applyFill="1" applyBorder="1" applyAlignment="1">
      <alignment horizontal="left" vertical="center" wrapText="1"/>
      <protection/>
    </xf>
    <xf numFmtId="3" fontId="24" fillId="0" borderId="64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left" vertical="top" readingOrder="1"/>
    </xf>
    <xf numFmtId="3" fontId="16" fillId="0" borderId="19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3" fontId="24" fillId="0" borderId="56" xfId="0" applyNumberFormat="1" applyFont="1" applyFill="1" applyBorder="1" applyAlignment="1">
      <alignment horizontal="left" vertical="center"/>
    </xf>
    <xf numFmtId="3" fontId="24" fillId="0" borderId="64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horizontal="center" vertical="center"/>
    </xf>
    <xf numFmtId="3" fontId="24" fillId="0" borderId="58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24" fillId="0" borderId="64" xfId="0" applyNumberFormat="1" applyFont="1" applyFill="1" applyBorder="1" applyAlignment="1">
      <alignment horizontal="left" vertical="center"/>
    </xf>
    <xf numFmtId="3" fontId="14" fillId="0" borderId="67" xfId="0" applyNumberFormat="1" applyFont="1" applyFill="1" applyBorder="1" applyAlignment="1">
      <alignment horizontal="center" vertical="center"/>
    </xf>
    <xf numFmtId="3" fontId="14" fillId="0" borderId="64" xfId="0" applyNumberFormat="1" applyFont="1" applyFill="1" applyBorder="1" applyAlignment="1">
      <alignment horizontal="center" vertical="center"/>
    </xf>
    <xf numFmtId="3" fontId="14" fillId="0" borderId="69" xfId="0" applyNumberFormat="1" applyFont="1" applyFill="1" applyBorder="1" applyAlignment="1">
      <alignment horizontal="center" vertical="center"/>
    </xf>
    <xf numFmtId="3" fontId="25" fillId="0" borderId="70" xfId="0" applyNumberFormat="1" applyFont="1" applyFill="1" applyBorder="1" applyAlignment="1">
      <alignment vertical="center"/>
    </xf>
    <xf numFmtId="3" fontId="25" fillId="0" borderId="58" xfId="0" applyNumberFormat="1" applyFont="1" applyFill="1" applyBorder="1" applyAlignment="1">
      <alignment vertical="center"/>
    </xf>
    <xf numFmtId="3" fontId="24" fillId="0" borderId="64" xfId="0" applyNumberFormat="1" applyFont="1" applyFill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16" fillId="0" borderId="72" xfId="0" applyNumberFormat="1" applyFont="1" applyFill="1" applyBorder="1" applyAlignment="1">
      <alignment horizontal="center" vertical="center"/>
    </xf>
    <xf numFmtId="3" fontId="16" fillId="0" borderId="73" xfId="0" applyNumberFormat="1" applyFont="1" applyFill="1" applyBorder="1" applyAlignment="1">
      <alignment horizontal="center" vertical="center"/>
    </xf>
    <xf numFmtId="3" fontId="14" fillId="0" borderId="74" xfId="0" applyNumberFormat="1" applyFont="1" applyFill="1" applyBorder="1" applyAlignment="1">
      <alignment horizontal="center" vertical="center"/>
    </xf>
    <xf numFmtId="3" fontId="24" fillId="0" borderId="75" xfId="0" applyNumberFormat="1" applyFont="1" applyFill="1" applyBorder="1" applyAlignment="1">
      <alignment horizontal="left" vertical="center"/>
    </xf>
    <xf numFmtId="3" fontId="14" fillId="0" borderId="64" xfId="0" applyNumberFormat="1" applyFont="1" applyFill="1" applyBorder="1" applyAlignment="1">
      <alignment horizontal="center" vertical="center"/>
    </xf>
    <xf numFmtId="3" fontId="14" fillId="0" borderId="73" xfId="0" applyNumberFormat="1" applyFont="1" applyFill="1" applyBorder="1" applyAlignment="1">
      <alignment horizontal="center" vertical="center"/>
    </xf>
    <xf numFmtId="3" fontId="14" fillId="0" borderId="7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shrinkToFit="1"/>
    </xf>
    <xf numFmtId="2" fontId="24" fillId="0" borderId="0" xfId="0" applyNumberFormat="1" applyFont="1" applyFill="1" applyAlignment="1">
      <alignment shrinkToFit="1"/>
    </xf>
    <xf numFmtId="0" fontId="41" fillId="0" borderId="0" xfId="0" applyFont="1" applyFill="1" applyAlignment="1">
      <alignment horizontal="justify" shrinkToFit="1"/>
    </xf>
    <xf numFmtId="0" fontId="41" fillId="0" borderId="0" xfId="0" applyFont="1" applyFill="1" applyAlignment="1">
      <alignment horizontal="right" shrinkToFit="1"/>
    </xf>
    <xf numFmtId="0" fontId="24" fillId="0" borderId="50" xfId="0" applyFont="1" applyFill="1" applyBorder="1" applyAlignment="1">
      <alignment horizontal="center" shrinkToFit="1"/>
    </xf>
    <xf numFmtId="2" fontId="24" fillId="0" borderId="20" xfId="0" applyNumberFormat="1" applyFont="1" applyFill="1" applyBorder="1" applyAlignment="1">
      <alignment shrinkToFit="1"/>
    </xf>
    <xf numFmtId="0" fontId="24" fillId="0" borderId="21" xfId="0" applyFont="1" applyFill="1" applyBorder="1" applyAlignment="1">
      <alignment horizontal="justify" shrinkToFit="1"/>
    </xf>
    <xf numFmtId="0" fontId="24" fillId="0" borderId="77" xfId="0" applyFont="1" applyFill="1" applyBorder="1" applyAlignment="1">
      <alignment horizont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shrinkToFit="1"/>
    </xf>
    <xf numFmtId="0" fontId="24" fillId="0" borderId="52" xfId="0" applyFont="1" applyFill="1" applyBorder="1" applyAlignment="1">
      <alignment horizontal="center" shrinkToFit="1"/>
    </xf>
    <xf numFmtId="2" fontId="24" fillId="0" borderId="78" xfId="0" applyNumberFormat="1" applyFont="1" applyFill="1" applyBorder="1" applyAlignment="1">
      <alignment shrinkToFit="1"/>
    </xf>
    <xf numFmtId="0" fontId="40" fillId="0" borderId="23" xfId="0" applyFont="1" applyFill="1" applyBorder="1" applyAlignment="1">
      <alignment horizontal="justify" shrinkToFit="1"/>
    </xf>
    <xf numFmtId="0" fontId="40" fillId="0" borderId="79" xfId="0" applyFont="1" applyFill="1" applyBorder="1" applyAlignment="1">
      <alignment horizontal="center" shrinkToFit="1"/>
    </xf>
    <xf numFmtId="2" fontId="25" fillId="0" borderId="80" xfId="0" applyNumberFormat="1" applyFont="1" applyFill="1" applyBorder="1" applyAlignment="1">
      <alignment vertical="center" wrapText="1"/>
    </xf>
    <xf numFmtId="3" fontId="24" fillId="0" borderId="80" xfId="0" applyNumberFormat="1" applyFont="1" applyFill="1" applyBorder="1" applyAlignment="1">
      <alignment horizontal="right" vertical="center" shrinkToFit="1"/>
    </xf>
    <xf numFmtId="3" fontId="25" fillId="0" borderId="81" xfId="0" applyNumberFormat="1" applyFont="1" applyFill="1" applyBorder="1" applyAlignment="1">
      <alignment horizontal="right" vertical="center" shrinkToFit="1"/>
    </xf>
    <xf numFmtId="2" fontId="36" fillId="0" borderId="56" xfId="0" applyNumberFormat="1" applyFont="1" applyFill="1" applyBorder="1" applyAlignment="1" quotePrefix="1">
      <alignment horizontal="left" vertical="center" indent="1" shrinkToFit="1"/>
    </xf>
    <xf numFmtId="3" fontId="36" fillId="0" borderId="56" xfId="0" applyNumberFormat="1" applyFont="1" applyFill="1" applyBorder="1" applyAlignment="1">
      <alignment horizontal="right" vertical="center" shrinkToFit="1"/>
    </xf>
    <xf numFmtId="3" fontId="39" fillId="0" borderId="82" xfId="0" applyNumberFormat="1" applyFont="1" applyFill="1" applyBorder="1" applyAlignment="1">
      <alignment horizontal="right" vertical="center" shrinkToFit="1"/>
    </xf>
    <xf numFmtId="2" fontId="25" fillId="0" borderId="56" xfId="0" applyNumberFormat="1" applyFont="1" applyFill="1" applyBorder="1" applyAlignment="1">
      <alignment vertical="center" wrapText="1"/>
    </xf>
    <xf numFmtId="3" fontId="24" fillId="0" borderId="56" xfId="0" applyNumberFormat="1" applyFont="1" applyFill="1" applyBorder="1" applyAlignment="1">
      <alignment horizontal="justify" vertical="center" shrinkToFit="1"/>
    </xf>
    <xf numFmtId="3" fontId="24" fillId="0" borderId="82" xfId="0" applyNumberFormat="1" applyFont="1" applyFill="1" applyBorder="1" applyAlignment="1">
      <alignment horizontal="right" vertical="center" shrinkToFit="1"/>
    </xf>
    <xf numFmtId="0" fontId="24" fillId="0" borderId="19" xfId="0" applyFont="1" applyFill="1" applyBorder="1" applyAlignment="1">
      <alignment horizontal="center" shrinkToFit="1"/>
    </xf>
    <xf numFmtId="2" fontId="24" fillId="0" borderId="67" xfId="0" applyNumberFormat="1" applyFont="1" applyFill="1" applyBorder="1" applyAlignment="1">
      <alignment shrinkToFit="1"/>
    </xf>
    <xf numFmtId="3" fontId="24" fillId="0" borderId="67" xfId="0" applyNumberFormat="1" applyFont="1" applyFill="1" applyBorder="1" applyAlignment="1">
      <alignment horizontal="right" shrinkToFit="1"/>
    </xf>
    <xf numFmtId="3" fontId="24" fillId="43" borderId="67" xfId="0" applyNumberFormat="1" applyFont="1" applyFill="1" applyBorder="1" applyAlignment="1">
      <alignment horizontal="right" shrinkToFit="1"/>
    </xf>
    <xf numFmtId="3" fontId="25" fillId="0" borderId="83" xfId="0" applyNumberFormat="1" applyFont="1" applyFill="1" applyBorder="1" applyAlignment="1">
      <alignment horizontal="right" shrinkToFit="1"/>
    </xf>
    <xf numFmtId="2" fontId="24" fillId="0" borderId="67" xfId="0" applyNumberFormat="1" applyFont="1" applyFill="1" applyBorder="1" applyAlignment="1">
      <alignment horizontal="left" shrinkToFit="1"/>
    </xf>
    <xf numFmtId="2" fontId="24" fillId="0" borderId="56" xfId="0" applyNumberFormat="1" applyFont="1" applyFill="1" applyBorder="1" applyAlignment="1">
      <alignment shrinkToFit="1"/>
    </xf>
    <xf numFmtId="3" fontId="24" fillId="0" borderId="56" xfId="0" applyNumberFormat="1" applyFont="1" applyFill="1" applyBorder="1" applyAlignment="1">
      <alignment horizontal="right" shrinkToFit="1"/>
    </xf>
    <xf numFmtId="3" fontId="24" fillId="43" borderId="56" xfId="0" applyNumberFormat="1" applyFont="1" applyFill="1" applyBorder="1" applyAlignment="1">
      <alignment horizontal="right" shrinkToFit="1"/>
    </xf>
    <xf numFmtId="3" fontId="25" fillId="0" borderId="84" xfId="0" applyNumberFormat="1" applyFont="1" applyFill="1" applyBorder="1" applyAlignment="1">
      <alignment horizontal="right" shrinkToFit="1"/>
    </xf>
    <xf numFmtId="3" fontId="25" fillId="0" borderId="85" xfId="0" applyNumberFormat="1" applyFont="1" applyFill="1" applyBorder="1" applyAlignment="1">
      <alignment horizontal="right" shrinkToFit="1"/>
    </xf>
    <xf numFmtId="3" fontId="25" fillId="0" borderId="84" xfId="0" applyNumberFormat="1" applyFont="1" applyFill="1" applyBorder="1" applyAlignment="1">
      <alignment horizontal="right" vertical="center" shrinkToFit="1"/>
    </xf>
    <xf numFmtId="3" fontId="25" fillId="0" borderId="85" xfId="0" applyNumberFormat="1" applyFont="1" applyFill="1" applyBorder="1" applyAlignment="1">
      <alignment horizontal="right" vertical="center" shrinkToFit="1"/>
    </xf>
    <xf numFmtId="3" fontId="25" fillId="0" borderId="86" xfId="0" applyNumberFormat="1" applyFont="1" applyFill="1" applyBorder="1" applyAlignment="1">
      <alignment horizontal="right" vertical="center" shrinkToFit="1"/>
    </xf>
    <xf numFmtId="2" fontId="25" fillId="0" borderId="87" xfId="0" applyNumberFormat="1" applyFont="1" applyFill="1" applyBorder="1" applyAlignment="1">
      <alignment horizontal="center" vertical="center" shrinkToFit="1"/>
    </xf>
    <xf numFmtId="2" fontId="25" fillId="0" borderId="88" xfId="0" applyNumberFormat="1" applyFont="1" applyFill="1" applyBorder="1" applyAlignment="1">
      <alignment vertical="center" shrinkToFit="1"/>
    </xf>
    <xf numFmtId="3" fontId="25" fillId="0" borderId="88" xfId="0" applyNumberFormat="1" applyFont="1" applyFill="1" applyBorder="1" applyAlignment="1">
      <alignment horizontal="right" vertical="center" shrinkToFit="1"/>
    </xf>
    <xf numFmtId="3" fontId="25" fillId="0" borderId="89" xfId="0" applyNumberFormat="1" applyFont="1" applyFill="1" applyBorder="1" applyAlignment="1">
      <alignment horizontal="right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2" fontId="24" fillId="0" borderId="0" xfId="0" applyNumberFormat="1" applyFont="1" applyFill="1" applyBorder="1" applyAlignment="1">
      <alignment vertical="center" wrapText="1"/>
    </xf>
    <xf numFmtId="3" fontId="25" fillId="0" borderId="22" xfId="0" applyNumberFormat="1" applyFont="1" applyFill="1" applyBorder="1" applyAlignment="1">
      <alignment horizontal="right" vertical="center" shrinkToFit="1"/>
    </xf>
    <xf numFmtId="3" fontId="25" fillId="0" borderId="90" xfId="0" applyNumberFormat="1" applyFont="1" applyFill="1" applyBorder="1" applyAlignment="1">
      <alignment horizontal="right" vertical="center" shrinkToFit="1"/>
    </xf>
    <xf numFmtId="2" fontId="24" fillId="0" borderId="39" xfId="0" applyNumberFormat="1" applyFont="1" applyFill="1" applyBorder="1" applyAlignment="1">
      <alignment shrinkToFit="1"/>
    </xf>
    <xf numFmtId="2" fontId="25" fillId="0" borderId="22" xfId="0" applyNumberFormat="1" applyFont="1" applyFill="1" applyBorder="1" applyAlignment="1">
      <alignment vertical="center" shrinkToFit="1"/>
    </xf>
    <xf numFmtId="0" fontId="40" fillId="0" borderId="22" xfId="0" applyFont="1" applyFill="1" applyBorder="1" applyAlignment="1">
      <alignment horizontal="justify" vertical="center" shrinkToFit="1"/>
    </xf>
    <xf numFmtId="0" fontId="40" fillId="0" borderId="90" xfId="0" applyFont="1" applyFill="1" applyBorder="1" applyAlignment="1">
      <alignment horizontal="center" vertical="center" shrinkToFit="1"/>
    </xf>
    <xf numFmtId="3" fontId="25" fillId="0" borderId="86" xfId="0" applyNumberFormat="1" applyFont="1" applyFill="1" applyBorder="1" applyAlignment="1">
      <alignment horizontal="right" shrinkToFit="1"/>
    </xf>
    <xf numFmtId="3" fontId="24" fillId="0" borderId="22" xfId="0" applyNumberFormat="1" applyFont="1" applyFill="1" applyBorder="1" applyAlignment="1">
      <alignment horizontal="right" vertical="center" shrinkToFit="1"/>
    </xf>
    <xf numFmtId="0" fontId="25" fillId="0" borderId="87" xfId="0" applyFont="1" applyFill="1" applyBorder="1" applyAlignment="1">
      <alignment horizontal="center" shrinkToFit="1"/>
    </xf>
    <xf numFmtId="2" fontId="25" fillId="0" borderId="88" xfId="0" applyNumberFormat="1" applyFont="1" applyFill="1" applyBorder="1" applyAlignment="1">
      <alignment shrinkToFit="1"/>
    </xf>
    <xf numFmtId="3" fontId="25" fillId="0" borderId="88" xfId="0" applyNumberFormat="1" applyFont="1" applyFill="1" applyBorder="1" applyAlignment="1">
      <alignment horizontal="right" shrinkToFit="1"/>
    </xf>
    <xf numFmtId="3" fontId="25" fillId="0" borderId="89" xfId="0" applyNumberFormat="1" applyFont="1" applyFill="1" applyBorder="1" applyAlignment="1">
      <alignment horizontal="right" shrinkToFit="1"/>
    </xf>
    <xf numFmtId="0" fontId="25" fillId="0" borderId="28" xfId="0" applyFont="1" applyFill="1" applyBorder="1" applyAlignment="1">
      <alignment horizontal="center" shrinkToFit="1"/>
    </xf>
    <xf numFmtId="2" fontId="25" fillId="0" borderId="56" xfId="0" applyNumberFormat="1" applyFont="1" applyFill="1" applyBorder="1" applyAlignment="1">
      <alignment shrinkToFit="1"/>
    </xf>
    <xf numFmtId="3" fontId="25" fillId="0" borderId="56" xfId="0" applyNumberFormat="1" applyFont="1" applyFill="1" applyBorder="1" applyAlignment="1">
      <alignment horizontal="right" shrinkToFit="1"/>
    </xf>
    <xf numFmtId="3" fontId="25" fillId="0" borderId="82" xfId="0" applyNumberFormat="1" applyFont="1" applyFill="1" applyBorder="1" applyAlignment="1">
      <alignment horizontal="right" shrinkToFit="1"/>
    </xf>
    <xf numFmtId="0" fontId="25" fillId="0" borderId="72" xfId="0" applyFont="1" applyFill="1" applyBorder="1" applyAlignment="1">
      <alignment horizontal="center" shrinkToFit="1"/>
    </xf>
    <xf numFmtId="2" fontId="25" fillId="0" borderId="91" xfId="0" applyNumberFormat="1" applyFont="1" applyFill="1" applyBorder="1" applyAlignment="1">
      <alignment shrinkToFit="1"/>
    </xf>
    <xf numFmtId="3" fontId="25" fillId="0" borderId="91" xfId="0" applyNumberFormat="1" applyFont="1" applyFill="1" applyBorder="1" applyAlignment="1">
      <alignment horizontal="right" shrinkToFit="1"/>
    </xf>
    <xf numFmtId="3" fontId="25" fillId="0" borderId="92" xfId="0" applyNumberFormat="1" applyFont="1" applyFill="1" applyBorder="1" applyAlignment="1">
      <alignment horizontal="right" shrinkToFit="1"/>
    </xf>
    <xf numFmtId="3" fontId="25" fillId="0" borderId="93" xfId="0" applyNumberFormat="1" applyFont="1" applyFill="1" applyBorder="1" applyAlignment="1">
      <alignment horizontal="right" vertical="center" shrinkToFit="1"/>
    </xf>
    <xf numFmtId="3" fontId="25" fillId="0" borderId="94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Fill="1" applyAlignment="1">
      <alignment horizontal="justify" shrinkToFit="1"/>
    </xf>
    <xf numFmtId="0" fontId="42" fillId="0" borderId="0" xfId="0" applyFont="1" applyFill="1" applyAlignment="1">
      <alignment horizontal="justify" shrinkToFit="1"/>
    </xf>
    <xf numFmtId="0" fontId="42" fillId="0" borderId="0" xfId="0" applyFont="1" applyFill="1" applyAlignment="1">
      <alignment horizontal="center" shrinkToFit="1"/>
    </xf>
    <xf numFmtId="0" fontId="28" fillId="0" borderId="0" xfId="0" applyFont="1" applyFill="1" applyAlignment="1">
      <alignment vertical="center" shrinkToFit="1"/>
    </xf>
    <xf numFmtId="0" fontId="24" fillId="0" borderId="0" xfId="0" applyFont="1" applyAlignment="1">
      <alignment/>
    </xf>
    <xf numFmtId="0" fontId="43" fillId="0" borderId="0" xfId="0" applyFont="1" applyFill="1" applyAlignment="1">
      <alignment horizontal="right" vertical="center" shrinkToFit="1"/>
    </xf>
    <xf numFmtId="0" fontId="28" fillId="0" borderId="76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 wrapText="1"/>
    </xf>
    <xf numFmtId="0" fontId="28" fillId="0" borderId="95" xfId="0" applyFont="1" applyFill="1" applyBorder="1" applyAlignment="1">
      <alignment vertical="center" wrapText="1"/>
    </xf>
    <xf numFmtId="0" fontId="28" fillId="0" borderId="95" xfId="0" applyFont="1" applyFill="1" applyBorder="1" applyAlignment="1" quotePrefix="1">
      <alignment horizontal="left" vertical="center" wrapText="1"/>
    </xf>
    <xf numFmtId="0" fontId="28" fillId="0" borderId="39" xfId="0" applyFont="1" applyFill="1" applyBorder="1" applyAlignment="1">
      <alignment vertical="center" shrinkToFit="1"/>
    </xf>
    <xf numFmtId="0" fontId="28" fillId="0" borderId="96" xfId="0" applyFont="1" applyFill="1" applyBorder="1" applyAlignment="1">
      <alignment vertical="center" shrinkToFit="1"/>
    </xf>
    <xf numFmtId="0" fontId="28" fillId="0" borderId="97" xfId="0" applyFont="1" applyFill="1" applyBorder="1" applyAlignment="1">
      <alignment vertical="center" shrinkToFit="1"/>
    </xf>
    <xf numFmtId="0" fontId="28" fillId="0" borderId="79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28" fillId="0" borderId="51" xfId="0" applyFont="1" applyFill="1" applyBorder="1" applyAlignment="1">
      <alignment vertical="center" shrinkToFit="1"/>
    </xf>
    <xf numFmtId="0" fontId="28" fillId="0" borderId="34" xfId="0" applyFont="1" applyFill="1" applyBorder="1" applyAlignment="1">
      <alignment vertical="center" shrinkToFit="1"/>
    </xf>
    <xf numFmtId="0" fontId="28" fillId="0" borderId="98" xfId="0" applyFont="1" applyFill="1" applyBorder="1" applyAlignment="1">
      <alignment vertical="center" shrinkToFit="1"/>
    </xf>
    <xf numFmtId="0" fontId="28" fillId="0" borderId="90" xfId="0" applyFont="1" applyFill="1" applyBorder="1" applyAlignment="1">
      <alignment vertical="center" shrinkToFit="1"/>
    </xf>
    <xf numFmtId="0" fontId="28" fillId="0" borderId="53" xfId="0" applyFont="1" applyFill="1" applyBorder="1" applyAlignment="1">
      <alignment vertical="center" shrinkToFit="1"/>
    </xf>
    <xf numFmtId="2" fontId="24" fillId="0" borderId="62" xfId="0" applyNumberFormat="1" applyFont="1" applyFill="1" applyBorder="1" applyAlignment="1">
      <alignment wrapText="1"/>
    </xf>
    <xf numFmtId="0" fontId="28" fillId="0" borderId="95" xfId="0" applyFont="1" applyFill="1" applyBorder="1" applyAlignment="1">
      <alignment vertical="center" shrinkToFit="1"/>
    </xf>
    <xf numFmtId="0" fontId="28" fillId="0" borderId="99" xfId="0" applyFont="1" applyFill="1" applyBorder="1" applyAlignment="1">
      <alignment vertical="center" wrapText="1"/>
    </xf>
    <xf numFmtId="3" fontId="24" fillId="0" borderId="65" xfId="0" applyNumberFormat="1" applyFont="1" applyFill="1" applyBorder="1" applyAlignment="1">
      <alignment vertical="center" wrapText="1"/>
    </xf>
    <xf numFmtId="3" fontId="24" fillId="0" borderId="62" xfId="0" applyNumberFormat="1" applyFont="1" applyFill="1" applyBorder="1" applyAlignment="1">
      <alignment horizontal="left" vertical="center" wrapText="1"/>
    </xf>
    <xf numFmtId="0" fontId="28" fillId="0" borderId="100" xfId="0" applyFont="1" applyFill="1" applyBorder="1" applyAlignment="1">
      <alignment vertical="center" shrinkToFit="1"/>
    </xf>
    <xf numFmtId="3" fontId="24" fillId="0" borderId="100" xfId="0" applyNumberFormat="1" applyFont="1" applyFill="1" applyBorder="1" applyAlignment="1">
      <alignment horizontal="left" vertical="center" wrapText="1"/>
    </xf>
    <xf numFmtId="0" fontId="28" fillId="0" borderId="101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28" fillId="0" borderId="73" xfId="0" applyFont="1" applyFill="1" applyBorder="1" applyAlignment="1">
      <alignment vertical="center"/>
    </xf>
    <xf numFmtId="0" fontId="26" fillId="0" borderId="102" xfId="0" applyFont="1" applyFill="1" applyBorder="1" applyAlignment="1">
      <alignment horizontal="center" vertical="center"/>
    </xf>
    <xf numFmtId="0" fontId="28" fillId="0" borderId="103" xfId="0" applyFont="1" applyFill="1" applyBorder="1" applyAlignment="1">
      <alignment horizontal="center" vertical="center" shrinkToFit="1"/>
    </xf>
    <xf numFmtId="3" fontId="28" fillId="0" borderId="104" xfId="0" applyNumberFormat="1" applyFont="1" applyFill="1" applyBorder="1" applyAlignment="1">
      <alignment horizontal="right" vertical="center" shrinkToFit="1"/>
    </xf>
    <xf numFmtId="3" fontId="26" fillId="0" borderId="83" xfId="0" applyNumberFormat="1" applyFont="1" applyFill="1" applyBorder="1" applyAlignment="1">
      <alignment horizontal="right" vertical="center" shrinkToFit="1"/>
    </xf>
    <xf numFmtId="0" fontId="28" fillId="0" borderId="105" xfId="0" applyFont="1" applyFill="1" applyBorder="1" applyAlignment="1">
      <alignment horizontal="center" vertical="center" shrinkToFit="1"/>
    </xf>
    <xf numFmtId="3" fontId="28" fillId="0" borderId="106" xfId="0" applyNumberFormat="1" applyFont="1" applyFill="1" applyBorder="1" applyAlignment="1">
      <alignment horizontal="right" vertical="center" shrinkToFit="1"/>
    </xf>
    <xf numFmtId="3" fontId="26" fillId="0" borderId="82" xfId="0" applyNumberFormat="1" applyFont="1" applyFill="1" applyBorder="1" applyAlignment="1">
      <alignment horizontal="right" vertical="center" shrinkToFit="1"/>
    </xf>
    <xf numFmtId="3" fontId="26" fillId="0" borderId="107" xfId="0" applyNumberFormat="1" applyFont="1" applyFill="1" applyBorder="1" applyAlignment="1">
      <alignment horizontal="right" vertical="center"/>
    </xf>
    <xf numFmtId="3" fontId="26" fillId="0" borderId="86" xfId="0" applyNumberFormat="1" applyFont="1" applyFill="1" applyBorder="1" applyAlignment="1">
      <alignment horizontal="right" vertical="center"/>
    </xf>
    <xf numFmtId="0" fontId="28" fillId="0" borderId="52" xfId="0" applyFont="1" applyFill="1" applyBorder="1" applyAlignment="1">
      <alignment vertical="center" shrinkToFit="1"/>
    </xf>
    <xf numFmtId="0" fontId="28" fillId="0" borderId="39" xfId="0" applyFont="1" applyFill="1" applyBorder="1" applyAlignment="1">
      <alignment horizontal="right" vertical="center" shrinkToFit="1"/>
    </xf>
    <xf numFmtId="0" fontId="26" fillId="0" borderId="108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 shrinkToFit="1"/>
    </xf>
    <xf numFmtId="0" fontId="28" fillId="0" borderId="110" xfId="0" applyFont="1" applyFill="1" applyBorder="1" applyAlignment="1">
      <alignment horizontal="center" vertical="center" shrinkToFit="1"/>
    </xf>
    <xf numFmtId="3" fontId="28" fillId="0" borderId="111" xfId="0" applyNumberFormat="1" applyFont="1" applyFill="1" applyBorder="1" applyAlignment="1">
      <alignment horizontal="right" vertical="center" shrinkToFit="1"/>
    </xf>
    <xf numFmtId="0" fontId="28" fillId="0" borderId="112" xfId="0" applyFont="1" applyFill="1" applyBorder="1" applyAlignment="1">
      <alignment horizontal="center" vertical="center" shrinkToFit="1"/>
    </xf>
    <xf numFmtId="3" fontId="26" fillId="0" borderId="90" xfId="0" applyNumberFormat="1" applyFont="1" applyFill="1" applyBorder="1" applyAlignment="1">
      <alignment horizontal="right" vertical="center" shrinkToFit="1"/>
    </xf>
    <xf numFmtId="3" fontId="26" fillId="0" borderId="113" xfId="0" applyNumberFormat="1" applyFont="1" applyFill="1" applyBorder="1" applyAlignment="1">
      <alignment horizontal="right" vertical="center" shrinkToFit="1"/>
    </xf>
    <xf numFmtId="3" fontId="26" fillId="0" borderId="114" xfId="0" applyNumberFormat="1" applyFont="1" applyFill="1" applyBorder="1" applyAlignment="1">
      <alignment horizontal="right" vertical="center" shrinkToFit="1"/>
    </xf>
    <xf numFmtId="3" fontId="28" fillId="0" borderId="0" xfId="0" applyNumberFormat="1" applyFont="1" applyFill="1" applyAlignment="1">
      <alignment vertical="center" shrinkToFit="1"/>
    </xf>
    <xf numFmtId="0" fontId="14" fillId="0" borderId="2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left" vertical="center" wrapText="1" indent="1"/>
    </xf>
    <xf numFmtId="0" fontId="14" fillId="0" borderId="115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34" fillId="0" borderId="56" xfId="0" applyFont="1" applyBorder="1" applyAlignment="1">
      <alignment horizontal="left" vertical="center" wrapText="1" indent="1"/>
    </xf>
    <xf numFmtId="0" fontId="14" fillId="0" borderId="38" xfId="0" applyFont="1" applyBorder="1" applyAlignment="1">
      <alignment vertical="center" wrapText="1"/>
    </xf>
    <xf numFmtId="0" fontId="14" fillId="0" borderId="78" xfId="0" applyFont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16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 wrapText="1"/>
    </xf>
    <xf numFmtId="0" fontId="45" fillId="0" borderId="117" xfId="0" applyFont="1" applyFill="1" applyBorder="1" applyAlignment="1">
      <alignment horizontal="center" vertical="center"/>
    </xf>
    <xf numFmtId="0" fontId="45" fillId="0" borderId="118" xfId="0" applyFont="1" applyFill="1" applyBorder="1" applyAlignment="1">
      <alignment horizontal="center" vertical="center"/>
    </xf>
    <xf numFmtId="3" fontId="24" fillId="43" borderId="22" xfId="0" applyNumberFormat="1" applyFont="1" applyFill="1" applyBorder="1" applyAlignment="1">
      <alignment horizontal="right" vertical="center" shrinkToFit="1"/>
    </xf>
    <xf numFmtId="3" fontId="25" fillId="43" borderId="84" xfId="0" applyNumberFormat="1" applyFont="1" applyFill="1" applyBorder="1" applyAlignment="1">
      <alignment horizontal="right" shrinkToFit="1"/>
    </xf>
    <xf numFmtId="0" fontId="40" fillId="43" borderId="22" xfId="0" applyFont="1" applyFill="1" applyBorder="1" applyAlignment="1">
      <alignment horizontal="justify" vertical="center" shrinkToFit="1"/>
    </xf>
    <xf numFmtId="3" fontId="41" fillId="0" borderId="0" xfId="0" applyNumberFormat="1" applyFont="1" applyFill="1" applyAlignment="1">
      <alignment horizontal="right" shrinkToFit="1"/>
    </xf>
    <xf numFmtId="0" fontId="5" fillId="0" borderId="0" xfId="0" applyFont="1" applyFill="1" applyAlignment="1">
      <alignment vertical="center" wrapText="1" shrinkToFit="1"/>
    </xf>
    <xf numFmtId="3" fontId="36" fillId="0" borderId="56" xfId="0" applyNumberFormat="1" applyFont="1" applyFill="1" applyBorder="1" applyAlignment="1" quotePrefix="1">
      <alignment horizontal="left" vertical="center" indent="2"/>
    </xf>
    <xf numFmtId="3" fontId="24" fillId="0" borderId="67" xfId="0" applyNumberFormat="1" applyFont="1" applyFill="1" applyBorder="1" applyAlignment="1" quotePrefix="1">
      <alignment horizontal="left" vertical="center" indent="1"/>
    </xf>
    <xf numFmtId="3" fontId="24" fillId="0" borderId="56" xfId="0" applyNumberFormat="1" applyFont="1" applyFill="1" applyBorder="1" applyAlignment="1" quotePrefix="1">
      <alignment horizontal="left" vertical="center" indent="1"/>
    </xf>
    <xf numFmtId="3" fontId="24" fillId="0" borderId="64" xfId="0" applyNumberFormat="1" applyFont="1" applyFill="1" applyBorder="1" applyAlignment="1" quotePrefix="1">
      <alignment horizontal="left" vertical="center" indent="1"/>
    </xf>
    <xf numFmtId="3" fontId="42" fillId="0" borderId="0" xfId="0" applyNumberFormat="1" applyFont="1" applyFill="1" applyAlignment="1">
      <alignment horizontal="justify" shrinkToFit="1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shrinkToFit="1"/>
    </xf>
    <xf numFmtId="2" fontId="24" fillId="0" borderId="69" xfId="0" applyNumberFormat="1" applyFont="1" applyFill="1" applyBorder="1" applyAlignment="1">
      <alignment vertical="center" wrapText="1"/>
    </xf>
    <xf numFmtId="3" fontId="25" fillId="0" borderId="69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Alignment="1">
      <alignment shrinkToFit="1"/>
    </xf>
    <xf numFmtId="49" fontId="14" fillId="0" borderId="7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119" xfId="0" applyNumberFormat="1" applyFont="1" applyFill="1" applyBorder="1" applyAlignment="1">
      <alignment horizontal="center" vertical="center"/>
    </xf>
    <xf numFmtId="3" fontId="14" fillId="0" borderId="65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shrinkToFit="1"/>
    </xf>
    <xf numFmtId="3" fontId="14" fillId="0" borderId="22" xfId="0" applyNumberFormat="1" applyFont="1" applyFill="1" applyBorder="1" applyAlignment="1">
      <alignment horizontal="center" vertical="center"/>
    </xf>
    <xf numFmtId="3" fontId="19" fillId="0" borderId="27" xfId="94" applyNumberFormat="1" applyFont="1" applyFill="1" applyBorder="1" applyAlignment="1">
      <alignment horizontal="right" vertical="center"/>
      <protection/>
    </xf>
    <xf numFmtId="3" fontId="19" fillId="0" borderId="27" xfId="94" applyNumberFormat="1" applyFont="1" applyFill="1" applyBorder="1" applyAlignment="1">
      <alignment vertical="center"/>
      <protection/>
    </xf>
    <xf numFmtId="3" fontId="21" fillId="0" borderId="33" xfId="94" applyNumberFormat="1" applyFont="1" applyFill="1" applyBorder="1" applyAlignment="1">
      <alignment horizontal="right" vertical="center"/>
      <protection/>
    </xf>
    <xf numFmtId="4" fontId="21" fillId="0" borderId="44" xfId="94" applyNumberFormat="1" applyFont="1" applyFill="1" applyBorder="1" applyAlignment="1">
      <alignment horizontal="right" vertical="center"/>
      <protection/>
    </xf>
    <xf numFmtId="3" fontId="19" fillId="0" borderId="33" xfId="94" applyNumberFormat="1" applyFont="1" applyFill="1" applyBorder="1" applyAlignment="1">
      <alignment horizontal="right" vertical="center"/>
      <protection/>
    </xf>
    <xf numFmtId="3" fontId="21" fillId="0" borderId="33" xfId="94" applyNumberFormat="1" applyFont="1" applyFill="1" applyBorder="1" applyAlignment="1">
      <alignment vertical="center"/>
      <protection/>
    </xf>
    <xf numFmtId="4" fontId="21" fillId="0" borderId="46" xfId="94" applyNumberFormat="1" applyFont="1" applyFill="1" applyBorder="1" applyAlignment="1">
      <alignment horizontal="right" vertical="center"/>
      <protection/>
    </xf>
    <xf numFmtId="3" fontId="19" fillId="0" borderId="35" xfId="94" applyNumberFormat="1" applyFont="1" applyFill="1" applyBorder="1" applyAlignment="1">
      <alignment horizontal="right" vertical="center"/>
      <protection/>
    </xf>
    <xf numFmtId="3" fontId="46" fillId="0" borderId="33" xfId="94" applyNumberFormat="1" applyFont="1" applyFill="1" applyBorder="1" applyAlignment="1">
      <alignment horizontal="right" vertical="center"/>
      <protection/>
    </xf>
    <xf numFmtId="4" fontId="46" fillId="0" borderId="46" xfId="94" applyNumberFormat="1" applyFont="1" applyFill="1" applyBorder="1" applyAlignment="1">
      <alignment horizontal="right" vertical="center"/>
      <protection/>
    </xf>
    <xf numFmtId="3" fontId="21" fillId="0" borderId="21" xfId="94" applyNumberFormat="1" applyFont="1" applyFill="1" applyBorder="1" applyAlignment="1">
      <alignment horizontal="right" vertical="center"/>
      <protection/>
    </xf>
    <xf numFmtId="4" fontId="21" fillId="0" borderId="40" xfId="94" applyNumberFormat="1" applyFont="1" applyFill="1" applyBorder="1" applyAlignment="1">
      <alignment horizontal="right" vertical="center"/>
      <protection/>
    </xf>
    <xf numFmtId="3" fontId="21" fillId="0" borderId="35" xfId="94" applyNumberFormat="1" applyFont="1" applyFill="1" applyBorder="1" applyAlignment="1">
      <alignment horizontal="right" vertical="center"/>
      <protection/>
    </xf>
    <xf numFmtId="3" fontId="21" fillId="0" borderId="35" xfId="94" applyNumberFormat="1" applyFont="1" applyFill="1" applyBorder="1" applyAlignment="1">
      <alignment vertical="center"/>
      <protection/>
    </xf>
    <xf numFmtId="3" fontId="21" fillId="0" borderId="22" xfId="94" applyNumberFormat="1" applyFont="1" applyFill="1" applyBorder="1" applyAlignment="1">
      <alignment horizontal="right" vertical="center"/>
      <protection/>
    </xf>
    <xf numFmtId="3" fontId="21" fillId="0" borderId="29" xfId="94" applyNumberFormat="1" applyFont="1" applyFill="1" applyBorder="1" applyAlignment="1">
      <alignment horizontal="right" vertical="center"/>
      <protection/>
    </xf>
    <xf numFmtId="4" fontId="21" fillId="0" borderId="45" xfId="94" applyNumberFormat="1" applyFont="1" applyFill="1" applyBorder="1" applyAlignment="1">
      <alignment horizontal="right" vertical="center"/>
      <protection/>
    </xf>
    <xf numFmtId="4" fontId="21" fillId="0" borderId="48" xfId="94" applyNumberFormat="1" applyFont="1" applyFill="1" applyBorder="1" applyAlignment="1">
      <alignment horizontal="right" vertical="center"/>
      <protection/>
    </xf>
    <xf numFmtId="3" fontId="46" fillId="0" borderId="27" xfId="94" applyNumberFormat="1" applyFont="1" applyFill="1" applyBorder="1" applyAlignment="1">
      <alignment vertical="center"/>
      <protection/>
    </xf>
    <xf numFmtId="4" fontId="46" fillId="0" borderId="44" xfId="94" applyNumberFormat="1" applyFont="1" applyFill="1" applyBorder="1" applyAlignment="1">
      <alignment horizontal="right" vertical="center"/>
      <protection/>
    </xf>
    <xf numFmtId="3" fontId="21" fillId="0" borderId="25" xfId="94" applyNumberFormat="1" applyFont="1" applyFill="1" applyBorder="1" applyAlignment="1">
      <alignment horizontal="right" vertical="center"/>
      <protection/>
    </xf>
    <xf numFmtId="3" fontId="19" fillId="0" borderId="31" xfId="94" applyNumberFormat="1" applyFont="1" applyFill="1" applyBorder="1" applyAlignment="1">
      <alignment vertical="center"/>
      <protection/>
    </xf>
    <xf numFmtId="3" fontId="19" fillId="0" borderId="31" xfId="94" applyNumberFormat="1" applyFont="1" applyFill="1" applyBorder="1" applyAlignment="1">
      <alignment horizontal="right" vertical="center"/>
      <protection/>
    </xf>
    <xf numFmtId="3" fontId="21" fillId="0" borderId="31" xfId="94" applyNumberFormat="1" applyFont="1" applyFill="1" applyBorder="1" applyAlignment="1">
      <alignment horizontal="right" vertical="center"/>
      <protection/>
    </xf>
    <xf numFmtId="3" fontId="21" fillId="0" borderId="31" xfId="94" applyNumberFormat="1" applyFont="1" applyFill="1" applyBorder="1" applyAlignment="1">
      <alignment vertical="center"/>
      <protection/>
    </xf>
    <xf numFmtId="3" fontId="21" fillId="0" borderId="27" xfId="94" applyNumberFormat="1" applyFont="1" applyFill="1" applyBorder="1" applyAlignment="1">
      <alignment horizontal="right" vertical="center"/>
      <protection/>
    </xf>
    <xf numFmtId="3" fontId="36" fillId="0" borderId="64" xfId="0" applyNumberFormat="1" applyFont="1" applyFill="1" applyBorder="1" applyAlignment="1">
      <alignment horizontal="right" vertical="center"/>
    </xf>
    <xf numFmtId="3" fontId="36" fillId="0" borderId="66" xfId="0" applyNumberFormat="1" applyFont="1" applyFill="1" applyBorder="1" applyAlignment="1">
      <alignment horizontal="right" vertical="center"/>
    </xf>
    <xf numFmtId="4" fontId="21" fillId="0" borderId="47" xfId="94" applyNumberFormat="1" applyFont="1" applyFill="1" applyBorder="1" applyAlignment="1">
      <alignment horizontal="right" vertical="center"/>
      <protection/>
    </xf>
    <xf numFmtId="4" fontId="21" fillId="0" borderId="49" xfId="94" applyNumberFormat="1" applyFont="1" applyFill="1" applyBorder="1" applyAlignment="1">
      <alignment horizontal="right" vertical="center"/>
      <protection/>
    </xf>
    <xf numFmtId="3" fontId="36" fillId="0" borderId="41" xfId="0" applyNumberFormat="1" applyFont="1" applyFill="1" applyBorder="1" applyAlignment="1">
      <alignment horizontal="right" vertical="center"/>
    </xf>
    <xf numFmtId="3" fontId="36" fillId="0" borderId="57" xfId="0" applyNumberFormat="1" applyFont="1" applyFill="1" applyBorder="1" applyAlignment="1">
      <alignment horizontal="right" vertical="center"/>
    </xf>
    <xf numFmtId="3" fontId="46" fillId="0" borderId="25" xfId="94" applyNumberFormat="1" applyFont="1" applyFill="1" applyBorder="1" applyAlignment="1">
      <alignment horizontal="right" vertical="center"/>
      <protection/>
    </xf>
    <xf numFmtId="4" fontId="33" fillId="0" borderId="47" xfId="94" applyNumberFormat="1" applyFont="1" applyFill="1" applyBorder="1" applyAlignment="1">
      <alignment horizontal="right" vertical="center"/>
      <protection/>
    </xf>
    <xf numFmtId="4" fontId="33" fillId="0" borderId="46" xfId="94" applyNumberFormat="1" applyFont="1" applyFill="1" applyBorder="1" applyAlignment="1">
      <alignment horizontal="right" vertical="center"/>
      <protection/>
    </xf>
    <xf numFmtId="3" fontId="46" fillId="0" borderId="22" xfId="94" applyNumberFormat="1" applyFont="1" applyFill="1" applyBorder="1" applyAlignment="1">
      <alignment horizontal="right" vertical="center"/>
      <protection/>
    </xf>
    <xf numFmtId="4" fontId="33" fillId="0" borderId="41" xfId="94" applyNumberFormat="1" applyFont="1" applyFill="1" applyBorder="1" applyAlignment="1">
      <alignment horizontal="right" vertical="center"/>
      <protection/>
    </xf>
    <xf numFmtId="3" fontId="46" fillId="0" borderId="33" xfId="94" applyNumberFormat="1" applyFont="1" applyFill="1" applyBorder="1" applyAlignment="1">
      <alignment vertical="center"/>
      <protection/>
    </xf>
    <xf numFmtId="4" fontId="21" fillId="0" borderId="41" xfId="94" applyNumberFormat="1" applyFont="1" applyFill="1" applyBorder="1" applyAlignment="1">
      <alignment horizontal="right" vertical="center"/>
      <protection/>
    </xf>
    <xf numFmtId="0" fontId="48" fillId="0" borderId="19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 shrinkToFit="1"/>
    </xf>
    <xf numFmtId="3" fontId="46" fillId="0" borderId="22" xfId="94" applyNumberFormat="1" applyFont="1" applyFill="1" applyBorder="1" applyAlignment="1">
      <alignment vertical="center"/>
      <protection/>
    </xf>
    <xf numFmtId="4" fontId="33" fillId="0" borderId="42" xfId="94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 vertical="center" shrinkToFit="1"/>
    </xf>
    <xf numFmtId="3" fontId="46" fillId="0" borderId="31" xfId="94" applyNumberFormat="1" applyFont="1" applyFill="1" applyBorder="1" applyAlignment="1">
      <alignment horizontal="right" vertical="center"/>
      <protection/>
    </xf>
    <xf numFmtId="4" fontId="19" fillId="0" borderId="49" xfId="94" applyNumberFormat="1" applyFont="1" applyFill="1" applyBorder="1" applyAlignment="1">
      <alignment horizontal="right" vertical="center"/>
      <protection/>
    </xf>
    <xf numFmtId="3" fontId="46" fillId="0" borderId="35" xfId="94" applyNumberFormat="1" applyFont="1" applyFill="1" applyBorder="1" applyAlignment="1">
      <alignment vertical="center"/>
      <protection/>
    </xf>
    <xf numFmtId="2" fontId="21" fillId="0" borderId="45" xfId="94" applyNumberFormat="1" applyFont="1" applyFill="1" applyBorder="1" applyAlignment="1">
      <alignment horizontal="right" vertical="center"/>
      <protection/>
    </xf>
    <xf numFmtId="3" fontId="46" fillId="0" borderId="25" xfId="94" applyNumberFormat="1" applyFont="1" applyFill="1" applyBorder="1" applyAlignment="1">
      <alignment vertical="center"/>
      <protection/>
    </xf>
    <xf numFmtId="3" fontId="46" fillId="0" borderId="31" xfId="94" applyNumberFormat="1" applyFont="1" applyFill="1" applyBorder="1" applyAlignment="1">
      <alignment vertical="center"/>
      <protection/>
    </xf>
    <xf numFmtId="1" fontId="14" fillId="0" borderId="0" xfId="94" applyNumberFormat="1" applyFont="1" applyFill="1" applyAlignment="1">
      <alignment horizontal="right" vertical="center"/>
      <protection/>
    </xf>
    <xf numFmtId="4" fontId="21" fillId="0" borderId="0" xfId="94" applyNumberFormat="1" applyFont="1" applyFill="1" applyAlignment="1">
      <alignment horizontal="right" vertical="center"/>
      <protection/>
    </xf>
    <xf numFmtId="2" fontId="46" fillId="0" borderId="41" xfId="94" applyNumberFormat="1" applyFont="1" applyFill="1" applyBorder="1" applyAlignment="1">
      <alignment horizontal="right" vertical="center"/>
      <protection/>
    </xf>
    <xf numFmtId="2" fontId="33" fillId="0" borderId="41" xfId="94" applyNumberFormat="1" applyFont="1" applyFill="1" applyBorder="1" applyAlignment="1">
      <alignment vertical="center"/>
      <protection/>
    </xf>
    <xf numFmtId="3" fontId="21" fillId="0" borderId="0" xfId="94" applyNumberFormat="1" applyFont="1" applyFill="1" applyAlignment="1">
      <alignment vertical="center"/>
      <protection/>
    </xf>
    <xf numFmtId="3" fontId="22" fillId="0" borderId="0" xfId="94" applyNumberFormat="1" applyFont="1" applyFill="1" applyAlignment="1">
      <alignment vertical="center"/>
      <protection/>
    </xf>
    <xf numFmtId="2" fontId="46" fillId="0" borderId="49" xfId="94" applyNumberFormat="1" applyFont="1" applyFill="1" applyBorder="1" applyAlignment="1">
      <alignment horizontal="right" vertical="center"/>
      <protection/>
    </xf>
    <xf numFmtId="2" fontId="33" fillId="0" borderId="49" xfId="94" applyNumberFormat="1" applyFont="1" applyFill="1" applyBorder="1" applyAlignment="1">
      <alignment vertical="center"/>
      <protection/>
    </xf>
    <xf numFmtId="3" fontId="38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24" fillId="0" borderId="56" xfId="0" applyNumberFormat="1" applyFont="1" applyFill="1" applyBorder="1" applyAlignment="1">
      <alignment horizontal="left" vertical="center" wrapText="1"/>
    </xf>
    <xf numFmtId="3" fontId="14" fillId="0" borderId="64" xfId="0" applyNumberFormat="1" applyFont="1" applyFill="1" applyBorder="1" applyAlignment="1">
      <alignment horizontal="left" vertical="center"/>
    </xf>
    <xf numFmtId="3" fontId="14" fillId="0" borderId="59" xfId="0" applyNumberFormat="1" applyFont="1" applyFill="1" applyBorder="1" applyAlignment="1">
      <alignment horizontal="left" vertical="center"/>
    </xf>
    <xf numFmtId="3" fontId="14" fillId="0" borderId="19" xfId="0" applyNumberFormat="1" applyFont="1" applyFill="1" applyBorder="1" applyAlignment="1">
      <alignment horizontal="left" vertical="center"/>
    </xf>
    <xf numFmtId="3" fontId="14" fillId="0" borderId="67" xfId="0" applyNumberFormat="1" applyFont="1" applyFill="1" applyBorder="1" applyAlignment="1">
      <alignment horizontal="left" vertical="center"/>
    </xf>
    <xf numFmtId="3" fontId="14" fillId="0" borderId="67" xfId="0" applyNumberFormat="1" applyFont="1" applyFill="1" applyBorder="1" applyAlignment="1">
      <alignment horizontal="center" vertical="center"/>
    </xf>
    <xf numFmtId="4" fontId="19" fillId="0" borderId="48" xfId="94" applyNumberFormat="1" applyFont="1" applyFill="1" applyBorder="1" applyAlignment="1">
      <alignment horizontal="right" vertical="center"/>
      <protection/>
    </xf>
    <xf numFmtId="3" fontId="14" fillId="0" borderId="64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shrinkToFit="1"/>
    </xf>
    <xf numFmtId="3" fontId="14" fillId="0" borderId="120" xfId="0" applyNumberFormat="1" applyFont="1" applyFill="1" applyBorder="1" applyAlignment="1">
      <alignment horizontal="left" vertical="center" wrapText="1"/>
    </xf>
    <xf numFmtId="3" fontId="95" fillId="0" borderId="0" xfId="94" applyNumberFormat="1" applyFont="1" applyFill="1" applyAlignment="1">
      <alignment vertical="center"/>
      <protection/>
    </xf>
    <xf numFmtId="3" fontId="95" fillId="0" borderId="33" xfId="94" applyNumberFormat="1" applyFont="1" applyFill="1" applyBorder="1" applyAlignment="1">
      <alignment vertical="center"/>
      <protection/>
    </xf>
    <xf numFmtId="3" fontId="95" fillId="0" borderId="35" xfId="94" applyNumberFormat="1" applyFont="1" applyFill="1" applyBorder="1" applyAlignment="1">
      <alignment vertical="center"/>
      <protection/>
    </xf>
    <xf numFmtId="3" fontId="96" fillId="0" borderId="53" xfId="0" applyNumberFormat="1" applyFont="1" applyFill="1" applyBorder="1" applyAlignment="1">
      <alignment horizontal="left" vertical="center"/>
    </xf>
    <xf numFmtId="3" fontId="96" fillId="0" borderId="83" xfId="0" applyNumberFormat="1" applyFont="1" applyFill="1" applyBorder="1" applyAlignment="1">
      <alignment horizontal="left" vertical="center"/>
    </xf>
    <xf numFmtId="3" fontId="97" fillId="0" borderId="0" xfId="0" applyNumberFormat="1" applyFont="1" applyFill="1" applyBorder="1" applyAlignment="1">
      <alignment horizontal="right" vertical="center"/>
    </xf>
    <xf numFmtId="3" fontId="97" fillId="0" borderId="90" xfId="0" applyNumberFormat="1" applyFont="1" applyFill="1" applyBorder="1" applyAlignment="1">
      <alignment horizontal="right" vertical="center"/>
    </xf>
    <xf numFmtId="3" fontId="98" fillId="43" borderId="64" xfId="0" applyNumberFormat="1" applyFont="1" applyFill="1" applyBorder="1" applyAlignment="1">
      <alignment horizontal="right" vertical="center"/>
    </xf>
    <xf numFmtId="3" fontId="96" fillId="0" borderId="0" xfId="0" applyNumberFormat="1" applyFont="1" applyFill="1" applyAlignment="1">
      <alignment horizontal="right" vertical="center"/>
    </xf>
    <xf numFmtId="3" fontId="96" fillId="0" borderId="0" xfId="0" applyNumberFormat="1" applyFont="1" applyFill="1" applyAlignment="1">
      <alignment horizontal="left" vertical="center"/>
    </xf>
    <xf numFmtId="3" fontId="95" fillId="0" borderId="33" xfId="94" applyNumberFormat="1" applyFont="1" applyFill="1" applyBorder="1" applyAlignment="1">
      <alignment horizontal="right" vertical="center"/>
      <protection/>
    </xf>
    <xf numFmtId="3" fontId="95" fillId="0" borderId="35" xfId="94" applyNumberFormat="1" applyFont="1" applyFill="1" applyBorder="1" applyAlignment="1">
      <alignment horizontal="right" vertical="center"/>
      <protection/>
    </xf>
    <xf numFmtId="3" fontId="24" fillId="0" borderId="57" xfId="0" applyNumberFormat="1" applyFont="1" applyFill="1" applyBorder="1" applyAlignment="1">
      <alignment horizontal="right" vertical="center"/>
    </xf>
    <xf numFmtId="3" fontId="33" fillId="0" borderId="27" xfId="94" applyNumberFormat="1" applyFont="1" applyFill="1" applyBorder="1" applyAlignment="1">
      <alignment horizontal="left" vertical="center" indent="2"/>
      <protection/>
    </xf>
    <xf numFmtId="3" fontId="33" fillId="0" borderId="27" xfId="94" applyNumberFormat="1" applyFont="1" applyFill="1" applyBorder="1" applyAlignment="1">
      <alignment horizontal="right" vertical="center"/>
      <protection/>
    </xf>
    <xf numFmtId="3" fontId="33" fillId="0" borderId="27" xfId="94" applyNumberFormat="1" applyFont="1" applyFill="1" applyBorder="1" applyAlignment="1">
      <alignment vertical="center"/>
      <protection/>
    </xf>
    <xf numFmtId="3" fontId="19" fillId="0" borderId="31" xfId="94" applyNumberFormat="1" applyFont="1" applyFill="1" applyBorder="1" applyAlignment="1">
      <alignment horizontal="left" vertical="center" indent="1"/>
      <protection/>
    </xf>
    <xf numFmtId="3" fontId="25" fillId="0" borderId="62" xfId="0" applyNumberFormat="1" applyFont="1" applyFill="1" applyBorder="1" applyAlignment="1">
      <alignment horizontal="right" vertical="center"/>
    </xf>
    <xf numFmtId="3" fontId="24" fillId="0" borderId="62" xfId="0" applyNumberFormat="1" applyFont="1" applyFill="1" applyBorder="1" applyAlignment="1">
      <alignment horizontal="right" vertical="center"/>
    </xf>
    <xf numFmtId="3" fontId="24" fillId="0" borderId="62" xfId="0" applyNumberFormat="1" applyFont="1" applyFill="1" applyBorder="1" applyAlignment="1">
      <alignment vertical="center"/>
    </xf>
    <xf numFmtId="3" fontId="24" fillId="0" borderId="65" xfId="0" applyNumberFormat="1" applyFont="1" applyFill="1" applyBorder="1" applyAlignment="1">
      <alignment horizontal="right" vertical="center"/>
    </xf>
    <xf numFmtId="3" fontId="24" fillId="0" borderId="75" xfId="0" applyNumberFormat="1" applyFont="1" applyFill="1" applyBorder="1" applyAlignment="1">
      <alignment horizontal="right" vertical="center"/>
    </xf>
    <xf numFmtId="3" fontId="24" fillId="0" borderId="121" xfId="0" applyNumberFormat="1" applyFont="1" applyFill="1" applyBorder="1" applyAlignment="1">
      <alignment horizontal="right" vertical="center"/>
    </xf>
    <xf numFmtId="3" fontId="24" fillId="0" borderId="122" xfId="0" applyNumberFormat="1" applyFont="1" applyFill="1" applyBorder="1" applyAlignment="1">
      <alignment horizontal="right" vertical="center"/>
    </xf>
    <xf numFmtId="3" fontId="21" fillId="0" borderId="29" xfId="94" applyNumberFormat="1" applyFont="1" applyFill="1" applyBorder="1" applyAlignment="1">
      <alignment horizontal="left" vertical="center" wrapText="1"/>
      <protection/>
    </xf>
    <xf numFmtId="3" fontId="19" fillId="0" borderId="35" xfId="94" applyNumberFormat="1" applyFont="1" applyFill="1" applyBorder="1" applyAlignment="1">
      <alignment horizontal="left" vertical="center" wrapText="1" indent="1"/>
      <protection/>
    </xf>
    <xf numFmtId="3" fontId="33" fillId="0" borderId="35" xfId="94" applyNumberFormat="1" applyFont="1" applyFill="1" applyBorder="1" applyAlignment="1">
      <alignment horizontal="right" vertical="center"/>
      <protection/>
    </xf>
    <xf numFmtId="3" fontId="33" fillId="0" borderId="33" xfId="94" applyNumberFormat="1" applyFont="1" applyFill="1" applyBorder="1" applyAlignment="1">
      <alignment horizontal="left" vertical="center" indent="2"/>
      <protection/>
    </xf>
    <xf numFmtId="3" fontId="14" fillId="0" borderId="67" xfId="0" applyNumberFormat="1" applyFont="1" applyBorder="1" applyAlignment="1">
      <alignment vertical="center" wrapText="1"/>
    </xf>
    <xf numFmtId="3" fontId="16" fillId="0" borderId="63" xfId="0" applyNumberFormat="1" applyFont="1" applyBorder="1" applyAlignment="1">
      <alignment vertical="center" wrapText="1"/>
    </xf>
    <xf numFmtId="3" fontId="34" fillId="0" borderId="67" xfId="0" applyNumberFormat="1" applyFont="1" applyBorder="1" applyAlignment="1">
      <alignment vertical="center" wrapText="1"/>
    </xf>
    <xf numFmtId="3" fontId="34" fillId="0" borderId="56" xfId="0" applyNumberFormat="1" applyFont="1" applyBorder="1" applyAlignment="1">
      <alignment vertical="center" wrapText="1"/>
    </xf>
    <xf numFmtId="3" fontId="35" fillId="0" borderId="63" xfId="0" applyNumberFormat="1" applyFont="1" applyBorder="1" applyAlignment="1">
      <alignment vertical="center" wrapText="1"/>
    </xf>
    <xf numFmtId="49" fontId="36" fillId="0" borderId="56" xfId="0" applyNumberFormat="1" applyFont="1" applyFill="1" applyBorder="1" applyAlignment="1">
      <alignment horizontal="left" vertical="center" indent="1" shrinkToFit="1"/>
    </xf>
    <xf numFmtId="3" fontId="25" fillId="0" borderId="123" xfId="0" applyNumberFormat="1" applyFont="1" applyFill="1" applyBorder="1" applyAlignment="1">
      <alignment horizontal="right" vertical="center"/>
    </xf>
    <xf numFmtId="3" fontId="25" fillId="0" borderId="124" xfId="0" applyNumberFormat="1" applyFont="1" applyFill="1" applyBorder="1" applyAlignment="1">
      <alignment horizontal="right" vertical="center"/>
    </xf>
    <xf numFmtId="3" fontId="25" fillId="0" borderId="125" xfId="0" applyNumberFormat="1" applyFont="1" applyFill="1" applyBorder="1" applyAlignment="1">
      <alignment horizontal="right" vertical="center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70" xfId="0" applyNumberFormat="1" applyFont="1" applyFill="1" applyBorder="1" applyAlignment="1">
      <alignment horizontal="right" vertical="center"/>
    </xf>
    <xf numFmtId="3" fontId="25" fillId="0" borderId="41" xfId="0" applyNumberFormat="1" applyFont="1" applyFill="1" applyBorder="1" applyAlignment="1">
      <alignment horizontal="right" vertical="center"/>
    </xf>
    <xf numFmtId="3" fontId="36" fillId="0" borderId="62" xfId="0" applyNumberFormat="1" applyFont="1" applyFill="1" applyBorder="1" applyAlignment="1">
      <alignment horizontal="right" vertical="center"/>
    </xf>
    <xf numFmtId="3" fontId="36" fillId="0" borderId="65" xfId="0" applyNumberFormat="1" applyFont="1" applyFill="1" applyBorder="1" applyAlignment="1">
      <alignment horizontal="right" vertical="center"/>
    </xf>
    <xf numFmtId="3" fontId="19" fillId="0" borderId="22" xfId="94" applyNumberFormat="1" applyFont="1" applyFill="1" applyBorder="1" applyAlignment="1">
      <alignment horizontal="right" vertical="center"/>
      <protection/>
    </xf>
    <xf numFmtId="3" fontId="19" fillId="0" borderId="22" xfId="94" applyNumberFormat="1" applyFont="1" applyFill="1" applyBorder="1" applyAlignment="1">
      <alignment vertical="center"/>
      <protection/>
    </xf>
    <xf numFmtId="3" fontId="19" fillId="0" borderId="22" xfId="94" applyNumberFormat="1" applyFont="1" applyFill="1" applyBorder="1" applyAlignment="1">
      <alignment horizontal="left" vertical="center" wrapText="1" indent="1"/>
      <protection/>
    </xf>
    <xf numFmtId="3" fontId="33" fillId="0" borderId="25" xfId="94" applyNumberFormat="1" applyFont="1" applyFill="1" applyBorder="1" applyAlignment="1">
      <alignment horizontal="right" vertical="center"/>
      <protection/>
    </xf>
    <xf numFmtId="3" fontId="33" fillId="0" borderId="33" xfId="94" applyNumberFormat="1" applyFont="1" applyFill="1" applyBorder="1" applyAlignment="1">
      <alignment horizontal="right" vertical="center"/>
      <protection/>
    </xf>
    <xf numFmtId="3" fontId="33" fillId="0" borderId="22" xfId="94" applyNumberFormat="1" applyFont="1" applyFill="1" applyBorder="1" applyAlignment="1">
      <alignment horizontal="right" vertical="center"/>
      <protection/>
    </xf>
    <xf numFmtId="3" fontId="25" fillId="0" borderId="66" xfId="0" applyNumberFormat="1" applyFont="1" applyFill="1" applyBorder="1" applyAlignment="1">
      <alignment horizontal="right" vertical="center"/>
    </xf>
    <xf numFmtId="3" fontId="24" fillId="0" borderId="69" xfId="0" applyNumberFormat="1" applyFont="1" applyFill="1" applyBorder="1" applyAlignment="1">
      <alignment horizontal="right" vertical="center"/>
    </xf>
    <xf numFmtId="3" fontId="25" fillId="0" borderId="126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3" fontId="25" fillId="43" borderId="123" xfId="0" applyNumberFormat="1" applyFont="1" applyFill="1" applyBorder="1" applyAlignment="1">
      <alignment horizontal="right" vertical="center"/>
    </xf>
    <xf numFmtId="3" fontId="25" fillId="43" borderId="67" xfId="0" applyNumberFormat="1" applyFont="1" applyFill="1" applyBorder="1" applyAlignment="1">
      <alignment horizontal="right" vertical="center"/>
    </xf>
    <xf numFmtId="3" fontId="24" fillId="0" borderId="68" xfId="0" applyNumberFormat="1" applyFont="1" applyFill="1" applyBorder="1" applyAlignment="1">
      <alignment horizontal="right" vertical="center"/>
    </xf>
    <xf numFmtId="3" fontId="25" fillId="43" borderId="27" xfId="0" applyNumberFormat="1" applyFont="1" applyFill="1" applyBorder="1" applyAlignment="1">
      <alignment horizontal="right" vertical="center"/>
    </xf>
    <xf numFmtId="3" fontId="24" fillId="0" borderId="119" xfId="0" applyNumberFormat="1" applyFont="1" applyFill="1" applyBorder="1" applyAlignment="1">
      <alignment horizontal="right" vertical="center"/>
    </xf>
    <xf numFmtId="3" fontId="24" fillId="0" borderId="44" xfId="0" applyNumberFormat="1" applyFont="1" applyFill="1" applyBorder="1" applyAlignment="1">
      <alignment horizontal="right" vertical="center"/>
    </xf>
    <xf numFmtId="3" fontId="13" fillId="0" borderId="33" xfId="94" applyNumberFormat="1" applyFont="1" applyFill="1" applyBorder="1" applyAlignment="1">
      <alignment horizontal="left" vertical="center" indent="1"/>
      <protection/>
    </xf>
    <xf numFmtId="3" fontId="15" fillId="0" borderId="21" xfId="94" applyNumberFormat="1" applyFont="1" applyFill="1" applyBorder="1" applyAlignment="1">
      <alignment horizontal="left" vertical="center"/>
      <protection/>
    </xf>
    <xf numFmtId="3" fontId="32" fillId="0" borderId="33" xfId="94" applyNumberFormat="1" applyFont="1" applyFill="1" applyBorder="1" applyAlignment="1">
      <alignment horizontal="left" vertical="center" indent="2"/>
      <protection/>
    </xf>
    <xf numFmtId="3" fontId="13" fillId="0" borderId="27" xfId="94" applyNumberFormat="1" applyFont="1" applyFill="1" applyBorder="1" applyAlignment="1">
      <alignment horizontal="left" vertical="center" indent="1"/>
      <protection/>
    </xf>
    <xf numFmtId="3" fontId="21" fillId="0" borderId="33" xfId="94" applyNumberFormat="1" applyFont="1" applyFill="1" applyBorder="1" applyAlignment="1">
      <alignment horizontal="left" vertical="center" indent="1"/>
      <protection/>
    </xf>
    <xf numFmtId="3" fontId="24" fillId="0" borderId="22" xfId="0" applyNumberFormat="1" applyFont="1" applyFill="1" applyBorder="1" applyAlignment="1">
      <alignment horizontal="right" vertical="center"/>
    </xf>
    <xf numFmtId="3" fontId="24" fillId="43" borderId="70" xfId="0" applyNumberFormat="1" applyFont="1" applyFill="1" applyBorder="1" applyAlignment="1">
      <alignment horizontal="right" vertical="center"/>
    </xf>
    <xf numFmtId="3" fontId="24" fillId="0" borderId="41" xfId="0" applyNumberFormat="1" applyFont="1" applyFill="1" applyBorder="1" applyAlignment="1">
      <alignment horizontal="right" vertical="center"/>
    </xf>
    <xf numFmtId="3" fontId="21" fillId="0" borderId="29" xfId="94" applyNumberFormat="1" applyFont="1" applyFill="1" applyBorder="1" applyAlignment="1">
      <alignment horizontal="left" vertical="center"/>
      <protection/>
    </xf>
    <xf numFmtId="49" fontId="24" fillId="0" borderId="56" xfId="0" applyNumberFormat="1" applyFont="1" applyFill="1" applyBorder="1" applyAlignment="1">
      <alignment vertical="center" shrinkToFit="1"/>
    </xf>
    <xf numFmtId="3" fontId="19" fillId="0" borderId="23" xfId="94" applyNumberFormat="1" applyFont="1" applyFill="1" applyBorder="1" applyAlignment="1">
      <alignment horizontal="right" vertical="center"/>
      <protection/>
    </xf>
    <xf numFmtId="3" fontId="21" fillId="0" borderId="23" xfId="94" applyNumberFormat="1" applyFont="1" applyFill="1" applyBorder="1" applyAlignment="1">
      <alignment horizontal="right" vertical="center"/>
      <protection/>
    </xf>
    <xf numFmtId="3" fontId="21" fillId="0" borderId="29" xfId="94" applyNumberFormat="1" applyFont="1" applyFill="1" applyBorder="1" applyAlignment="1">
      <alignment horizontal="left" vertical="center" indent="1"/>
      <protection/>
    </xf>
    <xf numFmtId="3" fontId="14" fillId="0" borderId="56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vertical="center" shrinkToFit="1"/>
    </xf>
    <xf numFmtId="0" fontId="37" fillId="0" borderId="0" xfId="0" applyFont="1" applyFill="1" applyAlignment="1">
      <alignment vertical="center" shrinkToFit="1"/>
    </xf>
    <xf numFmtId="3" fontId="14" fillId="0" borderId="0" xfId="0" applyNumberFormat="1" applyFont="1" applyFill="1" applyAlignment="1">
      <alignment horizontal="right" vertical="center" shrinkToFit="1"/>
    </xf>
    <xf numFmtId="3" fontId="21" fillId="0" borderId="35" xfId="94" applyNumberFormat="1" applyFont="1" applyFill="1" applyBorder="1" applyAlignment="1">
      <alignment horizontal="left" vertical="center" indent="1"/>
      <protection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49" fontId="14" fillId="0" borderId="0" xfId="0" applyNumberFormat="1" applyFont="1" applyFill="1" applyAlignment="1">
      <alignment vertical="center" shrinkToFit="1"/>
    </xf>
    <xf numFmtId="0" fontId="7" fillId="0" borderId="50" xfId="0" applyFont="1" applyFill="1" applyBorder="1" applyAlignment="1">
      <alignment vertical="center" shrinkToFit="1"/>
    </xf>
    <xf numFmtId="0" fontId="7" fillId="0" borderId="51" xfId="0" applyFont="1" applyFill="1" applyBorder="1" applyAlignment="1">
      <alignment horizontal="center" vertical="center" shrinkToFit="1"/>
    </xf>
    <xf numFmtId="49" fontId="25" fillId="0" borderId="2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25" fillId="0" borderId="22" xfId="0" applyNumberFormat="1" applyFont="1" applyFill="1" applyBorder="1" applyAlignment="1">
      <alignment vertical="center" shrinkToFit="1"/>
    </xf>
    <xf numFmtId="49" fontId="24" fillId="0" borderId="64" xfId="0" applyNumberFormat="1" applyFont="1" applyFill="1" applyBorder="1" applyAlignment="1">
      <alignment vertical="center" shrinkToFit="1"/>
    </xf>
    <xf numFmtId="0" fontId="24" fillId="0" borderId="56" xfId="0" applyFont="1" applyFill="1" applyBorder="1" applyAlignment="1">
      <alignment horizontal="justify" vertical="center" shrinkToFit="1"/>
    </xf>
    <xf numFmtId="0" fontId="24" fillId="0" borderId="64" xfId="0" applyFont="1" applyBorder="1" applyAlignment="1">
      <alignment/>
    </xf>
    <xf numFmtId="49" fontId="24" fillId="0" borderId="56" xfId="0" applyNumberFormat="1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vertical="center" wrapText="1"/>
    </xf>
    <xf numFmtId="49" fontId="25" fillId="0" borderId="67" xfId="0" applyNumberFormat="1" applyFont="1" applyFill="1" applyBorder="1" applyAlignment="1">
      <alignment vertical="center" shrinkToFit="1"/>
    </xf>
    <xf numFmtId="49" fontId="20" fillId="0" borderId="58" xfId="0" applyNumberFormat="1" applyFont="1" applyFill="1" applyBorder="1" applyAlignment="1">
      <alignment horizontal="left" vertical="center" indent="1" shrinkToFit="1"/>
    </xf>
    <xf numFmtId="49" fontId="24" fillId="0" borderId="56" xfId="0" applyNumberFormat="1" applyFont="1" applyFill="1" applyBorder="1" applyAlignment="1">
      <alignment horizontal="justify" vertical="center" shrinkToFit="1"/>
    </xf>
    <xf numFmtId="49" fontId="24" fillId="0" borderId="64" xfId="0" applyNumberFormat="1" applyFont="1" applyFill="1" applyBorder="1" applyAlignment="1">
      <alignment horizontal="justify" vertical="center" shrinkToFit="1"/>
    </xf>
    <xf numFmtId="0" fontId="7" fillId="0" borderId="87" xfId="0" applyFont="1" applyFill="1" applyBorder="1" applyAlignment="1">
      <alignment vertical="center" shrinkToFit="1"/>
    </xf>
    <xf numFmtId="0" fontId="7" fillId="0" borderId="61" xfId="0" applyFont="1" applyFill="1" applyBorder="1" applyAlignment="1">
      <alignment horizontal="center" vertical="center" shrinkToFit="1"/>
    </xf>
    <xf numFmtId="49" fontId="7" fillId="0" borderId="88" xfId="0" applyNumberFormat="1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3" fontId="21" fillId="0" borderId="21" xfId="94" applyNumberFormat="1" applyFont="1" applyFill="1" applyBorder="1" applyAlignment="1">
      <alignment horizontal="left" vertical="center"/>
      <protection/>
    </xf>
    <xf numFmtId="3" fontId="16" fillId="0" borderId="43" xfId="0" applyNumberFormat="1" applyFont="1" applyBorder="1" applyAlignment="1">
      <alignment vertical="center" wrapText="1"/>
    </xf>
    <xf numFmtId="3" fontId="16" fillId="0" borderId="127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vertical="center" wrapText="1"/>
    </xf>
    <xf numFmtId="3" fontId="16" fillId="0" borderId="57" xfId="0" applyNumberFormat="1" applyFont="1" applyBorder="1" applyAlignment="1">
      <alignment vertical="center" wrapText="1"/>
    </xf>
    <xf numFmtId="3" fontId="16" fillId="0" borderId="78" xfId="0" applyNumberFormat="1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3" fontId="25" fillId="0" borderId="84" xfId="0" applyNumberFormat="1" applyFont="1" applyFill="1" applyBorder="1" applyAlignment="1">
      <alignment horizontal="right" vertical="center"/>
    </xf>
    <xf numFmtId="3" fontId="25" fillId="0" borderId="128" xfId="0" applyNumberFormat="1" applyFont="1" applyFill="1" applyBorder="1" applyAlignment="1">
      <alignment horizontal="right" vertical="center"/>
    </xf>
    <xf numFmtId="3" fontId="25" fillId="0" borderId="85" xfId="0" applyNumberFormat="1" applyFont="1" applyFill="1" applyBorder="1" applyAlignment="1">
      <alignment horizontal="right" vertical="center"/>
    </xf>
    <xf numFmtId="3" fontId="21" fillId="0" borderId="22" xfId="94" applyNumberFormat="1" applyFont="1" applyFill="1" applyBorder="1" applyAlignment="1">
      <alignment horizontal="left" vertical="center"/>
      <protection/>
    </xf>
    <xf numFmtId="3" fontId="33" fillId="0" borderId="33" xfId="94" applyNumberFormat="1" applyFont="1" applyFill="1" applyBorder="1" applyAlignment="1">
      <alignment vertical="center"/>
      <protection/>
    </xf>
    <xf numFmtId="3" fontId="24" fillId="43" borderId="56" xfId="0" applyNumberFormat="1" applyFont="1" applyFill="1" applyBorder="1" applyAlignment="1">
      <alignment horizontal="right" vertical="center"/>
    </xf>
    <xf numFmtId="3" fontId="24" fillId="43" borderId="64" xfId="0" applyNumberFormat="1" applyFont="1" applyFill="1" applyBorder="1" applyAlignment="1">
      <alignment horizontal="right" vertical="center"/>
    </xf>
    <xf numFmtId="3" fontId="25" fillId="0" borderId="67" xfId="0" applyNumberFormat="1" applyFont="1" applyFill="1" applyBorder="1" applyAlignment="1">
      <alignment horizontal="right" vertical="center"/>
    </xf>
    <xf numFmtId="3" fontId="25" fillId="43" borderId="68" xfId="0" applyNumberFormat="1" applyFont="1" applyFill="1" applyBorder="1" applyAlignment="1">
      <alignment horizontal="right" vertical="center"/>
    </xf>
    <xf numFmtId="3" fontId="25" fillId="0" borderId="63" xfId="0" applyNumberFormat="1" applyFont="1" applyFill="1" applyBorder="1" applyAlignment="1">
      <alignment horizontal="right" vertical="center"/>
    </xf>
    <xf numFmtId="3" fontId="36" fillId="0" borderId="22" xfId="0" applyNumberFormat="1" applyFont="1" applyFill="1" applyBorder="1" applyAlignment="1">
      <alignment horizontal="right" vertical="center"/>
    </xf>
    <xf numFmtId="3" fontId="36" fillId="43" borderId="70" xfId="0" applyNumberFormat="1" applyFont="1" applyFill="1" applyBorder="1" applyAlignment="1">
      <alignment horizontal="right" vertical="center"/>
    </xf>
    <xf numFmtId="3" fontId="19" fillId="0" borderId="35" xfId="94" applyNumberFormat="1" applyFont="1" applyFill="1" applyBorder="1" applyAlignment="1">
      <alignment horizontal="left" vertical="center" indent="1" shrinkToFit="1"/>
      <protection/>
    </xf>
    <xf numFmtId="3" fontId="33" fillId="0" borderId="35" xfId="94" applyNumberFormat="1" applyFont="1" applyFill="1" applyBorder="1" applyAlignment="1">
      <alignment vertical="center"/>
      <protection/>
    </xf>
    <xf numFmtId="3" fontId="21" fillId="0" borderId="21" xfId="94" applyNumberFormat="1" applyFont="1" applyFill="1" applyBorder="1" applyAlignment="1">
      <alignment vertical="center" shrinkToFit="1"/>
      <protection/>
    </xf>
    <xf numFmtId="3" fontId="24" fillId="0" borderId="70" xfId="0" applyNumberFormat="1" applyFont="1" applyFill="1" applyBorder="1" applyAlignment="1">
      <alignment horizontal="right" vertical="center"/>
    </xf>
    <xf numFmtId="3" fontId="36" fillId="0" borderId="67" xfId="0" applyNumberFormat="1" applyFont="1" applyFill="1" applyBorder="1" applyAlignment="1">
      <alignment horizontal="right" vertical="center"/>
    </xf>
    <xf numFmtId="3" fontId="36" fillId="43" borderId="68" xfId="0" applyNumberFormat="1" applyFont="1" applyFill="1" applyBorder="1" applyAlignment="1">
      <alignment horizontal="right" vertical="center"/>
    </xf>
    <xf numFmtId="3" fontId="24" fillId="0" borderId="66" xfId="0" applyNumberFormat="1" applyFont="1" applyFill="1" applyBorder="1" applyAlignment="1">
      <alignment horizontal="right" vertical="center" shrinkToFit="1"/>
    </xf>
    <xf numFmtId="3" fontId="24" fillId="0" borderId="57" xfId="0" applyNumberFormat="1" applyFont="1" applyFill="1" applyBorder="1" applyAlignment="1">
      <alignment horizontal="right" vertical="center" shrinkToFit="1"/>
    </xf>
    <xf numFmtId="3" fontId="15" fillId="0" borderId="27" xfId="94" applyNumberFormat="1" applyFont="1" applyFill="1" applyBorder="1" applyAlignment="1">
      <alignment horizontal="left" vertical="center"/>
      <protection/>
    </xf>
    <xf numFmtId="3" fontId="24" fillId="0" borderId="29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25" fillId="0" borderId="45" xfId="0" applyNumberFormat="1" applyFont="1" applyBorder="1" applyAlignment="1">
      <alignment/>
    </xf>
    <xf numFmtId="3" fontId="19" fillId="0" borderId="129" xfId="94" applyNumberFormat="1" applyFont="1" applyFill="1" applyBorder="1" applyAlignment="1">
      <alignment horizontal="left" vertical="center" wrapText="1" indent="1"/>
      <protection/>
    </xf>
    <xf numFmtId="3" fontId="36" fillId="0" borderId="57" xfId="0" applyNumberFormat="1" applyFont="1" applyFill="1" applyBorder="1" applyAlignment="1">
      <alignment horizontal="right" vertical="center" shrinkToFit="1"/>
    </xf>
    <xf numFmtId="3" fontId="24" fillId="0" borderId="41" xfId="0" applyNumberFormat="1" applyFont="1" applyFill="1" applyBorder="1" applyAlignment="1">
      <alignment horizontal="right" vertical="center" shrinkToFit="1"/>
    </xf>
    <xf numFmtId="3" fontId="25" fillId="0" borderId="41" xfId="0" applyNumberFormat="1" applyFont="1" applyFill="1" applyBorder="1" applyAlignment="1">
      <alignment horizontal="right" vertical="center" shrinkToFit="1"/>
    </xf>
    <xf numFmtId="3" fontId="25" fillId="0" borderId="63" xfId="0" applyNumberFormat="1" applyFont="1" applyFill="1" applyBorder="1" applyAlignment="1">
      <alignment horizontal="right" vertical="center" shrinkToFit="1"/>
    </xf>
    <xf numFmtId="3" fontId="7" fillId="0" borderId="130" xfId="0" applyNumberFormat="1" applyFont="1" applyFill="1" applyBorder="1" applyAlignment="1">
      <alignment horizontal="right" vertical="center" shrinkToFit="1"/>
    </xf>
    <xf numFmtId="3" fontId="7" fillId="0" borderId="85" xfId="0" applyNumberFormat="1" applyFont="1" applyFill="1" applyBorder="1" applyAlignment="1">
      <alignment horizontal="right" vertical="center" shrinkToFit="1"/>
    </xf>
    <xf numFmtId="3" fontId="24" fillId="0" borderId="45" xfId="0" applyNumberFormat="1" applyFont="1" applyFill="1" applyBorder="1" applyAlignment="1">
      <alignment horizontal="center" vertical="center" shrinkToFit="1"/>
    </xf>
    <xf numFmtId="3" fontId="25" fillId="0" borderId="40" xfId="0" applyNumberFormat="1" applyFont="1" applyFill="1" applyBorder="1" applyAlignment="1">
      <alignment horizontal="right" vertical="center" shrinkToFit="1"/>
    </xf>
    <xf numFmtId="3" fontId="20" fillId="0" borderId="41" xfId="0" applyNumberFormat="1" applyFont="1" applyFill="1" applyBorder="1" applyAlignment="1">
      <alignment horizontal="right" vertical="center" shrinkToFit="1"/>
    </xf>
    <xf numFmtId="3" fontId="19" fillId="0" borderId="0" xfId="94" applyNumberFormat="1" applyFont="1" applyFill="1" applyBorder="1" applyAlignment="1">
      <alignment vertical="center"/>
      <protection/>
    </xf>
    <xf numFmtId="3" fontId="33" fillId="0" borderId="25" xfId="94" applyNumberFormat="1" applyFont="1" applyFill="1" applyBorder="1" applyAlignment="1">
      <alignment vertical="center"/>
      <protection/>
    </xf>
    <xf numFmtId="3" fontId="33" fillId="0" borderId="22" xfId="94" applyNumberFormat="1" applyFont="1" applyFill="1" applyBorder="1" applyAlignment="1">
      <alignment vertical="center"/>
      <protection/>
    </xf>
    <xf numFmtId="3" fontId="33" fillId="0" borderId="31" xfId="94" applyNumberFormat="1" applyFont="1" applyFill="1" applyBorder="1" applyAlignment="1">
      <alignment vertical="center"/>
      <protection/>
    </xf>
    <xf numFmtId="3" fontId="19" fillId="0" borderId="0" xfId="94" applyNumberFormat="1" applyFont="1" applyFill="1" applyAlignment="1">
      <alignment vertical="center"/>
      <protection/>
    </xf>
    <xf numFmtId="3" fontId="20" fillId="0" borderId="0" xfId="94" applyNumberFormat="1" applyFont="1" applyFill="1" applyAlignment="1">
      <alignment vertical="center"/>
      <protection/>
    </xf>
    <xf numFmtId="3" fontId="33" fillId="0" borderId="35" xfId="94" applyNumberFormat="1" applyFont="1" applyFill="1" applyBorder="1" applyAlignment="1">
      <alignment horizontal="left" vertical="center" indent="2"/>
      <protection/>
    </xf>
    <xf numFmtId="3" fontId="21" fillId="0" borderId="0" xfId="94" applyNumberFormat="1" applyFont="1" applyFill="1" applyBorder="1" applyAlignment="1">
      <alignment vertical="center"/>
      <protection/>
    </xf>
    <xf numFmtId="3" fontId="46" fillId="0" borderId="35" xfId="94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3" fontId="25" fillId="43" borderId="0" xfId="0" applyNumberFormat="1" applyFont="1" applyFill="1" applyBorder="1" applyAlignment="1">
      <alignment horizontal="right" vertical="center"/>
    </xf>
    <xf numFmtId="3" fontId="25" fillId="0" borderId="90" xfId="0" applyNumberFormat="1" applyFont="1" applyFill="1" applyBorder="1" applyAlignment="1">
      <alignment horizontal="right" vertical="center"/>
    </xf>
    <xf numFmtId="3" fontId="25" fillId="0" borderId="53" xfId="0" applyNumberFormat="1" applyFont="1" applyFill="1" applyBorder="1" applyAlignment="1">
      <alignment horizontal="left" vertical="center"/>
    </xf>
    <xf numFmtId="3" fontId="25" fillId="43" borderId="0" xfId="0" applyNumberFormat="1" applyFont="1" applyFill="1" applyBorder="1" applyAlignment="1">
      <alignment horizontal="left" vertical="center"/>
    </xf>
    <xf numFmtId="3" fontId="25" fillId="0" borderId="90" xfId="0" applyNumberFormat="1" applyFont="1" applyFill="1" applyBorder="1" applyAlignment="1">
      <alignment horizontal="left" vertical="center"/>
    </xf>
    <xf numFmtId="3" fontId="19" fillId="0" borderId="33" xfId="94" applyNumberFormat="1" applyFont="1" applyFill="1" applyBorder="1" applyAlignment="1">
      <alignment vertical="center" wrapText="1"/>
      <protection/>
    </xf>
    <xf numFmtId="3" fontId="25" fillId="0" borderId="68" xfId="0" applyNumberFormat="1" applyFont="1" applyFill="1" applyBorder="1" applyAlignment="1">
      <alignment horizontal="right" vertical="center"/>
    </xf>
    <xf numFmtId="3" fontId="24" fillId="43" borderId="75" xfId="0" applyNumberFormat="1" applyFont="1" applyFill="1" applyBorder="1" applyAlignment="1">
      <alignment horizontal="right" vertical="center"/>
    </xf>
    <xf numFmtId="3" fontId="39" fillId="0" borderId="22" xfId="0" applyNumberFormat="1" applyFont="1" applyFill="1" applyBorder="1" applyAlignment="1">
      <alignment horizontal="right" vertical="center"/>
    </xf>
    <xf numFmtId="3" fontId="39" fillId="0" borderId="70" xfId="0" applyNumberFormat="1" applyFont="1" applyFill="1" applyBorder="1" applyAlignment="1">
      <alignment horizontal="right" vertical="center"/>
    </xf>
    <xf numFmtId="3" fontId="39" fillId="0" borderId="41" xfId="0" applyNumberFormat="1" applyFont="1" applyFill="1" applyBorder="1" applyAlignment="1">
      <alignment horizontal="right" vertical="center"/>
    </xf>
    <xf numFmtId="3" fontId="39" fillId="0" borderId="56" xfId="0" applyNumberFormat="1" applyFont="1" applyFill="1" applyBorder="1" applyAlignment="1">
      <alignment horizontal="right" vertical="center"/>
    </xf>
    <xf numFmtId="3" fontId="39" fillId="0" borderId="62" xfId="0" applyNumberFormat="1" applyFont="1" applyFill="1" applyBorder="1" applyAlignment="1">
      <alignment horizontal="right" vertical="center"/>
    </xf>
    <xf numFmtId="3" fontId="39" fillId="0" borderId="57" xfId="0" applyNumberFormat="1" applyFont="1" applyFill="1" applyBorder="1" applyAlignment="1">
      <alignment horizontal="right" vertical="center"/>
    </xf>
    <xf numFmtId="3" fontId="39" fillId="0" borderId="27" xfId="0" applyNumberFormat="1" applyFont="1" applyFill="1" applyBorder="1" applyAlignment="1">
      <alignment horizontal="right" vertical="center"/>
    </xf>
    <xf numFmtId="3" fontId="39" fillId="0" borderId="119" xfId="0" applyNumberFormat="1" applyFont="1" applyFill="1" applyBorder="1" applyAlignment="1">
      <alignment horizontal="right" vertical="center"/>
    </xf>
    <xf numFmtId="3" fontId="39" fillId="0" borderId="44" xfId="0" applyNumberFormat="1" applyFont="1" applyFill="1" applyBorder="1" applyAlignment="1">
      <alignment horizontal="right" vertical="center"/>
    </xf>
    <xf numFmtId="3" fontId="36" fillId="0" borderId="70" xfId="0" applyNumberFormat="1" applyFont="1" applyFill="1" applyBorder="1" applyAlignment="1">
      <alignment horizontal="right" vertical="center"/>
    </xf>
    <xf numFmtId="3" fontId="36" fillId="0" borderId="42" xfId="0" applyNumberFormat="1" applyFont="1" applyFill="1" applyBorder="1" applyAlignment="1">
      <alignment horizontal="right" vertical="center"/>
    </xf>
    <xf numFmtId="3" fontId="25" fillId="0" borderId="29" xfId="0" applyNumberFormat="1" applyFont="1" applyFill="1" applyBorder="1" applyAlignment="1">
      <alignment horizontal="right" vertical="center"/>
    </xf>
    <xf numFmtId="3" fontId="25" fillId="0" borderId="45" xfId="0" applyNumberFormat="1" applyFont="1" applyFill="1" applyBorder="1" applyAlignment="1">
      <alignment horizontal="right" vertical="center"/>
    </xf>
    <xf numFmtId="3" fontId="25" fillId="0" borderId="21" xfId="0" applyNumberFormat="1" applyFont="1" applyFill="1" applyBorder="1" applyAlignment="1">
      <alignment horizontal="right" vertical="center"/>
    </xf>
    <xf numFmtId="3" fontId="25" fillId="0" borderId="40" xfId="0" applyNumberFormat="1" applyFont="1" applyFill="1" applyBorder="1" applyAlignment="1">
      <alignment horizontal="right" vertical="center"/>
    </xf>
    <xf numFmtId="3" fontId="25" fillId="0" borderId="23" xfId="0" applyNumberFormat="1" applyFont="1" applyFill="1" applyBorder="1" applyAlignment="1">
      <alignment horizontal="right" vertical="center"/>
    </xf>
    <xf numFmtId="3" fontId="25" fillId="0" borderId="42" xfId="0" applyNumberFormat="1" applyFont="1" applyFill="1" applyBorder="1" applyAlignment="1">
      <alignment horizontal="right" vertical="center"/>
    </xf>
    <xf numFmtId="3" fontId="25" fillId="0" borderId="22" xfId="0" applyNumberFormat="1" applyFont="1" applyFill="1" applyBorder="1" applyAlignment="1">
      <alignment horizontal="left" vertical="center"/>
    </xf>
    <xf numFmtId="3" fontId="25" fillId="0" borderId="70" xfId="0" applyNumberFormat="1" applyFont="1" applyFill="1" applyBorder="1" applyAlignment="1">
      <alignment horizontal="left" vertical="center"/>
    </xf>
    <xf numFmtId="3" fontId="25" fillId="0" borderId="41" xfId="0" applyNumberFormat="1" applyFont="1" applyFill="1" applyBorder="1" applyAlignment="1">
      <alignment horizontal="left" vertical="center"/>
    </xf>
    <xf numFmtId="3" fontId="25" fillId="0" borderId="131" xfId="0" applyNumberFormat="1" applyFont="1" applyFill="1" applyBorder="1" applyAlignment="1">
      <alignment horizontal="right" vertical="center"/>
    </xf>
    <xf numFmtId="3" fontId="25" fillId="43" borderId="132" xfId="0" applyNumberFormat="1" applyFont="1" applyFill="1" applyBorder="1" applyAlignment="1">
      <alignment horizontal="right" vertical="center"/>
    </xf>
    <xf numFmtId="3" fontId="25" fillId="0" borderId="133" xfId="0" applyNumberFormat="1" applyFont="1" applyFill="1" applyBorder="1" applyAlignment="1">
      <alignment horizontal="right" vertical="center"/>
    </xf>
    <xf numFmtId="3" fontId="24" fillId="43" borderId="22" xfId="0" applyNumberFormat="1" applyFont="1" applyFill="1" applyBorder="1" applyAlignment="1">
      <alignment horizontal="right" vertical="center"/>
    </xf>
    <xf numFmtId="3" fontId="25" fillId="43" borderId="131" xfId="0" applyNumberFormat="1" applyFont="1" applyFill="1" applyBorder="1" applyAlignment="1">
      <alignment horizontal="right" vertical="center"/>
    </xf>
    <xf numFmtId="3" fontId="25" fillId="0" borderId="132" xfId="0" applyNumberFormat="1" applyFont="1" applyFill="1" applyBorder="1" applyAlignment="1">
      <alignment horizontal="right" vertical="center"/>
    </xf>
    <xf numFmtId="3" fontId="36" fillId="0" borderId="134" xfId="0" applyNumberFormat="1" applyFont="1" applyFill="1" applyBorder="1" applyAlignment="1">
      <alignment horizontal="right" vertical="center"/>
    </xf>
    <xf numFmtId="3" fontId="36" fillId="0" borderId="135" xfId="0" applyNumberFormat="1" applyFont="1" applyFill="1" applyBorder="1" applyAlignment="1">
      <alignment horizontal="right" vertical="center"/>
    </xf>
    <xf numFmtId="3" fontId="36" fillId="0" borderId="136" xfId="0" applyNumberFormat="1" applyFont="1" applyFill="1" applyBorder="1" applyAlignment="1">
      <alignment horizontal="right" vertical="center"/>
    </xf>
    <xf numFmtId="3" fontId="36" fillId="0" borderId="95" xfId="0" applyNumberFormat="1" applyFont="1" applyFill="1" applyBorder="1" applyAlignment="1">
      <alignment horizontal="right" vertical="center"/>
    </xf>
    <xf numFmtId="3" fontId="36" fillId="0" borderId="137" xfId="0" applyNumberFormat="1" applyFont="1" applyFill="1" applyBorder="1" applyAlignment="1">
      <alignment horizontal="right" vertical="center"/>
    </xf>
    <xf numFmtId="3" fontId="36" fillId="0" borderId="138" xfId="0" applyNumberFormat="1" applyFont="1" applyFill="1" applyBorder="1" applyAlignment="1">
      <alignment horizontal="right" vertical="center"/>
    </xf>
    <xf numFmtId="3" fontId="36" fillId="0" borderId="13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3" fontId="19" fillId="0" borderId="129" xfId="94" applyNumberFormat="1" applyFont="1" applyFill="1" applyBorder="1" applyAlignment="1">
      <alignment vertical="center" wrapText="1"/>
      <protection/>
    </xf>
    <xf numFmtId="3" fontId="25" fillId="0" borderId="58" xfId="0" applyNumberFormat="1" applyFont="1" applyFill="1" applyBorder="1" applyAlignment="1">
      <alignment horizontal="left" vertical="center"/>
    </xf>
    <xf numFmtId="3" fontId="36" fillId="0" borderId="71" xfId="0" applyNumberFormat="1" applyFont="1" applyFill="1" applyBorder="1" applyAlignment="1">
      <alignment horizontal="left" vertical="center" indent="1"/>
    </xf>
    <xf numFmtId="3" fontId="14" fillId="0" borderId="91" xfId="0" applyNumberFormat="1" applyFont="1" applyFill="1" applyBorder="1" applyAlignment="1">
      <alignment horizontal="center" vertical="center"/>
    </xf>
    <xf numFmtId="3" fontId="14" fillId="0" borderId="99" xfId="0" applyNumberFormat="1" applyFont="1" applyFill="1" applyBorder="1" applyAlignment="1">
      <alignment horizontal="center" vertical="center"/>
    </xf>
    <xf numFmtId="49" fontId="24" fillId="0" borderId="69" xfId="0" applyNumberFormat="1" applyFont="1" applyFill="1" applyBorder="1" applyAlignment="1">
      <alignment horizontal="justify" vertical="center" shrinkToFit="1"/>
    </xf>
    <xf numFmtId="3" fontId="24" fillId="0" borderId="126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Alignment="1">
      <alignment horizontal="right" vertical="center"/>
    </xf>
    <xf numFmtId="2" fontId="46" fillId="0" borderId="25" xfId="94" applyNumberFormat="1" applyFont="1" applyFill="1" applyBorder="1" applyAlignment="1">
      <alignment horizontal="right" vertical="center"/>
      <protection/>
    </xf>
    <xf numFmtId="4" fontId="19" fillId="0" borderId="0" xfId="94" applyNumberFormat="1" applyFont="1" applyFill="1" applyAlignment="1">
      <alignment vertical="center"/>
      <protection/>
    </xf>
    <xf numFmtId="3" fontId="19" fillId="0" borderId="140" xfId="94" applyNumberFormat="1" applyFont="1" applyFill="1" applyBorder="1" applyAlignment="1">
      <alignment horizontal="left" vertical="center" indent="1"/>
      <protection/>
    </xf>
    <xf numFmtId="1" fontId="13" fillId="0" borderId="31" xfId="94" applyNumberFormat="1" applyFont="1" applyFill="1" applyBorder="1" applyAlignment="1">
      <alignment horizontal="center" vertical="center"/>
      <protection/>
    </xf>
    <xf numFmtId="3" fontId="19" fillId="0" borderId="31" xfId="94" applyNumberFormat="1" applyFont="1" applyFill="1" applyBorder="1" applyAlignment="1">
      <alignment horizontal="left" vertical="center" indent="1" shrinkToFit="1"/>
      <protection/>
    </xf>
    <xf numFmtId="3" fontId="95" fillId="0" borderId="31" xfId="94" applyNumberFormat="1" applyFont="1" applyFill="1" applyBorder="1" applyAlignment="1">
      <alignment horizontal="right" vertical="center"/>
      <protection/>
    </xf>
    <xf numFmtId="3" fontId="95" fillId="0" borderId="31" xfId="94" applyNumberFormat="1" applyFont="1" applyFill="1" applyBorder="1" applyAlignment="1">
      <alignment vertical="center"/>
      <protection/>
    </xf>
    <xf numFmtId="164" fontId="13" fillId="0" borderId="31" xfId="94" applyNumberFormat="1" applyFont="1" applyFill="1" applyBorder="1" applyAlignment="1" quotePrefix="1">
      <alignment horizontal="center" vertical="center"/>
      <protection/>
    </xf>
    <xf numFmtId="49" fontId="24" fillId="0" borderId="64" xfId="0" applyNumberFormat="1" applyFont="1" applyFill="1" applyBorder="1" applyAlignment="1">
      <alignment vertical="center" wrapText="1"/>
    </xf>
    <xf numFmtId="3" fontId="13" fillId="0" borderId="27" xfId="94" applyNumberFormat="1" applyFont="1" applyFill="1" applyBorder="1" applyAlignment="1" quotePrefix="1">
      <alignment horizontal="left" vertical="center" wrapText="1" indent="1"/>
      <protection/>
    </xf>
    <xf numFmtId="3" fontId="14" fillId="0" borderId="74" xfId="0" applyNumberFormat="1" applyFont="1" applyFill="1" applyBorder="1" applyAlignment="1">
      <alignment horizontal="center" vertical="center"/>
    </xf>
    <xf numFmtId="3" fontId="14" fillId="0" borderId="75" xfId="0" applyNumberFormat="1" applyFont="1" applyFill="1" applyBorder="1" applyAlignment="1">
      <alignment horizontal="center" vertical="center"/>
    </xf>
    <xf numFmtId="3" fontId="14" fillId="0" borderId="75" xfId="0" applyNumberFormat="1" applyFont="1" applyFill="1" applyBorder="1" applyAlignment="1">
      <alignment horizontal="left" vertical="center"/>
    </xf>
    <xf numFmtId="3" fontId="25" fillId="0" borderId="35" xfId="0" applyNumberFormat="1" applyFont="1" applyFill="1" applyBorder="1" applyAlignment="1">
      <alignment horizontal="right" vertical="center"/>
    </xf>
    <xf numFmtId="3" fontId="25" fillId="43" borderId="140" xfId="0" applyNumberFormat="1" applyFont="1" applyFill="1" applyBorder="1" applyAlignment="1">
      <alignment horizontal="right" vertical="center"/>
    </xf>
    <xf numFmtId="3" fontId="25" fillId="0" borderId="48" xfId="0" applyNumberFormat="1" applyFont="1" applyFill="1" applyBorder="1" applyAlignment="1">
      <alignment horizontal="right" vertical="center"/>
    </xf>
    <xf numFmtId="3" fontId="24" fillId="43" borderId="121" xfId="0" applyNumberFormat="1" applyFont="1" applyFill="1" applyBorder="1" applyAlignment="1">
      <alignment horizontal="right" vertical="center"/>
    </xf>
    <xf numFmtId="3" fontId="14" fillId="0" borderId="60" xfId="0" applyNumberFormat="1" applyFont="1" applyFill="1" applyBorder="1" applyAlignment="1">
      <alignment horizontal="left" vertical="center"/>
    </xf>
    <xf numFmtId="3" fontId="14" fillId="0" borderId="71" xfId="0" applyNumberFormat="1" applyFont="1" applyFill="1" applyBorder="1" applyAlignment="1">
      <alignment horizontal="left" vertical="center"/>
    </xf>
    <xf numFmtId="3" fontId="14" fillId="0" borderId="56" xfId="0" applyNumberFormat="1" applyFont="1" applyFill="1" applyBorder="1" applyAlignment="1">
      <alignment horizontal="center" vertical="center"/>
    </xf>
    <xf numFmtId="3" fontId="14" fillId="0" borderId="95" xfId="0" applyNumberFormat="1" applyFont="1" applyFill="1" applyBorder="1" applyAlignment="1">
      <alignment horizontal="center" vertical="center"/>
    </xf>
    <xf numFmtId="3" fontId="24" fillId="0" borderId="58" xfId="95" applyNumberFormat="1" applyFont="1" applyFill="1" applyBorder="1" applyAlignment="1">
      <alignment horizontal="left" vertical="center" wrapText="1"/>
      <protection/>
    </xf>
    <xf numFmtId="3" fontId="98" fillId="43" borderId="22" xfId="0" applyNumberFormat="1" applyFont="1" applyFill="1" applyBorder="1" applyAlignment="1">
      <alignment horizontal="right" vertical="center"/>
    </xf>
    <xf numFmtId="3" fontId="24" fillId="0" borderId="27" xfId="0" applyNumberFormat="1" applyFont="1" applyFill="1" applyBorder="1" applyAlignment="1">
      <alignment horizontal="center" vertical="center"/>
    </xf>
    <xf numFmtId="3" fontId="24" fillId="0" borderId="56" xfId="95" applyNumberFormat="1" applyFont="1" applyFill="1" applyBorder="1" applyAlignment="1">
      <alignment horizontal="left" vertical="center" wrapText="1"/>
      <protection/>
    </xf>
    <xf numFmtId="3" fontId="98" fillId="43" borderId="56" xfId="0" applyNumberFormat="1" applyFont="1" applyFill="1" applyBorder="1" applyAlignment="1">
      <alignment horizontal="right" vertical="center"/>
    </xf>
    <xf numFmtId="3" fontId="19" fillId="0" borderId="22" xfId="94" applyNumberFormat="1" applyFont="1" applyFill="1" applyBorder="1" applyAlignment="1">
      <alignment vertical="center" wrapText="1"/>
      <protection/>
    </xf>
    <xf numFmtId="3" fontId="19" fillId="0" borderId="70" xfId="94" applyNumberFormat="1" applyFont="1" applyFill="1" applyBorder="1" applyAlignment="1">
      <alignment horizontal="left" vertical="center" wrapText="1" indent="1"/>
      <protection/>
    </xf>
    <xf numFmtId="3" fontId="24" fillId="0" borderId="75" xfId="95" applyNumberFormat="1" applyFont="1" applyFill="1" applyBorder="1" applyAlignment="1">
      <alignment horizontal="left" vertical="center" wrapText="1"/>
      <protection/>
    </xf>
    <xf numFmtId="3" fontId="98" fillId="43" borderId="75" xfId="0" applyNumberFormat="1" applyFont="1" applyFill="1" applyBorder="1" applyAlignment="1">
      <alignment horizontal="right" vertical="center"/>
    </xf>
    <xf numFmtId="3" fontId="14" fillId="0" borderId="91" xfId="0" applyNumberFormat="1" applyFont="1" applyFill="1" applyBorder="1" applyAlignment="1">
      <alignment horizontal="center" vertical="center"/>
    </xf>
    <xf numFmtId="2" fontId="24" fillId="0" borderId="64" xfId="0" applyNumberFormat="1" applyFont="1" applyFill="1" applyBorder="1" applyAlignment="1">
      <alignment vertical="center" wrapText="1"/>
    </xf>
    <xf numFmtId="3" fontId="25" fillId="0" borderId="64" xfId="0" applyNumberFormat="1" applyFont="1" applyFill="1" applyBorder="1" applyAlignment="1">
      <alignment horizontal="right" vertical="center" shrinkToFit="1"/>
    </xf>
    <xf numFmtId="3" fontId="25" fillId="0" borderId="141" xfId="0" applyNumberFormat="1" applyFont="1" applyFill="1" applyBorder="1" applyAlignment="1">
      <alignment horizontal="right" vertical="center" shrinkToFit="1"/>
    </xf>
    <xf numFmtId="3" fontId="25" fillId="0" borderId="126" xfId="0" applyNumberFormat="1" applyFont="1" applyFill="1" applyBorder="1" applyAlignment="1">
      <alignment horizontal="right" vertical="center" shrinkToFit="1"/>
    </xf>
    <xf numFmtId="3" fontId="14" fillId="0" borderId="142" xfId="0" applyNumberFormat="1" applyFont="1" applyFill="1" applyBorder="1" applyAlignment="1">
      <alignment horizontal="center" vertical="center"/>
    </xf>
    <xf numFmtId="3" fontId="14" fillId="0" borderId="69" xfId="0" applyNumberFormat="1" applyFont="1" applyFill="1" applyBorder="1" applyAlignment="1">
      <alignment horizontal="left" vertical="center" wrapText="1"/>
    </xf>
    <xf numFmtId="0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3" fontId="72" fillId="0" borderId="0" xfId="0" applyNumberFormat="1" applyFont="1" applyAlignment="1">
      <alignment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right"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3" fillId="0" borderId="36" xfId="0" applyNumberFormat="1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3" fontId="73" fillId="0" borderId="29" xfId="0" applyNumberFormat="1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/>
    </xf>
    <xf numFmtId="0" fontId="72" fillId="0" borderId="26" xfId="0" applyNumberFormat="1" applyFont="1" applyBorder="1" applyAlignment="1">
      <alignment horizontal="center" vertical="center" wrapText="1"/>
    </xf>
    <xf numFmtId="0" fontId="72" fillId="0" borderId="27" xfId="0" applyFont="1" applyBorder="1" applyAlignment="1">
      <alignment vertical="center" wrapText="1"/>
    </xf>
    <xf numFmtId="3" fontId="72" fillId="0" borderId="27" xfId="0" applyNumberFormat="1" applyFont="1" applyBorder="1" applyAlignment="1">
      <alignment vertical="center"/>
    </xf>
    <xf numFmtId="0" fontId="72" fillId="0" borderId="44" xfId="0" applyFont="1" applyBorder="1" applyAlignment="1">
      <alignment horizontal="center" vertical="center"/>
    </xf>
    <xf numFmtId="0" fontId="72" fillId="0" borderId="32" xfId="0" applyNumberFormat="1" applyFont="1" applyBorder="1" applyAlignment="1">
      <alignment horizontal="center" vertical="center" wrapText="1"/>
    </xf>
    <xf numFmtId="0" fontId="72" fillId="0" borderId="33" xfId="0" applyFont="1" applyBorder="1" applyAlignment="1">
      <alignment vertical="center" wrapText="1"/>
    </xf>
    <xf numFmtId="0" fontId="72" fillId="0" borderId="48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/>
    </xf>
    <xf numFmtId="0" fontId="72" fillId="0" borderId="34" xfId="0" applyNumberFormat="1" applyFont="1" applyBorder="1" applyAlignment="1">
      <alignment horizontal="center" vertical="center" wrapText="1"/>
    </xf>
    <xf numFmtId="0" fontId="72" fillId="0" borderId="35" xfId="0" applyFont="1" applyBorder="1" applyAlignment="1">
      <alignment vertical="center" wrapText="1"/>
    </xf>
    <xf numFmtId="3" fontId="72" fillId="0" borderId="22" xfId="0" applyNumberFormat="1" applyFont="1" applyBorder="1" applyAlignment="1">
      <alignment vertical="center"/>
    </xf>
    <xf numFmtId="3" fontId="72" fillId="0" borderId="35" xfId="0" applyNumberFormat="1" applyFont="1" applyBorder="1" applyAlignment="1">
      <alignment vertical="center"/>
    </xf>
    <xf numFmtId="0" fontId="72" fillId="0" borderId="30" xfId="0" applyNumberFormat="1" applyFont="1" applyBorder="1" applyAlignment="1">
      <alignment horizontal="center" vertical="center" wrapText="1"/>
    </xf>
    <xf numFmtId="0" fontId="72" fillId="0" borderId="31" xfId="0" applyFont="1" applyBorder="1" applyAlignment="1">
      <alignment vertical="center" wrapText="1"/>
    </xf>
    <xf numFmtId="3" fontId="72" fillId="0" borderId="31" xfId="0" applyNumberFormat="1" applyFont="1" applyBorder="1" applyAlignment="1">
      <alignment vertical="center"/>
    </xf>
    <xf numFmtId="0" fontId="72" fillId="0" borderId="49" xfId="0" applyFont="1" applyBorder="1" applyAlignment="1">
      <alignment horizontal="center" vertical="center" wrapText="1"/>
    </xf>
    <xf numFmtId="0" fontId="72" fillId="43" borderId="143" xfId="0" applyNumberFormat="1" applyFont="1" applyFill="1" applyBorder="1" applyAlignment="1">
      <alignment horizontal="center" vertical="center" wrapText="1"/>
    </xf>
    <xf numFmtId="0" fontId="73" fillId="0" borderId="144" xfId="0" applyFont="1" applyBorder="1" applyAlignment="1">
      <alignment horizontal="left" vertical="center" wrapText="1"/>
    </xf>
    <xf numFmtId="3" fontId="73" fillId="0" borderId="143" xfId="0" applyNumberFormat="1" applyFont="1" applyBorder="1" applyAlignment="1">
      <alignment horizontal="right" vertical="center" wrapText="1"/>
    </xf>
    <xf numFmtId="0" fontId="72" fillId="43" borderId="144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vertical="center"/>
    </xf>
    <xf numFmtId="49" fontId="14" fillId="0" borderId="67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26" fillId="0" borderId="145" xfId="0" applyFont="1" applyFill="1" applyBorder="1" applyAlignment="1">
      <alignment horizontal="left" vertical="center" shrinkToFit="1"/>
    </xf>
    <xf numFmtId="0" fontId="26" fillId="0" borderId="97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26" fillId="0" borderId="146" xfId="0" applyFont="1" applyFill="1" applyBorder="1" applyAlignment="1">
      <alignment horizontal="center" shrinkToFit="1"/>
    </xf>
    <xf numFmtId="0" fontId="26" fillId="0" borderId="147" xfId="0" applyFont="1" applyFill="1" applyBorder="1" applyAlignment="1">
      <alignment horizontal="center" shrinkToFit="1"/>
    </xf>
    <xf numFmtId="0" fontId="26" fillId="0" borderId="144" xfId="0" applyFont="1" applyFill="1" applyBorder="1" applyAlignment="1">
      <alignment horizontal="center" shrinkToFit="1"/>
    </xf>
    <xf numFmtId="0" fontId="26" fillId="0" borderId="148" xfId="0" applyFont="1" applyFill="1" applyBorder="1" applyAlignment="1">
      <alignment horizontal="left" vertical="center"/>
    </xf>
    <xf numFmtId="0" fontId="26" fillId="0" borderId="149" xfId="0" applyFont="1" applyFill="1" applyBorder="1" applyAlignment="1">
      <alignment horizontal="left" vertical="center"/>
    </xf>
    <xf numFmtId="2" fontId="25" fillId="0" borderId="145" xfId="0" applyNumberFormat="1" applyFont="1" applyFill="1" applyBorder="1" applyAlignment="1">
      <alignment horizontal="center" vertical="center" shrinkToFit="1"/>
    </xf>
    <xf numFmtId="2" fontId="25" fillId="0" borderId="150" xfId="0" applyNumberFormat="1" applyFont="1" applyFill="1" applyBorder="1" applyAlignment="1">
      <alignment horizontal="center" vertical="center" shrinkToFit="1"/>
    </xf>
    <xf numFmtId="2" fontId="25" fillId="0" borderId="148" xfId="0" applyNumberFormat="1" applyFont="1" applyFill="1" applyBorder="1" applyAlignment="1">
      <alignment horizontal="center" shrinkToFit="1"/>
    </xf>
    <xf numFmtId="2" fontId="25" fillId="0" borderId="151" xfId="0" applyNumberFormat="1" applyFont="1" applyFill="1" applyBorder="1" applyAlignment="1">
      <alignment horizontal="center" shrinkToFit="1"/>
    </xf>
    <xf numFmtId="0" fontId="25" fillId="0" borderId="148" xfId="0" applyFont="1" applyFill="1" applyBorder="1" applyAlignment="1">
      <alignment horizontal="center" vertical="center" shrinkToFit="1"/>
    </xf>
    <xf numFmtId="0" fontId="25" fillId="0" borderId="151" xfId="0" applyFont="1" applyFill="1" applyBorder="1" applyAlignment="1">
      <alignment horizontal="center" vertical="center" shrinkToFit="1"/>
    </xf>
    <xf numFmtId="0" fontId="25" fillId="43" borderId="146" xfId="0" applyFont="1" applyFill="1" applyBorder="1" applyAlignment="1">
      <alignment horizontal="center" vertical="center" shrinkToFit="1"/>
    </xf>
    <xf numFmtId="0" fontId="25" fillId="43" borderId="147" xfId="0" applyFont="1" applyFill="1" applyBorder="1" applyAlignment="1">
      <alignment horizontal="center" vertical="center" shrinkToFit="1"/>
    </xf>
    <xf numFmtId="0" fontId="25" fillId="43" borderId="144" xfId="0" applyFont="1" applyFill="1" applyBorder="1" applyAlignment="1">
      <alignment horizontal="center" vertical="center" shrinkToFit="1"/>
    </xf>
    <xf numFmtId="2" fontId="25" fillId="0" borderId="148" xfId="0" applyNumberFormat="1" applyFont="1" applyFill="1" applyBorder="1" applyAlignment="1">
      <alignment horizontal="center" vertical="center" shrinkToFit="1"/>
    </xf>
    <xf numFmtId="2" fontId="25" fillId="0" borderId="15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58" xfId="0" applyFont="1" applyFill="1" applyBorder="1" applyAlignment="1">
      <alignment horizontal="center" vertical="center" shrinkToFit="1"/>
    </xf>
    <xf numFmtId="0" fontId="25" fillId="0" borderId="90" xfId="0" applyFont="1" applyFill="1" applyBorder="1" applyAlignment="1">
      <alignment horizontal="center" vertical="center" shrinkToFit="1"/>
    </xf>
    <xf numFmtId="2" fontId="25" fillId="0" borderId="148" xfId="0" applyNumberFormat="1" applyFont="1" applyFill="1" applyBorder="1" applyAlignment="1">
      <alignment horizontal="left" vertical="center" wrapText="1" shrinkToFit="1"/>
    </xf>
    <xf numFmtId="2" fontId="25" fillId="0" borderId="151" xfId="0" applyNumberFormat="1" applyFont="1" applyFill="1" applyBorder="1" applyAlignment="1">
      <alignment horizontal="left" vertical="center" wrapText="1" shrinkToFit="1"/>
    </xf>
    <xf numFmtId="3" fontId="24" fillId="0" borderId="64" xfId="0" applyNumberFormat="1" applyFont="1" applyFill="1" applyBorder="1" applyAlignment="1">
      <alignment horizontal="left" vertical="center"/>
    </xf>
    <xf numFmtId="3" fontId="24" fillId="0" borderId="67" xfId="0" applyNumberFormat="1" applyFont="1" applyFill="1" applyBorder="1" applyAlignment="1">
      <alignment horizontal="left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25" fillId="0" borderId="152" xfId="0" applyNumberFormat="1" applyFont="1" applyFill="1" applyBorder="1" applyAlignment="1">
      <alignment horizontal="center" vertical="center"/>
    </xf>
    <xf numFmtId="3" fontId="25" fillId="0" borderId="153" xfId="0" applyNumberFormat="1" applyFont="1" applyFill="1" applyBorder="1" applyAlignment="1">
      <alignment horizontal="center" vertical="center"/>
    </xf>
    <xf numFmtId="3" fontId="25" fillId="0" borderId="154" xfId="0" applyNumberFormat="1" applyFont="1" applyFill="1" applyBorder="1" applyAlignment="1">
      <alignment horizontal="center" vertical="center"/>
    </xf>
    <xf numFmtId="3" fontId="14" fillId="0" borderId="58" xfId="0" applyNumberFormat="1" applyFont="1" applyFill="1" applyBorder="1" applyAlignment="1">
      <alignment horizontal="center" vertical="center"/>
    </xf>
    <xf numFmtId="3" fontId="14" fillId="0" borderId="67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 wrapText="1"/>
    </xf>
    <xf numFmtId="3" fontId="25" fillId="0" borderId="42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textRotation="1"/>
    </xf>
    <xf numFmtId="0" fontId="0" fillId="0" borderId="23" xfId="0" applyFont="1" applyBorder="1" applyAlignment="1">
      <alignment horizontal="center" vertical="center" textRotation="1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left" vertical="center"/>
    </xf>
    <xf numFmtId="3" fontId="16" fillId="0" borderId="99" xfId="0" applyNumberFormat="1" applyFont="1" applyFill="1" applyBorder="1" applyAlignment="1">
      <alignment horizontal="left" vertical="center"/>
    </xf>
    <xf numFmtId="3" fontId="16" fillId="0" borderId="71" xfId="0" applyNumberFormat="1" applyFont="1" applyFill="1" applyBorder="1" applyAlignment="1">
      <alignment horizontal="left" vertical="center"/>
    </xf>
    <xf numFmtId="3" fontId="14" fillId="0" borderId="64" xfId="0" applyNumberFormat="1" applyFont="1" applyFill="1" applyBorder="1" applyAlignment="1">
      <alignment horizontal="left" vertical="center"/>
    </xf>
    <xf numFmtId="3" fontId="14" fillId="0" borderId="67" xfId="0" applyNumberFormat="1" applyFont="1" applyFill="1" applyBorder="1" applyAlignment="1">
      <alignment horizontal="left" vertical="center"/>
    </xf>
    <xf numFmtId="3" fontId="36" fillId="0" borderId="65" xfId="0" applyNumberFormat="1" applyFont="1" applyFill="1" applyBorder="1" applyAlignment="1">
      <alignment horizontal="left" vertical="center"/>
    </xf>
    <xf numFmtId="3" fontId="36" fillId="0" borderId="99" xfId="0" applyNumberFormat="1" applyFont="1" applyFill="1" applyBorder="1" applyAlignment="1">
      <alignment horizontal="left" vertical="center"/>
    </xf>
    <xf numFmtId="3" fontId="36" fillId="0" borderId="55" xfId="0" applyNumberFormat="1" applyFont="1" applyFill="1" applyBorder="1" applyAlignment="1">
      <alignment horizontal="left" vertical="center"/>
    </xf>
    <xf numFmtId="3" fontId="16" fillId="0" borderId="55" xfId="0" applyNumberFormat="1" applyFont="1" applyFill="1" applyBorder="1" applyAlignment="1">
      <alignment horizontal="left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left" vertical="center"/>
    </xf>
    <xf numFmtId="3" fontId="24" fillId="0" borderId="56" xfId="0" applyNumberFormat="1" applyFont="1" applyFill="1" applyBorder="1" applyAlignment="1">
      <alignment horizontal="left" vertical="center"/>
    </xf>
    <xf numFmtId="3" fontId="16" fillId="0" borderId="155" xfId="0" applyNumberFormat="1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6" fillId="0" borderId="58" xfId="0" applyNumberFormat="1" applyFont="1" applyFill="1" applyBorder="1" applyAlignment="1">
      <alignment horizontal="left" vertical="center"/>
    </xf>
    <xf numFmtId="3" fontId="14" fillId="0" borderId="58" xfId="0" applyNumberFormat="1" applyFont="1" applyFill="1" applyBorder="1" applyAlignment="1">
      <alignment horizontal="center" vertical="center"/>
    </xf>
    <xf numFmtId="3" fontId="14" fillId="0" borderId="64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64" xfId="0" applyNumberFormat="1" applyFont="1" applyFill="1" applyBorder="1" applyAlignment="1">
      <alignment horizontal="left" vertical="center" wrapText="1"/>
    </xf>
    <xf numFmtId="3" fontId="14" fillId="0" borderId="67" xfId="0" applyNumberFormat="1" applyFont="1" applyFill="1" applyBorder="1" applyAlignment="1">
      <alignment horizontal="left" vertical="center" wrapText="1"/>
    </xf>
    <xf numFmtId="3" fontId="35" fillId="0" borderId="155" xfId="0" applyNumberFormat="1" applyFont="1" applyFill="1" applyBorder="1" applyAlignment="1">
      <alignment horizontal="center" vertical="center"/>
    </xf>
    <xf numFmtId="3" fontId="35" fillId="0" borderId="95" xfId="0" applyNumberFormat="1" applyFont="1" applyFill="1" applyBorder="1" applyAlignment="1">
      <alignment horizontal="center" vertical="center"/>
    </xf>
    <xf numFmtId="3" fontId="35" fillId="0" borderId="71" xfId="0" applyNumberFormat="1" applyFont="1" applyFill="1" applyBorder="1" applyAlignment="1">
      <alignment horizontal="center" vertical="center"/>
    </xf>
    <xf numFmtId="3" fontId="35" fillId="0" borderId="73" xfId="0" applyNumberFormat="1" applyFont="1" applyFill="1" applyBorder="1" applyAlignment="1">
      <alignment horizontal="center" vertical="center"/>
    </xf>
    <xf numFmtId="3" fontId="35" fillId="0" borderId="76" xfId="0" applyNumberFormat="1" applyFont="1" applyFill="1" applyBorder="1" applyAlignment="1">
      <alignment horizontal="center" vertical="center"/>
    </xf>
    <xf numFmtId="3" fontId="35" fillId="0" borderId="74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6" fillId="0" borderId="155" xfId="0" applyNumberFormat="1" applyFont="1" applyFill="1" applyBorder="1" applyAlignment="1">
      <alignment horizontal="center" vertical="center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71" xfId="0" applyNumberFormat="1" applyFont="1" applyFill="1" applyBorder="1" applyAlignment="1">
      <alignment horizontal="center" vertical="center"/>
    </xf>
    <xf numFmtId="3" fontId="25" fillId="0" borderId="148" xfId="0" applyNumberFormat="1" applyFont="1" applyFill="1" applyBorder="1" applyAlignment="1">
      <alignment horizontal="center" vertical="center"/>
    </xf>
    <xf numFmtId="3" fontId="25" fillId="0" borderId="156" xfId="0" applyNumberFormat="1" applyFont="1" applyFill="1" applyBorder="1" applyAlignment="1">
      <alignment horizontal="center" vertical="center"/>
    </xf>
    <xf numFmtId="3" fontId="25" fillId="0" borderId="151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3" fontId="16" fillId="0" borderId="157" xfId="0" applyNumberFormat="1" applyFont="1" applyFill="1" applyBorder="1" applyAlignment="1">
      <alignment horizontal="center" vertical="center"/>
    </xf>
    <xf numFmtId="3" fontId="16" fillId="0" borderId="158" xfId="0" applyNumberFormat="1" applyFont="1" applyFill="1" applyBorder="1" applyAlignment="1">
      <alignment horizontal="center" vertical="center"/>
    </xf>
    <xf numFmtId="3" fontId="16" fillId="0" borderId="153" xfId="0" applyNumberFormat="1" applyFont="1" applyFill="1" applyBorder="1" applyAlignment="1">
      <alignment horizontal="center" vertical="center"/>
    </xf>
    <xf numFmtId="3" fontId="16" fillId="0" borderId="154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3" fontId="16" fillId="0" borderId="60" xfId="0" applyNumberFormat="1" applyFont="1" applyFill="1" applyBorder="1" applyAlignment="1">
      <alignment horizontal="center" vertical="center"/>
    </xf>
    <xf numFmtId="3" fontId="16" fillId="0" borderId="159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left" vertical="center" wrapText="1"/>
    </xf>
    <xf numFmtId="0" fontId="25" fillId="0" borderId="160" xfId="0" applyFont="1" applyBorder="1" applyAlignment="1">
      <alignment horizontal="center" vertical="center" wrapText="1"/>
    </xf>
    <xf numFmtId="0" fontId="25" fillId="0" borderId="161" xfId="0" applyFont="1" applyBorder="1" applyAlignment="1">
      <alignment horizontal="center" vertical="center" wrapText="1"/>
    </xf>
    <xf numFmtId="0" fontId="25" fillId="0" borderId="162" xfId="0" applyFont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3" fontId="35" fillId="0" borderId="54" xfId="0" applyNumberFormat="1" applyFont="1" applyFill="1" applyBorder="1" applyAlignment="1">
      <alignment horizontal="center" vertical="center"/>
    </xf>
    <xf numFmtId="3" fontId="35" fillId="0" borderId="99" xfId="0" applyNumberFormat="1" applyFont="1" applyFill="1" applyBorder="1" applyAlignment="1">
      <alignment horizontal="center" vertical="center"/>
    </xf>
    <xf numFmtId="3" fontId="35" fillId="0" borderId="55" xfId="0" applyNumberFormat="1" applyFont="1" applyFill="1" applyBorder="1" applyAlignment="1">
      <alignment horizontal="center" vertical="center"/>
    </xf>
    <xf numFmtId="3" fontId="16" fillId="0" borderId="146" xfId="0" applyNumberFormat="1" applyFont="1" applyFill="1" applyBorder="1" applyAlignment="1">
      <alignment horizontal="center" vertical="center"/>
    </xf>
    <xf numFmtId="3" fontId="16" fillId="0" borderId="147" xfId="0" applyNumberFormat="1" applyFont="1" applyFill="1" applyBorder="1" applyAlignment="1">
      <alignment horizontal="center" vertical="center"/>
    </xf>
    <xf numFmtId="3" fontId="16" fillId="0" borderId="116" xfId="0" applyNumberFormat="1" applyFont="1" applyFill="1" applyBorder="1" applyAlignment="1">
      <alignment horizontal="center" vertical="center"/>
    </xf>
    <xf numFmtId="3" fontId="16" fillId="43" borderId="146" xfId="0" applyNumberFormat="1" applyFont="1" applyFill="1" applyBorder="1" applyAlignment="1">
      <alignment horizontal="center" vertical="center"/>
    </xf>
    <xf numFmtId="3" fontId="16" fillId="43" borderId="147" xfId="0" applyNumberFormat="1" applyFont="1" applyFill="1" applyBorder="1" applyAlignment="1">
      <alignment horizontal="center" vertical="center"/>
    </xf>
    <xf numFmtId="3" fontId="16" fillId="43" borderId="144" xfId="0" applyNumberFormat="1" applyFont="1" applyFill="1" applyBorder="1" applyAlignment="1">
      <alignment horizontal="center" vertical="center"/>
    </xf>
    <xf numFmtId="3" fontId="36" fillId="0" borderId="163" xfId="0" applyNumberFormat="1" applyFont="1" applyFill="1" applyBorder="1" applyAlignment="1">
      <alignment horizontal="center" vertical="center"/>
    </xf>
    <xf numFmtId="3" fontId="36" fillId="0" borderId="138" xfId="0" applyNumberFormat="1" applyFont="1" applyFill="1" applyBorder="1" applyAlignment="1">
      <alignment horizontal="center" vertical="center"/>
    </xf>
    <xf numFmtId="0" fontId="25" fillId="0" borderId="164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148" xfId="0" applyFont="1" applyBorder="1" applyAlignment="1">
      <alignment horizontal="center" vertical="center" wrapText="1"/>
    </xf>
    <xf numFmtId="0" fontId="25" fillId="0" borderId="156" xfId="0" applyFont="1" applyBorder="1" applyAlignment="1">
      <alignment horizontal="center" vertical="center" wrapText="1"/>
    </xf>
    <xf numFmtId="0" fontId="25" fillId="0" borderId="151" xfId="0" applyFont="1" applyBorder="1" applyAlignment="1">
      <alignment horizontal="center" vertical="center" wrapText="1"/>
    </xf>
    <xf numFmtId="3" fontId="36" fillId="0" borderId="165" xfId="0" applyNumberFormat="1" applyFont="1" applyFill="1" applyBorder="1" applyAlignment="1" quotePrefix="1">
      <alignment horizontal="center" vertical="center"/>
    </xf>
    <xf numFmtId="3" fontId="36" fillId="0" borderId="135" xfId="0" applyNumberFormat="1" applyFont="1" applyFill="1" applyBorder="1" applyAlignment="1" quotePrefix="1">
      <alignment horizontal="center" vertical="center"/>
    </xf>
    <xf numFmtId="3" fontId="36" fillId="0" borderId="155" xfId="0" applyNumberFormat="1" applyFont="1" applyFill="1" applyBorder="1" applyAlignment="1">
      <alignment horizontal="center" vertical="center"/>
    </xf>
    <xf numFmtId="3" fontId="36" fillId="0" borderId="9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top"/>
    </xf>
    <xf numFmtId="3" fontId="14" fillId="0" borderId="60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/>
    </xf>
    <xf numFmtId="3" fontId="16" fillId="0" borderId="78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39" fillId="0" borderId="77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90" xfId="0" applyNumberFormat="1" applyFont="1" applyFill="1" applyBorder="1" applyAlignment="1">
      <alignment horizontal="center" vertical="center"/>
    </xf>
    <xf numFmtId="3" fontId="16" fillId="0" borderId="157" xfId="0" applyNumberFormat="1" applyFont="1" applyFill="1" applyBorder="1" applyAlignment="1">
      <alignment horizontal="left" vertical="center"/>
    </xf>
    <xf numFmtId="3" fontId="16" fillId="0" borderId="158" xfId="0" applyNumberFormat="1" applyFont="1" applyFill="1" applyBorder="1" applyAlignment="1">
      <alignment horizontal="left" vertical="center"/>
    </xf>
    <xf numFmtId="3" fontId="16" fillId="0" borderId="159" xfId="0" applyNumberFormat="1" applyFont="1" applyFill="1" applyBorder="1" applyAlignment="1">
      <alignment horizontal="left" vertical="center"/>
    </xf>
    <xf numFmtId="3" fontId="25" fillId="0" borderId="65" xfId="0" applyNumberFormat="1" applyFont="1" applyFill="1" applyBorder="1" applyAlignment="1">
      <alignment horizontal="left" vertical="center"/>
    </xf>
    <xf numFmtId="3" fontId="25" fillId="0" borderId="99" xfId="0" applyNumberFormat="1" applyFont="1" applyFill="1" applyBorder="1" applyAlignment="1">
      <alignment horizontal="left" vertical="center"/>
    </xf>
    <xf numFmtId="3" fontId="25" fillId="0" borderId="95" xfId="0" applyNumberFormat="1" applyFont="1" applyFill="1" applyBorder="1" applyAlignment="1">
      <alignment horizontal="left" vertical="center"/>
    </xf>
    <xf numFmtId="3" fontId="25" fillId="0" borderId="71" xfId="0" applyNumberFormat="1" applyFont="1" applyFill="1" applyBorder="1" applyAlignment="1">
      <alignment horizontal="left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3" xfId="0" applyFont="1" applyBorder="1" applyAlignment="1" quotePrefix="1">
      <alignment horizontal="center" vertical="center" wrapText="1"/>
    </xf>
    <xf numFmtId="1" fontId="16" fillId="0" borderId="25" xfId="94" applyNumberFormat="1" applyFont="1" applyFill="1" applyBorder="1" applyAlignment="1">
      <alignment horizontal="center" vertical="center" wrapText="1"/>
      <protection/>
    </xf>
    <xf numFmtId="1" fontId="16" fillId="0" borderId="33" xfId="94" applyNumberFormat="1" applyFont="1" applyFill="1" applyBorder="1" applyAlignment="1">
      <alignment horizontal="center" vertical="center" wrapText="1"/>
      <protection/>
    </xf>
    <xf numFmtId="0" fontId="25" fillId="0" borderId="4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6" fillId="0" borderId="166" xfId="0" applyFont="1" applyBorder="1" applyAlignment="1">
      <alignment horizontal="center" vertical="center" wrapText="1"/>
    </xf>
    <xf numFmtId="0" fontId="16" fillId="0" borderId="167" xfId="0" applyFont="1" applyBorder="1" applyAlignment="1">
      <alignment horizontal="center" vertical="center" wrapText="1"/>
    </xf>
    <xf numFmtId="0" fontId="16" fillId="0" borderId="168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3" fontId="31" fillId="0" borderId="30" xfId="94" applyNumberFormat="1" applyFont="1" applyFill="1" applyBorder="1" applyAlignment="1">
      <alignment horizontal="center" vertical="center"/>
      <protection/>
    </xf>
    <xf numFmtId="3" fontId="31" fillId="0" borderId="31" xfId="94" applyNumberFormat="1" applyFont="1" applyFill="1" applyBorder="1" applyAlignment="1">
      <alignment horizontal="center" vertical="center"/>
      <protection/>
    </xf>
    <xf numFmtId="3" fontId="11" fillId="0" borderId="146" xfId="94" applyNumberFormat="1" applyFont="1" applyFill="1" applyBorder="1" applyAlignment="1">
      <alignment horizontal="center" vertical="center" wrapText="1"/>
      <protection/>
    </xf>
    <xf numFmtId="3" fontId="11" fillId="0" borderId="147" xfId="94" applyNumberFormat="1" applyFont="1" applyFill="1" applyBorder="1" applyAlignment="1">
      <alignment horizontal="center" vertical="center" wrapText="1"/>
      <protection/>
    </xf>
    <xf numFmtId="3" fontId="11" fillId="0" borderId="116" xfId="94" applyNumberFormat="1" applyFont="1" applyFill="1" applyBorder="1" applyAlignment="1">
      <alignment horizontal="center" vertical="center" wrapText="1"/>
      <protection/>
    </xf>
    <xf numFmtId="3" fontId="11" fillId="0" borderId="38" xfId="94" applyNumberFormat="1" applyFont="1" applyFill="1" applyBorder="1" applyAlignment="1">
      <alignment horizontal="center" vertical="center"/>
      <protection/>
    </xf>
    <xf numFmtId="3" fontId="11" fillId="0" borderId="23" xfId="94" applyNumberFormat="1" applyFont="1" applyFill="1" applyBorder="1" applyAlignment="1">
      <alignment horizontal="center" vertical="center"/>
      <protection/>
    </xf>
    <xf numFmtId="1" fontId="13" fillId="0" borderId="35" xfId="94" applyNumberFormat="1" applyFont="1" applyFill="1" applyBorder="1" applyAlignment="1">
      <alignment horizontal="center" vertical="center"/>
      <protection/>
    </xf>
    <xf numFmtId="1" fontId="13" fillId="0" borderId="27" xfId="94" applyNumberFormat="1" applyFont="1" applyFill="1" applyBorder="1" applyAlignment="1">
      <alignment horizontal="center" vertical="center"/>
      <protection/>
    </xf>
    <xf numFmtId="3" fontId="15" fillId="0" borderId="169" xfId="94" applyNumberFormat="1" applyFont="1" applyFill="1" applyBorder="1" applyAlignment="1">
      <alignment horizontal="left" vertical="center"/>
      <protection/>
    </xf>
    <xf numFmtId="0" fontId="0" fillId="0" borderId="169" xfId="0" applyFont="1" applyBorder="1" applyAlignment="1">
      <alignment horizontal="left" vertical="center"/>
    </xf>
    <xf numFmtId="3" fontId="13" fillId="0" borderId="35" xfId="94" applyNumberFormat="1" applyFont="1" applyFill="1" applyBorder="1" applyAlignment="1">
      <alignment horizontal="center" vertical="center"/>
      <protection/>
    </xf>
    <xf numFmtId="3" fontId="13" fillId="0" borderId="22" xfId="94" applyNumberFormat="1" applyFont="1" applyFill="1" applyBorder="1" applyAlignment="1">
      <alignment horizontal="center" vertical="center"/>
      <protection/>
    </xf>
    <xf numFmtId="3" fontId="13" fillId="0" borderId="27" xfId="94" applyNumberFormat="1" applyFont="1" applyFill="1" applyBorder="1" applyAlignment="1">
      <alignment horizontal="center" vertical="center"/>
      <protection/>
    </xf>
    <xf numFmtId="3" fontId="11" fillId="0" borderId="146" xfId="94" applyNumberFormat="1" applyFont="1" applyFill="1" applyBorder="1" applyAlignment="1">
      <alignment horizontal="center" vertical="center"/>
      <protection/>
    </xf>
    <xf numFmtId="3" fontId="11" fillId="0" borderId="147" xfId="94" applyNumberFormat="1" applyFont="1" applyFill="1" applyBorder="1" applyAlignment="1">
      <alignment horizontal="center" vertical="center"/>
      <protection/>
    </xf>
    <xf numFmtId="3" fontId="15" fillId="0" borderId="34" xfId="94" applyNumberFormat="1" applyFont="1" applyFill="1" applyBorder="1" applyAlignment="1">
      <alignment horizontal="center" vertical="center"/>
      <protection/>
    </xf>
    <xf numFmtId="3" fontId="15" fillId="0" borderId="38" xfId="94" applyNumberFormat="1" applyFont="1" applyFill="1" applyBorder="1" applyAlignment="1">
      <alignment horizontal="center" vertical="center"/>
      <protection/>
    </xf>
    <xf numFmtId="3" fontId="19" fillId="0" borderId="35" xfId="94" applyNumberFormat="1" applyFont="1" applyFill="1" applyBorder="1" applyAlignment="1">
      <alignment horizontal="left" vertical="center" indent="1" shrinkToFit="1"/>
      <protection/>
    </xf>
    <xf numFmtId="3" fontId="19" fillId="0" borderId="27" xfId="94" applyNumberFormat="1" applyFont="1" applyFill="1" applyBorder="1" applyAlignment="1">
      <alignment horizontal="left" vertical="center" indent="1" shrinkToFit="1"/>
      <protection/>
    </xf>
    <xf numFmtId="3" fontId="31" fillId="0" borderId="170" xfId="94" applyNumberFormat="1" applyFont="1" applyFill="1" applyBorder="1" applyAlignment="1">
      <alignment horizontal="center" vertical="center"/>
      <protection/>
    </xf>
    <xf numFmtId="3" fontId="31" fillId="0" borderId="171" xfId="94" applyNumberFormat="1" applyFont="1" applyFill="1" applyBorder="1" applyAlignment="1">
      <alignment horizontal="center" vertical="center"/>
      <protection/>
    </xf>
    <xf numFmtId="3" fontId="31" fillId="0" borderId="172" xfId="94" applyNumberFormat="1" applyFont="1" applyFill="1" applyBorder="1" applyAlignment="1">
      <alignment horizontal="center" vertical="center"/>
      <protection/>
    </xf>
    <xf numFmtId="3" fontId="19" fillId="0" borderId="35" xfId="94" applyNumberFormat="1" applyFont="1" applyFill="1" applyBorder="1" applyAlignment="1">
      <alignment horizontal="left" vertical="center" shrinkToFit="1"/>
      <protection/>
    </xf>
    <xf numFmtId="3" fontId="19" fillId="0" borderId="27" xfId="94" applyNumberFormat="1" applyFont="1" applyFill="1" applyBorder="1" applyAlignment="1">
      <alignment horizontal="left" vertical="center" shrinkToFit="1"/>
      <protection/>
    </xf>
    <xf numFmtId="3" fontId="21" fillId="0" borderId="22" xfId="94" applyNumberFormat="1" applyFont="1" applyFill="1" applyBorder="1" applyAlignment="1">
      <alignment horizontal="center" vertical="center" wrapText="1"/>
      <protection/>
    </xf>
    <xf numFmtId="3" fontId="0" fillId="0" borderId="23" xfId="0" applyNumberFormat="1" applyFont="1" applyBorder="1" applyAlignment="1">
      <alignment horizontal="center" vertical="center" wrapText="1"/>
    </xf>
    <xf numFmtId="1" fontId="13" fillId="0" borderId="22" xfId="94" applyNumberFormat="1" applyFont="1" applyFill="1" applyBorder="1" applyAlignment="1">
      <alignment horizontal="center" vertical="center"/>
      <protection/>
    </xf>
    <xf numFmtId="3" fontId="13" fillId="0" borderId="23" xfId="94" applyNumberFormat="1" applyFont="1" applyFill="1" applyBorder="1" applyAlignment="1">
      <alignment horizontal="center" vertical="center"/>
      <protection/>
    </xf>
    <xf numFmtId="3" fontId="11" fillId="0" borderId="24" xfId="94" applyNumberFormat="1" applyFont="1" applyFill="1" applyBorder="1" applyAlignment="1">
      <alignment horizontal="center" vertical="center"/>
      <protection/>
    </xf>
    <xf numFmtId="3" fontId="11" fillId="0" borderId="25" xfId="94" applyNumberFormat="1" applyFont="1" applyFill="1" applyBorder="1" applyAlignment="1">
      <alignment horizontal="center" vertical="center"/>
      <protection/>
    </xf>
    <xf numFmtId="3" fontId="29" fillId="0" borderId="170" xfId="94" applyNumberFormat="1" applyFont="1" applyFill="1" applyBorder="1" applyAlignment="1">
      <alignment horizontal="center" vertical="center"/>
      <protection/>
    </xf>
    <xf numFmtId="3" fontId="29" fillId="0" borderId="171" xfId="94" applyNumberFormat="1" applyFont="1" applyFill="1" applyBorder="1" applyAlignment="1">
      <alignment horizontal="center" vertical="center"/>
      <protection/>
    </xf>
    <xf numFmtId="3" fontId="29" fillId="0" borderId="172" xfId="94" applyNumberFormat="1" applyFont="1" applyFill="1" applyBorder="1" applyAlignment="1">
      <alignment horizontal="center" vertical="center"/>
      <protection/>
    </xf>
    <xf numFmtId="3" fontId="31" fillId="0" borderId="173" xfId="94" applyNumberFormat="1" applyFont="1" applyFill="1" applyBorder="1" applyAlignment="1">
      <alignment horizontal="center" vertical="center"/>
      <protection/>
    </xf>
    <xf numFmtId="3" fontId="31" fillId="0" borderId="167" xfId="94" applyNumberFormat="1" applyFont="1" applyFill="1" applyBorder="1" applyAlignment="1">
      <alignment horizontal="center" vertical="center"/>
      <protection/>
    </xf>
    <xf numFmtId="3" fontId="31" fillId="0" borderId="168" xfId="94" applyNumberFormat="1" applyFont="1" applyFill="1" applyBorder="1" applyAlignment="1">
      <alignment horizontal="center" vertical="center"/>
      <protection/>
    </xf>
    <xf numFmtId="3" fontId="13" fillId="0" borderId="168" xfId="94" applyNumberFormat="1" applyFont="1" applyFill="1" applyBorder="1" applyAlignment="1">
      <alignment horizontal="center" vertical="center"/>
      <protection/>
    </xf>
    <xf numFmtId="3" fontId="13" fillId="0" borderId="174" xfId="94" applyNumberFormat="1" applyFont="1" applyFill="1" applyBorder="1" applyAlignment="1">
      <alignment horizontal="center" vertical="center"/>
      <protection/>
    </xf>
    <xf numFmtId="3" fontId="21" fillId="0" borderId="35" xfId="94" applyNumberFormat="1" applyFont="1" applyFill="1" applyBorder="1" applyAlignment="1">
      <alignment horizontal="left" vertical="center" indent="1"/>
      <protection/>
    </xf>
    <xf numFmtId="3" fontId="21" fillId="0" borderId="23" xfId="94" applyNumberFormat="1" applyFont="1" applyFill="1" applyBorder="1" applyAlignment="1">
      <alignment horizontal="left" vertical="center" indent="1"/>
      <protection/>
    </xf>
    <xf numFmtId="3" fontId="19" fillId="0" borderId="33" xfId="94" applyNumberFormat="1" applyFont="1" applyFill="1" applyBorder="1" applyAlignment="1">
      <alignment horizontal="left" vertical="center" wrapText="1" indent="1"/>
      <protection/>
    </xf>
    <xf numFmtId="3" fontId="19" fillId="0" borderId="31" xfId="94" applyNumberFormat="1" applyFont="1" applyFill="1" applyBorder="1" applyAlignment="1">
      <alignment horizontal="left" vertical="center" wrapText="1" indent="1"/>
      <protection/>
    </xf>
    <xf numFmtId="3" fontId="31" fillId="0" borderId="24" xfId="94" applyNumberFormat="1" applyFont="1" applyFill="1" applyBorder="1" applyAlignment="1">
      <alignment horizontal="center" vertical="center"/>
      <protection/>
    </xf>
    <xf numFmtId="3" fontId="31" fillId="0" borderId="25" xfId="94" applyNumberFormat="1" applyFont="1" applyFill="1" applyBorder="1" applyAlignment="1">
      <alignment horizontal="center" vertical="center"/>
      <protection/>
    </xf>
    <xf numFmtId="3" fontId="31" fillId="0" borderId="175" xfId="94" applyNumberFormat="1" applyFont="1" applyFill="1" applyBorder="1" applyAlignment="1">
      <alignment horizontal="center" vertical="center"/>
      <protection/>
    </xf>
    <xf numFmtId="3" fontId="31" fillId="0" borderId="176" xfId="94" applyNumberFormat="1" applyFont="1" applyFill="1" applyBorder="1" applyAlignment="1">
      <alignment horizontal="center" vertical="center"/>
      <protection/>
    </xf>
    <xf numFmtId="3" fontId="31" fillId="0" borderId="174" xfId="94" applyNumberFormat="1" applyFont="1" applyFill="1" applyBorder="1" applyAlignment="1">
      <alignment horizontal="center" vertical="center"/>
      <protection/>
    </xf>
    <xf numFmtId="3" fontId="21" fillId="0" borderId="168" xfId="94" applyNumberFormat="1" applyFont="1" applyFill="1" applyBorder="1" applyAlignment="1">
      <alignment horizontal="left" vertical="center" indent="1"/>
      <protection/>
    </xf>
    <xf numFmtId="3" fontId="21" fillId="0" borderId="174" xfId="94" applyNumberFormat="1" applyFont="1" applyFill="1" applyBorder="1" applyAlignment="1">
      <alignment horizontal="left" vertical="center" indent="1"/>
      <protection/>
    </xf>
    <xf numFmtId="3" fontId="6" fillId="0" borderId="0" xfId="94" applyNumberFormat="1" applyFont="1" applyFill="1" applyBorder="1" applyAlignment="1">
      <alignment horizontal="right" vertical="center"/>
      <protection/>
    </xf>
    <xf numFmtId="3" fontId="29" fillId="0" borderId="173" xfId="94" applyNumberFormat="1" applyFont="1" applyFill="1" applyBorder="1" applyAlignment="1">
      <alignment horizontal="center" vertical="center"/>
      <protection/>
    </xf>
    <xf numFmtId="3" fontId="29" fillId="0" borderId="167" xfId="94" applyNumberFormat="1" applyFont="1" applyFill="1" applyBorder="1" applyAlignment="1">
      <alignment horizontal="center" vertical="center"/>
      <protection/>
    </xf>
    <xf numFmtId="3" fontId="29" fillId="0" borderId="168" xfId="94" applyNumberFormat="1" applyFont="1" applyFill="1" applyBorder="1" applyAlignment="1">
      <alignment horizontal="center" vertical="center"/>
      <protection/>
    </xf>
    <xf numFmtId="3" fontId="29" fillId="0" borderId="175" xfId="94" applyNumberFormat="1" applyFont="1" applyFill="1" applyBorder="1" applyAlignment="1">
      <alignment horizontal="center" vertical="center"/>
      <protection/>
    </xf>
    <xf numFmtId="3" fontId="29" fillId="0" borderId="176" xfId="94" applyNumberFormat="1" applyFont="1" applyFill="1" applyBorder="1" applyAlignment="1">
      <alignment horizontal="center" vertical="center"/>
      <protection/>
    </xf>
    <xf numFmtId="3" fontId="29" fillId="0" borderId="174" xfId="94" applyNumberFormat="1" applyFont="1" applyFill="1" applyBorder="1" applyAlignment="1">
      <alignment horizontal="center" vertical="center"/>
      <protection/>
    </xf>
    <xf numFmtId="3" fontId="15" fillId="0" borderId="19" xfId="94" applyNumberFormat="1" applyFont="1" applyFill="1" applyBorder="1" applyAlignment="1">
      <alignment horizontal="center" vertical="center"/>
      <protection/>
    </xf>
    <xf numFmtId="3" fontId="15" fillId="0" borderId="58" xfId="94" applyNumberFormat="1" applyFont="1" applyFill="1" applyBorder="1" applyAlignment="1">
      <alignment horizontal="center" vertical="center"/>
      <protection/>
    </xf>
    <xf numFmtId="3" fontId="15" fillId="0" borderId="166" xfId="94" applyNumberFormat="1" applyFont="1" applyFill="1" applyBorder="1" applyAlignment="1">
      <alignment horizontal="center" vertical="center" wrapText="1"/>
      <protection/>
    </xf>
    <xf numFmtId="3" fontId="15" fillId="0" borderId="167" xfId="94" applyNumberFormat="1" applyFont="1" applyFill="1" applyBorder="1" applyAlignment="1">
      <alignment horizontal="center" vertical="center" wrapText="1"/>
      <protection/>
    </xf>
    <xf numFmtId="3" fontId="15" fillId="0" borderId="168" xfId="94" applyNumberFormat="1" applyFont="1" applyFill="1" applyBorder="1" applyAlignment="1">
      <alignment horizontal="center" vertical="center" wrapText="1"/>
      <protection/>
    </xf>
    <xf numFmtId="3" fontId="21" fillId="0" borderId="166" xfId="94" applyNumberFormat="1" applyFont="1" applyFill="1" applyBorder="1" applyAlignment="1">
      <alignment horizontal="center" vertical="center" wrapText="1"/>
      <protection/>
    </xf>
    <xf numFmtId="3" fontId="21" fillId="0" borderId="167" xfId="94" applyNumberFormat="1" applyFont="1" applyFill="1" applyBorder="1" applyAlignment="1">
      <alignment horizontal="center" vertical="center" wrapText="1"/>
      <protection/>
    </xf>
    <xf numFmtId="3" fontId="21" fillId="0" borderId="168" xfId="94" applyNumberFormat="1" applyFont="1" applyFill="1" applyBorder="1" applyAlignment="1">
      <alignment horizontal="center" vertical="center" wrapText="1"/>
      <protection/>
    </xf>
    <xf numFmtId="3" fontId="15" fillId="0" borderId="52" xfId="94" applyNumberFormat="1" applyFont="1" applyFill="1" applyBorder="1" applyAlignment="1">
      <alignment horizontal="center" vertical="center"/>
      <protection/>
    </xf>
    <xf numFmtId="3" fontId="15" fillId="0" borderId="78" xfId="94" applyNumberFormat="1" applyFont="1" applyFill="1" applyBorder="1" applyAlignment="1">
      <alignment horizontal="center" vertical="center"/>
      <protection/>
    </xf>
    <xf numFmtId="3" fontId="11" fillId="0" borderId="146" xfId="94" applyNumberFormat="1" applyFont="1" applyFill="1" applyBorder="1" applyAlignment="1">
      <alignment horizontal="center" vertical="center"/>
      <protection/>
    </xf>
    <xf numFmtId="3" fontId="11" fillId="0" borderId="147" xfId="94" applyNumberFormat="1" applyFont="1" applyFill="1" applyBorder="1" applyAlignment="1">
      <alignment horizontal="center" vertical="center"/>
      <protection/>
    </xf>
    <xf numFmtId="3" fontId="11" fillId="0" borderId="116" xfId="94" applyNumberFormat="1" applyFont="1" applyFill="1" applyBorder="1" applyAlignment="1">
      <alignment horizontal="center" vertical="center"/>
      <protection/>
    </xf>
    <xf numFmtId="1" fontId="15" fillId="0" borderId="21" xfId="94" applyNumberFormat="1" applyFont="1" applyFill="1" applyBorder="1" applyAlignment="1">
      <alignment horizontal="center" vertical="center" wrapText="1"/>
      <protection/>
    </xf>
    <xf numFmtId="1" fontId="15" fillId="0" borderId="22" xfId="94" applyNumberFormat="1" applyFont="1" applyFill="1" applyBorder="1" applyAlignment="1">
      <alignment horizontal="center" vertical="center" wrapText="1"/>
      <protection/>
    </xf>
    <xf numFmtId="1" fontId="15" fillId="0" borderId="23" xfId="94" applyNumberFormat="1" applyFont="1" applyFill="1" applyBorder="1" applyAlignment="1">
      <alignment horizontal="center" vertical="center" wrapText="1"/>
      <protection/>
    </xf>
    <xf numFmtId="3" fontId="15" fillId="0" borderId="50" xfId="94" applyNumberFormat="1" applyFont="1" applyFill="1" applyBorder="1" applyAlignment="1">
      <alignment horizontal="center" vertical="center"/>
      <protection/>
    </xf>
    <xf numFmtId="3" fontId="15" fillId="0" borderId="20" xfId="94" applyNumberFormat="1" applyFont="1" applyFill="1" applyBorder="1" applyAlignment="1">
      <alignment horizontal="center" vertical="center"/>
      <protection/>
    </xf>
    <xf numFmtId="3" fontId="21" fillId="0" borderId="23" xfId="94" applyNumberFormat="1" applyFont="1" applyFill="1" applyBorder="1" applyAlignment="1">
      <alignment horizontal="center" vertical="center" wrapText="1"/>
      <protection/>
    </xf>
    <xf numFmtId="3" fontId="21" fillId="0" borderId="35" xfId="94" applyNumberFormat="1" applyFont="1" applyFill="1" applyBorder="1" applyAlignment="1">
      <alignment horizontal="center" vertical="center" wrapText="1"/>
      <protection/>
    </xf>
    <xf numFmtId="3" fontId="19" fillId="0" borderId="35" xfId="94" applyNumberFormat="1" applyFont="1" applyFill="1" applyBorder="1" applyAlignment="1">
      <alignment horizontal="left" vertical="center"/>
      <protection/>
    </xf>
    <xf numFmtId="3" fontId="19" fillId="0" borderId="27" xfId="94" applyNumberFormat="1" applyFont="1" applyFill="1" applyBorder="1" applyAlignment="1">
      <alignment horizontal="left" vertical="center"/>
      <protection/>
    </xf>
    <xf numFmtId="3" fontId="19" fillId="0" borderId="35" xfId="94" applyNumberFormat="1" applyFont="1" applyFill="1" applyBorder="1" applyAlignment="1">
      <alignment horizontal="left" vertical="center" wrapText="1" indent="1"/>
      <protection/>
    </xf>
    <xf numFmtId="3" fontId="19" fillId="0" borderId="27" xfId="94" applyNumberFormat="1" applyFont="1" applyFill="1" applyBorder="1" applyAlignment="1">
      <alignment horizontal="left" vertical="center" wrapText="1" indent="1"/>
      <protection/>
    </xf>
    <xf numFmtId="3" fontId="7" fillId="0" borderId="127" xfId="0" applyNumberFormat="1" applyFont="1" applyFill="1" applyBorder="1" applyAlignment="1">
      <alignment horizontal="right" vertical="center" shrinkToFit="1"/>
    </xf>
    <xf numFmtId="3" fontId="7" fillId="0" borderId="4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 shrinkToFit="1"/>
    </xf>
    <xf numFmtId="0" fontId="54" fillId="0" borderId="146" xfId="0" applyFont="1" applyFill="1" applyBorder="1" applyAlignment="1">
      <alignment horizontal="center" vertical="center" shrinkToFit="1"/>
    </xf>
    <xf numFmtId="0" fontId="54" fillId="0" borderId="147" xfId="0" applyFont="1" applyFill="1" applyBorder="1" applyAlignment="1">
      <alignment horizontal="center" vertical="center" shrinkToFit="1"/>
    </xf>
    <xf numFmtId="0" fontId="54" fillId="0" borderId="116" xfId="0" applyFont="1" applyFill="1" applyBorder="1" applyAlignment="1">
      <alignment horizontal="center" vertical="center" shrinkToFit="1"/>
    </xf>
    <xf numFmtId="0" fontId="7" fillId="0" borderId="145" xfId="0" applyFont="1" applyFill="1" applyBorder="1" applyAlignment="1">
      <alignment horizontal="left" vertical="center" shrinkToFit="1"/>
    </xf>
    <xf numFmtId="0" fontId="7" fillId="0" borderId="97" xfId="0" applyFont="1" applyFill="1" applyBorder="1" applyAlignment="1">
      <alignment horizontal="left" vertical="center" shrinkToFit="1"/>
    </xf>
    <xf numFmtId="0" fontId="7" fillId="0" borderId="150" xfId="0" applyFont="1" applyFill="1" applyBorder="1" applyAlignment="1">
      <alignment horizontal="left" vertical="center" shrinkToFit="1"/>
    </xf>
    <xf numFmtId="0" fontId="7" fillId="0" borderId="148" xfId="0" applyFont="1" applyFill="1" applyBorder="1" applyAlignment="1">
      <alignment vertical="center" shrinkToFit="1"/>
    </xf>
    <xf numFmtId="0" fontId="6" fillId="0" borderId="156" xfId="0" applyFont="1" applyFill="1" applyBorder="1" applyAlignment="1">
      <alignment vertical="center" shrinkToFit="1"/>
    </xf>
    <xf numFmtId="0" fontId="6" fillId="0" borderId="151" xfId="0" applyFont="1" applyFill="1" applyBorder="1" applyAlignment="1">
      <alignment vertical="center" shrinkToFit="1"/>
    </xf>
  </cellXfs>
  <cellStyles count="93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Jó 2" xfId="87"/>
    <cellStyle name="Kimenet" xfId="88"/>
    <cellStyle name="Kimenet 2" xfId="89"/>
    <cellStyle name="Followed Hyperlink" xfId="90"/>
    <cellStyle name="Magyarázó szöveg" xfId="91"/>
    <cellStyle name="Magyarázó szöveg 2" xfId="92"/>
    <cellStyle name="Normal_KARSZJ3" xfId="93"/>
    <cellStyle name="Normál_végső rend. képv.mód-sal" xfId="94"/>
    <cellStyle name="Normál_végső rend. képv.mód-sal 2" xfId="95"/>
    <cellStyle name="Összesen" xfId="96"/>
    <cellStyle name="Összesen 2" xfId="97"/>
    <cellStyle name="Currency" xfId="98"/>
    <cellStyle name="Currency [0]" xfId="99"/>
    <cellStyle name="Rossz" xfId="100"/>
    <cellStyle name="Rossz 2" xfId="101"/>
    <cellStyle name="Semleges" xfId="102"/>
    <cellStyle name="Semleges 2" xfId="103"/>
    <cellStyle name="Számítás" xfId="104"/>
    <cellStyle name="Számítás 2" xfId="105"/>
    <cellStyle name="Percen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10</xdr:col>
      <xdr:colOff>485775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638550" y="38100"/>
          <a:ext cx="5143500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 melléklet a 2/2016. (II.10.)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FELHASZNÁLÁSI TERV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2016. évben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</xdr:row>
      <xdr:rowOff>114300</xdr:rowOff>
    </xdr:from>
    <xdr:to>
      <xdr:col>3</xdr:col>
      <xdr:colOff>571500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447800" y="276225"/>
          <a:ext cx="4219575" cy="4095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  melléklet a 2/2016. (II.10.)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2016. ÉVI KÖLTSÉGVETÉSÉNEK
</a:t>
          </a:r>
          <a:r>
            <a:rPr lang="en-US" cap="none" sz="700" b="1" i="0" u="none" baseline="0">
              <a:solidFill>
                <a:srgbClr val="000000"/>
              </a:solidFill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0</xdr:row>
      <xdr:rowOff>85725</xdr:rowOff>
    </xdr:from>
    <xdr:to>
      <xdr:col>4</xdr:col>
      <xdr:colOff>5648325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000375" y="85725"/>
          <a:ext cx="4619625" cy="333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3. melléklet a 2/2016. (II.10.) önk. rendelethez
</a:t>
          </a:r>
          <a:r>
            <a:rPr lang="en-US" cap="none" sz="700" b="0" i="0" u="none" baseline="0">
              <a:solidFill>
                <a:srgbClr val="000000"/>
              </a:solidFill>
            </a:rPr>
            <a:t>2016. ÉVI KÖLTSÉGVETÉSI BEVÉTELEK ÉS KIADÁSOK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</xdr:row>
      <xdr:rowOff>0</xdr:rowOff>
    </xdr:from>
    <xdr:to>
      <xdr:col>9</xdr:col>
      <xdr:colOff>485775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047875" y="200025"/>
          <a:ext cx="5667375" cy="295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4. melléklet a 2/2016. (II.10.)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 AZ ÖNKORMÁNYZAT ÁLTAL IRÁNYÍTOTT KÖLTSÉGVETÉSI SZERVEK  2016.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2466975</xdr:colOff>
      <xdr:row>0</xdr:row>
      <xdr:rowOff>133350</xdr:rowOff>
    </xdr:from>
    <xdr:to>
      <xdr:col>13</xdr:col>
      <xdr:colOff>47625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457575" y="133350"/>
          <a:ext cx="587692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5. melléklet a 2/2016. (II.10.) önk. rendelethez
</a:t>
          </a:r>
          <a:r>
            <a:rPr lang="en-US" cap="none" sz="700" b="0" i="0" u="none" baseline="0">
              <a:solidFill>
                <a:srgbClr val="000000"/>
              </a:solidFill>
            </a:rPr>
            <a:t>2016. ÉVI KÖLTSÉGVETÉSI KIADÁSOK
</a:t>
          </a:r>
          <a:r>
            <a:rPr lang="en-US" cap="none" sz="7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9525</xdr:rowOff>
    </xdr:from>
    <xdr:to>
      <xdr:col>3</xdr:col>
      <xdr:colOff>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57225" y="161925"/>
          <a:ext cx="5953125" cy="619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6.  melléklet a 2/2016. (II.10.)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, EGYÉB FELHALMOZÁSI JELLEGŰ KIADÁSOK, FINANSZÍROZÁSI KIADÁSOK
</a:t>
          </a:r>
          <a:r>
            <a:rPr lang="en-US" cap="none" sz="700" b="1" i="0" u="none" baseline="0">
              <a:solidFill>
                <a:srgbClr val="000000"/>
              </a:solidFill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2428875</xdr:colOff>
      <xdr:row>3</xdr:row>
      <xdr:rowOff>95250</xdr:rowOff>
    </xdr:from>
    <xdr:to>
      <xdr:col>3</xdr:col>
      <xdr:colOff>1152525</xdr:colOff>
      <xdr:row>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867025" y="523875"/>
          <a:ext cx="4267200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7. melléklet a 2/2016. (II.10.) önk rendelethez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700" b="1" i="0" u="none" baseline="0">
              <a:solidFill>
                <a:srgbClr val="000000"/>
              </a:solidFill>
            </a:rPr>
            <a:t>2016. ÉVI CÉLTARTALÉKA
</a:t>
          </a:r>
          <a:r>
            <a:rPr lang="en-US" cap="none" sz="7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zoomScalePageLayoutView="0" workbookViewId="0" topLeftCell="A1">
      <selection activeCell="K23" sqref="K23"/>
    </sheetView>
  </sheetViews>
  <sheetFormatPr defaultColWidth="7.75390625" defaultRowHeight="12.75"/>
  <cols>
    <col min="1" max="1" width="3.125" style="314" customWidth="1"/>
    <col min="2" max="2" width="35.625" style="314" customWidth="1"/>
    <col min="3" max="5" width="8.625" style="314" customWidth="1"/>
    <col min="6" max="7" width="8.875" style="314" customWidth="1"/>
    <col min="8" max="8" width="9.00390625" style="314" customWidth="1"/>
    <col min="9" max="10" width="8.75390625" style="314" customWidth="1"/>
    <col min="11" max="11" width="9.25390625" style="314" customWidth="1"/>
    <col min="12" max="12" width="8.625" style="314" customWidth="1"/>
    <col min="13" max="13" width="8.75390625" style="314" customWidth="1"/>
    <col min="14" max="14" width="8.875" style="314" customWidth="1"/>
    <col min="15" max="15" width="10.25390625" style="314" customWidth="1"/>
    <col min="16" max="16384" width="7.75390625" style="1" customWidth="1"/>
  </cols>
  <sheetData>
    <row r="1" spans="12:15" ht="12.75">
      <c r="L1" s="754" t="s">
        <v>429</v>
      </c>
      <c r="M1" s="754"/>
      <c r="N1" s="754"/>
      <c r="O1" s="754"/>
    </row>
    <row r="3" spans="12:15" ht="13.5" customHeight="1" thickBot="1">
      <c r="L3" s="315"/>
      <c r="O3" s="316" t="s">
        <v>3</v>
      </c>
    </row>
    <row r="4" spans="1:15" ht="17.25" customHeight="1" thickBot="1">
      <c r="A4" s="755" t="s">
        <v>4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7"/>
    </row>
    <row r="5" spans="1:15" s="2" customFormat="1" ht="12.75">
      <c r="A5" s="340"/>
      <c r="B5" s="317"/>
      <c r="C5" s="341" t="s">
        <v>5</v>
      </c>
      <c r="D5" s="341" t="s">
        <v>6</v>
      </c>
      <c r="E5" s="341" t="s">
        <v>7</v>
      </c>
      <c r="F5" s="341" t="s">
        <v>8</v>
      </c>
      <c r="G5" s="341" t="s">
        <v>9</v>
      </c>
      <c r="H5" s="341" t="s">
        <v>10</v>
      </c>
      <c r="I5" s="341" t="s">
        <v>11</v>
      </c>
      <c r="J5" s="341" t="s">
        <v>12</v>
      </c>
      <c r="K5" s="341" t="s">
        <v>13</v>
      </c>
      <c r="L5" s="341" t="s">
        <v>14</v>
      </c>
      <c r="M5" s="341" t="s">
        <v>15</v>
      </c>
      <c r="N5" s="341" t="s">
        <v>16</v>
      </c>
      <c r="O5" s="376" t="s">
        <v>17</v>
      </c>
    </row>
    <row r="6" spans="1:16" ht="15" customHeight="1">
      <c r="A6" s="342" t="s">
        <v>18</v>
      </c>
      <c r="B6" s="318" t="s">
        <v>143</v>
      </c>
      <c r="C6" s="343">
        <f>7976</f>
        <v>7976</v>
      </c>
      <c r="D6" s="343">
        <f>7976</f>
        <v>7976</v>
      </c>
      <c r="E6" s="343">
        <f>7976</f>
        <v>7976</v>
      </c>
      <c r="F6" s="343">
        <f>7976</f>
        <v>7976</v>
      </c>
      <c r="G6" s="343">
        <f>7976</f>
        <v>7976</v>
      </c>
      <c r="H6" s="343">
        <f>8472+400</f>
        <v>8872</v>
      </c>
      <c r="I6" s="343">
        <v>9471</v>
      </c>
      <c r="J6" s="343">
        <v>9471</v>
      </c>
      <c r="K6" s="343">
        <v>11166</v>
      </c>
      <c r="L6" s="343">
        <v>11167</v>
      </c>
      <c r="M6" s="343">
        <v>11167</v>
      </c>
      <c r="N6" s="343">
        <v>11167</v>
      </c>
      <c r="O6" s="344">
        <f>'2.mell'!C12+'2.mell'!D12</f>
        <v>112361</v>
      </c>
      <c r="P6" s="137"/>
    </row>
    <row r="7" spans="1:16" ht="25.5" customHeight="1">
      <c r="A7" s="345" t="s">
        <v>19</v>
      </c>
      <c r="B7" s="319" t="s">
        <v>271</v>
      </c>
      <c r="C7" s="346">
        <v>54701</v>
      </c>
      <c r="D7" s="346">
        <v>54701</v>
      </c>
      <c r="E7" s="346">
        <v>54701</v>
      </c>
      <c r="F7" s="346">
        <f>54701+114676</f>
        <v>169377</v>
      </c>
      <c r="G7" s="346">
        <f>54701+49042</f>
        <v>103743</v>
      </c>
      <c r="H7" s="346">
        <f>54702+14590</f>
        <v>69292</v>
      </c>
      <c r="I7" s="346">
        <f>55985+6613</f>
        <v>62598</v>
      </c>
      <c r="J7" s="346">
        <v>55985</v>
      </c>
      <c r="K7" s="346">
        <v>56939</v>
      </c>
      <c r="L7" s="346">
        <v>56939</v>
      </c>
      <c r="M7" s="346">
        <v>56939</v>
      </c>
      <c r="N7" s="346">
        <v>56701</v>
      </c>
      <c r="O7" s="347">
        <f>'2.mell'!E15</f>
        <v>852616</v>
      </c>
      <c r="P7" s="137"/>
    </row>
    <row r="8" spans="1:16" ht="24" customHeight="1">
      <c r="A8" s="345" t="s">
        <v>20</v>
      </c>
      <c r="B8" s="320" t="s">
        <v>272</v>
      </c>
      <c r="C8" s="343"/>
      <c r="D8" s="343">
        <v>917</v>
      </c>
      <c r="E8" s="343"/>
      <c r="F8" s="343">
        <v>28741</v>
      </c>
      <c r="G8" s="343"/>
      <c r="H8" s="343">
        <v>588</v>
      </c>
      <c r="I8" s="343">
        <f>5280+85192+6923</f>
        <v>97395</v>
      </c>
      <c r="J8" s="343"/>
      <c r="K8" s="343"/>
      <c r="L8" s="343"/>
      <c r="M8" s="343"/>
      <c r="N8" s="346"/>
      <c r="O8" s="347">
        <f>'2.mell'!E16</f>
        <v>127641</v>
      </c>
      <c r="P8" s="137"/>
    </row>
    <row r="9" spans="1:16" ht="12.75">
      <c r="A9" s="345" t="s">
        <v>21</v>
      </c>
      <c r="B9" s="319" t="s">
        <v>128</v>
      </c>
      <c r="C9" s="346"/>
      <c r="D9" s="346"/>
      <c r="E9" s="346">
        <v>300000</v>
      </c>
      <c r="F9" s="346"/>
      <c r="G9" s="346"/>
      <c r="H9" s="346"/>
      <c r="I9" s="346"/>
      <c r="J9" s="346"/>
      <c r="K9" s="346">
        <v>200000</v>
      </c>
      <c r="L9" s="346"/>
      <c r="M9" s="346"/>
      <c r="N9" s="346">
        <v>91500</v>
      </c>
      <c r="O9" s="347">
        <f>'2.mell'!E17</f>
        <v>591500</v>
      </c>
      <c r="P9" s="137"/>
    </row>
    <row r="10" spans="1:16" ht="12.75">
      <c r="A10" s="345" t="s">
        <v>22</v>
      </c>
      <c r="B10" s="319" t="s">
        <v>273</v>
      </c>
      <c r="C10" s="346">
        <v>7832</v>
      </c>
      <c r="D10" s="346">
        <v>7832</v>
      </c>
      <c r="E10" s="346">
        <v>7832</v>
      </c>
      <c r="F10" s="346">
        <v>7832</v>
      </c>
      <c r="G10" s="346">
        <v>7832</v>
      </c>
      <c r="H10" s="346">
        <f>7832+8701</f>
        <v>16533</v>
      </c>
      <c r="I10" s="346">
        <f>7832+2007+1515</f>
        <v>11354</v>
      </c>
      <c r="J10" s="346">
        <v>7832</v>
      </c>
      <c r="K10" s="346">
        <v>7838</v>
      </c>
      <c r="L10" s="346">
        <v>7832</v>
      </c>
      <c r="M10" s="346">
        <v>7832</v>
      </c>
      <c r="N10" s="346">
        <v>7832</v>
      </c>
      <c r="O10" s="347">
        <f>'2.mell'!E18</f>
        <v>106213</v>
      </c>
      <c r="P10" s="137"/>
    </row>
    <row r="11" spans="1:16" ht="13.5" customHeight="1">
      <c r="A11" s="345" t="s">
        <v>23</v>
      </c>
      <c r="B11" s="319" t="s">
        <v>274</v>
      </c>
      <c r="C11" s="346"/>
      <c r="D11" s="346"/>
      <c r="E11" s="346"/>
      <c r="F11" s="346"/>
      <c r="G11" s="346"/>
      <c r="H11" s="346">
        <v>23311</v>
      </c>
      <c r="I11" s="346">
        <v>50210</v>
      </c>
      <c r="J11" s="346"/>
      <c r="K11" s="346"/>
      <c r="L11" s="346"/>
      <c r="M11" s="346"/>
      <c r="N11" s="346"/>
      <c r="O11" s="347">
        <f>'2.mell'!E19</f>
        <v>73521</v>
      </c>
      <c r="P11" s="137"/>
    </row>
    <row r="12" spans="1:16" ht="12.75">
      <c r="A12" s="345" t="s">
        <v>24</v>
      </c>
      <c r="B12" s="319" t="s">
        <v>270</v>
      </c>
      <c r="C12" s="346"/>
      <c r="D12" s="346"/>
      <c r="E12" s="346"/>
      <c r="F12" s="346"/>
      <c r="G12" s="346"/>
      <c r="H12" s="346">
        <v>8324</v>
      </c>
      <c r="I12" s="346"/>
      <c r="J12" s="346"/>
      <c r="K12" s="346"/>
      <c r="L12" s="346"/>
      <c r="M12" s="346"/>
      <c r="N12" s="346"/>
      <c r="O12" s="347">
        <f>'2.mell'!E20</f>
        <v>8324</v>
      </c>
      <c r="P12" s="137"/>
    </row>
    <row r="13" spans="1:16" ht="13.5" customHeight="1">
      <c r="A13" s="345" t="s">
        <v>25</v>
      </c>
      <c r="B13" s="319" t="s">
        <v>269</v>
      </c>
      <c r="C13" s="346">
        <v>83</v>
      </c>
      <c r="D13" s="346">
        <v>83</v>
      </c>
      <c r="E13" s="346">
        <f>1504+83</f>
        <v>1587</v>
      </c>
      <c r="F13" s="346">
        <v>83</v>
      </c>
      <c r="G13" s="346">
        <v>83</v>
      </c>
      <c r="H13" s="346">
        <v>83</v>
      </c>
      <c r="I13" s="346">
        <f>1500+83</f>
        <v>1583</v>
      </c>
      <c r="J13" s="346">
        <v>83</v>
      </c>
      <c r="K13" s="346">
        <v>83</v>
      </c>
      <c r="L13" s="346">
        <v>83</v>
      </c>
      <c r="M13" s="346">
        <v>83</v>
      </c>
      <c r="N13" s="346">
        <v>83</v>
      </c>
      <c r="O13" s="347">
        <f>'2.mell'!E21</f>
        <v>4000</v>
      </c>
      <c r="P13" s="137"/>
    </row>
    <row r="14" spans="1:16" ht="13.5" thickBot="1">
      <c r="A14" s="345" t="s">
        <v>26</v>
      </c>
      <c r="B14" s="319" t="s">
        <v>197</v>
      </c>
      <c r="C14" s="346">
        <f>133578+16845</f>
        <v>150423</v>
      </c>
      <c r="D14" s="346">
        <v>284013</v>
      </c>
      <c r="E14" s="346">
        <v>29062</v>
      </c>
      <c r="F14" s="346">
        <f>251268-118</f>
        <v>251150</v>
      </c>
      <c r="G14" s="346">
        <v>1639931</v>
      </c>
      <c r="H14" s="346">
        <f>50300+69753</f>
        <v>120053</v>
      </c>
      <c r="I14" s="346">
        <f>78651+30000+250000</f>
        <v>358651</v>
      </c>
      <c r="J14" s="346">
        <f>20000+1645098</f>
        <v>1665098</v>
      </c>
      <c r="K14" s="346">
        <v>19318</v>
      </c>
      <c r="L14" s="346">
        <v>155099</v>
      </c>
      <c r="M14" s="346">
        <v>1483035</v>
      </c>
      <c r="N14" s="346">
        <f>340481+181</f>
        <v>340662</v>
      </c>
      <c r="O14" s="347">
        <f>'2.mell'!E26+'2.mell'!E27+'2.mell'!E28</f>
        <v>6496495</v>
      </c>
      <c r="P14" s="137"/>
    </row>
    <row r="15" spans="1:16" s="3" customFormat="1" ht="14.25" thickBot="1" thickTop="1">
      <c r="A15" s="758" t="s">
        <v>17</v>
      </c>
      <c r="B15" s="759"/>
      <c r="C15" s="348">
        <f>SUM(C6:C14)</f>
        <v>221015</v>
      </c>
      <c r="D15" s="348">
        <f aca="true" t="shared" si="0" ref="D15:N15">SUM(D6:D14)</f>
        <v>355522</v>
      </c>
      <c r="E15" s="348">
        <f t="shared" si="0"/>
        <v>401158</v>
      </c>
      <c r="F15" s="348">
        <f t="shared" si="0"/>
        <v>465159</v>
      </c>
      <c r="G15" s="348">
        <f>SUM(G6:G14)</f>
        <v>1759565</v>
      </c>
      <c r="H15" s="348">
        <f t="shared" si="0"/>
        <v>247056</v>
      </c>
      <c r="I15" s="348">
        <f t="shared" si="0"/>
        <v>591262</v>
      </c>
      <c r="J15" s="348">
        <f t="shared" si="0"/>
        <v>1738469</v>
      </c>
      <c r="K15" s="348">
        <f t="shared" si="0"/>
        <v>295344</v>
      </c>
      <c r="L15" s="348">
        <f t="shared" si="0"/>
        <v>231120</v>
      </c>
      <c r="M15" s="348">
        <f t="shared" si="0"/>
        <v>1559056</v>
      </c>
      <c r="N15" s="348">
        <f t="shared" si="0"/>
        <v>507945</v>
      </c>
      <c r="O15" s="349">
        <f>SUM(O6:O14)</f>
        <v>8372671</v>
      </c>
      <c r="P15" s="137"/>
    </row>
    <row r="16" spans="1:16" ht="7.5" customHeight="1" thickBot="1" thickTop="1">
      <c r="A16" s="350"/>
      <c r="B16" s="321"/>
      <c r="C16" s="322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4"/>
      <c r="P16" s="137"/>
    </row>
    <row r="17" spans="1:16" ht="3.75" customHeigh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6"/>
      <c r="P17" s="137"/>
    </row>
    <row r="18" spans="1:16" ht="7.5" customHeight="1" thickBot="1">
      <c r="A18" s="325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51" t="s">
        <v>75</v>
      </c>
      <c r="P18" s="137"/>
    </row>
    <row r="19" spans="1:16" ht="16.5" customHeight="1" thickBot="1">
      <c r="A19" s="755" t="s">
        <v>29</v>
      </c>
      <c r="B19" s="756"/>
      <c r="C19" s="756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7"/>
      <c r="P19" s="137"/>
    </row>
    <row r="20" spans="1:16" s="2" customFormat="1" ht="12.75">
      <c r="A20" s="340"/>
      <c r="B20" s="317"/>
      <c r="C20" s="352" t="s">
        <v>5</v>
      </c>
      <c r="D20" s="352" t="s">
        <v>6</v>
      </c>
      <c r="E20" s="352" t="s">
        <v>7</v>
      </c>
      <c r="F20" s="352" t="s">
        <v>8</v>
      </c>
      <c r="G20" s="352" t="s">
        <v>9</v>
      </c>
      <c r="H20" s="352" t="s">
        <v>10</v>
      </c>
      <c r="I20" s="352" t="s">
        <v>11</v>
      </c>
      <c r="J20" s="352" t="s">
        <v>12</v>
      </c>
      <c r="K20" s="352" t="s">
        <v>13</v>
      </c>
      <c r="L20" s="352" t="s">
        <v>14</v>
      </c>
      <c r="M20" s="352" t="s">
        <v>15</v>
      </c>
      <c r="N20" s="352" t="s">
        <v>16</v>
      </c>
      <c r="O20" s="377" t="s">
        <v>17</v>
      </c>
      <c r="P20" s="137"/>
    </row>
    <row r="21" spans="1:16" ht="5.25" customHeight="1">
      <c r="A21" s="327"/>
      <c r="B21" s="325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9"/>
      <c r="P21" s="137"/>
    </row>
    <row r="22" spans="1:16" ht="12.75">
      <c r="A22" s="353" t="s">
        <v>18</v>
      </c>
      <c r="B22" s="330" t="s">
        <v>30</v>
      </c>
      <c r="C22" s="343">
        <f>48559+2351</f>
        <v>50910</v>
      </c>
      <c r="D22" s="343">
        <v>49593</v>
      </c>
      <c r="E22" s="343">
        <v>49593</v>
      </c>
      <c r="F22" s="343">
        <v>49593</v>
      </c>
      <c r="G22" s="343">
        <v>49593</v>
      </c>
      <c r="H22" s="343">
        <v>49593</v>
      </c>
      <c r="I22" s="343">
        <v>49593</v>
      </c>
      <c r="J22" s="343">
        <v>49593</v>
      </c>
      <c r="K22" s="343">
        <f>49593+1200+1621+552</f>
        <v>52966</v>
      </c>
      <c r="L22" s="343">
        <f>552+49593</f>
        <v>50145</v>
      </c>
      <c r="M22" s="343">
        <f>555+49593</f>
        <v>50148</v>
      </c>
      <c r="N22" s="343">
        <f>551+49593</f>
        <v>50144</v>
      </c>
      <c r="O22" s="344">
        <f>'2.mell'!E35</f>
        <v>601464</v>
      </c>
      <c r="P22" s="137"/>
    </row>
    <row r="23" spans="1:16" ht="25.5">
      <c r="A23" s="345" t="s">
        <v>19</v>
      </c>
      <c r="B23" s="331" t="s">
        <v>147</v>
      </c>
      <c r="C23" s="346">
        <f>12828+578</f>
        <v>13406</v>
      </c>
      <c r="D23" s="346">
        <v>13288</v>
      </c>
      <c r="E23" s="346">
        <v>13188</v>
      </c>
      <c r="F23" s="346">
        <v>13188</v>
      </c>
      <c r="G23" s="346">
        <v>13188</v>
      </c>
      <c r="H23" s="346">
        <v>13288</v>
      </c>
      <c r="I23" s="346">
        <v>13288</v>
      </c>
      <c r="J23" s="346">
        <v>13288</v>
      </c>
      <c r="K23" s="346">
        <f>13288+965+475+155</f>
        <v>14883</v>
      </c>
      <c r="L23" s="346">
        <f>154+13288</f>
        <v>13442</v>
      </c>
      <c r="M23" s="346">
        <f>155+13288</f>
        <v>13443</v>
      </c>
      <c r="N23" s="346">
        <f>154+13218</f>
        <v>13372</v>
      </c>
      <c r="O23" s="347">
        <f>'2.mell'!E36</f>
        <v>161262</v>
      </c>
      <c r="P23" s="137"/>
    </row>
    <row r="24" spans="1:16" ht="12.75">
      <c r="A24" s="345" t="s">
        <v>20</v>
      </c>
      <c r="B24" s="332" t="s">
        <v>31</v>
      </c>
      <c r="C24" s="346">
        <f>25000+57296+6+2406+99</f>
        <v>84807</v>
      </c>
      <c r="D24" s="346">
        <v>62000</v>
      </c>
      <c r="E24" s="346">
        <f>57296+5000</f>
        <v>62296</v>
      </c>
      <c r="F24" s="346">
        <v>59000</v>
      </c>
      <c r="G24" s="346">
        <v>60062</v>
      </c>
      <c r="H24" s="346">
        <f>77296+145</f>
        <v>77441</v>
      </c>
      <c r="I24" s="346">
        <f>62000+17025+1515</f>
        <v>80540</v>
      </c>
      <c r="J24" s="346">
        <f>77296-100</f>
        <v>77196</v>
      </c>
      <c r="K24" s="346">
        <f>57296+15000+5888+404+1000</f>
        <v>79588</v>
      </c>
      <c r="L24" s="346">
        <v>62500</v>
      </c>
      <c r="M24" s="346">
        <v>66000</v>
      </c>
      <c r="N24" s="346">
        <f>10650+57296+1004</f>
        <v>68950</v>
      </c>
      <c r="O24" s="347">
        <f>'2.mell'!E37</f>
        <v>840380</v>
      </c>
      <c r="P24" s="137"/>
    </row>
    <row r="25" spans="1:16" ht="12.75">
      <c r="A25" s="354" t="s">
        <v>21</v>
      </c>
      <c r="B25" s="333" t="s">
        <v>76</v>
      </c>
      <c r="C25" s="343">
        <v>704</v>
      </c>
      <c r="D25" s="343">
        <v>704</v>
      </c>
      <c r="E25" s="343">
        <v>704</v>
      </c>
      <c r="F25" s="343">
        <v>704</v>
      </c>
      <c r="G25" s="343">
        <v>704</v>
      </c>
      <c r="H25" s="343">
        <v>704</v>
      </c>
      <c r="I25" s="343">
        <v>704</v>
      </c>
      <c r="J25" s="343">
        <v>704</v>
      </c>
      <c r="K25" s="343">
        <v>712</v>
      </c>
      <c r="L25" s="343">
        <v>712</v>
      </c>
      <c r="M25" s="343">
        <v>712</v>
      </c>
      <c r="N25" s="343">
        <v>712</v>
      </c>
      <c r="O25" s="344">
        <f>'2.mell'!C38</f>
        <v>8480</v>
      </c>
      <c r="P25" s="137"/>
    </row>
    <row r="26" spans="1:16" ht="13.5" customHeight="1">
      <c r="A26" s="354" t="s">
        <v>22</v>
      </c>
      <c r="B26" s="334" t="s">
        <v>112</v>
      </c>
      <c r="C26" s="343">
        <v>17250</v>
      </c>
      <c r="D26" s="343">
        <v>17250</v>
      </c>
      <c r="E26" s="343">
        <f>17250+3260+3674+13046+28062</f>
        <v>65292</v>
      </c>
      <c r="F26" s="343">
        <v>17250</v>
      </c>
      <c r="G26" s="343">
        <v>19589</v>
      </c>
      <c r="H26" s="343">
        <v>19598</v>
      </c>
      <c r="I26" s="343">
        <v>19607</v>
      </c>
      <c r="J26" s="343">
        <f>19616+100</f>
        <v>19716</v>
      </c>
      <c r="K26" s="343">
        <f>19625+567+1000+530</f>
        <v>21722</v>
      </c>
      <c r="L26" s="343">
        <v>19634</v>
      </c>
      <c r="M26" s="343">
        <v>19643</v>
      </c>
      <c r="N26" s="343">
        <f>320000+17254+2227</f>
        <v>339481</v>
      </c>
      <c r="O26" s="344">
        <f>'2.mell'!C39</f>
        <v>596032</v>
      </c>
      <c r="P26" s="137"/>
    </row>
    <row r="27" spans="1:16" ht="14.25" customHeight="1">
      <c r="A27" s="354" t="s">
        <v>23</v>
      </c>
      <c r="B27" s="335" t="s">
        <v>41</v>
      </c>
      <c r="C27" s="343">
        <v>18833</v>
      </c>
      <c r="D27" s="343">
        <v>18833</v>
      </c>
      <c r="E27" s="343">
        <f>18833+10644</f>
        <v>29477</v>
      </c>
      <c r="F27" s="343">
        <v>18833</v>
      </c>
      <c r="G27" s="343">
        <v>50171</v>
      </c>
      <c r="H27" s="343">
        <f>48833+20787</f>
        <v>69620</v>
      </c>
      <c r="I27" s="343">
        <f>48833+20000</f>
        <v>68833</v>
      </c>
      <c r="J27" s="343">
        <f>80000+150000</f>
        <v>230000</v>
      </c>
      <c r="K27" s="343">
        <f>46379+18833</f>
        <v>65212</v>
      </c>
      <c r="L27" s="343">
        <v>90000</v>
      </c>
      <c r="M27" s="343">
        <f>64833+30000+30000</f>
        <v>124833</v>
      </c>
      <c r="N27" s="343">
        <f>10700+18833+10131+2255+2524+64097+70000-20574-31081</f>
        <v>126885</v>
      </c>
      <c r="O27" s="344">
        <f>'2.mell'!D42</f>
        <v>911530</v>
      </c>
      <c r="P27" s="137"/>
    </row>
    <row r="28" spans="1:16" ht="12.75">
      <c r="A28" s="354" t="s">
        <v>24</v>
      </c>
      <c r="B28" s="336" t="s">
        <v>42</v>
      </c>
      <c r="C28" s="355"/>
      <c r="D28" s="346"/>
      <c r="E28" s="346">
        <f>40000+7700</f>
        <v>47700</v>
      </c>
      <c r="F28" s="346"/>
      <c r="G28" s="346">
        <v>17257</v>
      </c>
      <c r="H28" s="346"/>
      <c r="I28" s="346">
        <v>1500</v>
      </c>
      <c r="J28" s="346"/>
      <c r="K28" s="346">
        <v>69459</v>
      </c>
      <c r="L28" s="346"/>
      <c r="M28" s="346">
        <v>9000</v>
      </c>
      <c r="N28" s="346">
        <f>21305+20574</f>
        <v>41879</v>
      </c>
      <c r="O28" s="347">
        <f>'2.mell'!D43</f>
        <v>186795</v>
      </c>
      <c r="P28" s="137"/>
    </row>
    <row r="29" spans="1:16" ht="12.75">
      <c r="A29" s="354" t="s">
        <v>25</v>
      </c>
      <c r="B29" s="337" t="s">
        <v>57</v>
      </c>
      <c r="C29" s="355"/>
      <c r="D29" s="346"/>
      <c r="E29" s="346"/>
      <c r="F29" s="346">
        <v>9754</v>
      </c>
      <c r="G29" s="346">
        <v>5000</v>
      </c>
      <c r="H29" s="346"/>
      <c r="I29" s="346">
        <v>6923</v>
      </c>
      <c r="J29" s="346"/>
      <c r="K29" s="346">
        <v>22231</v>
      </c>
      <c r="L29" s="346"/>
      <c r="M29" s="346"/>
      <c r="N29" s="346">
        <v>4513</v>
      </c>
      <c r="O29" s="347">
        <f>'2.mell'!D44</f>
        <v>48421</v>
      </c>
      <c r="P29" s="137"/>
    </row>
    <row r="30" spans="1:16" ht="14.25" customHeight="1" thickBot="1">
      <c r="A30" s="356" t="s">
        <v>26</v>
      </c>
      <c r="B30" s="338" t="s">
        <v>85</v>
      </c>
      <c r="C30" s="346">
        <v>18307</v>
      </c>
      <c r="D30" s="346">
        <v>200000</v>
      </c>
      <c r="E30" s="346"/>
      <c r="F30" s="346">
        <v>300000</v>
      </c>
      <c r="G30" s="346">
        <v>1500000</v>
      </c>
      <c r="H30" s="346"/>
      <c r="I30" s="346"/>
      <c r="J30" s="346">
        <v>1500000</v>
      </c>
      <c r="K30" s="346"/>
      <c r="L30" s="346"/>
      <c r="M30" s="346">
        <v>1500000</v>
      </c>
      <c r="N30" s="346"/>
      <c r="O30" s="357">
        <f>'2.mell'!E48</f>
        <v>5018307</v>
      </c>
      <c r="P30" s="137"/>
    </row>
    <row r="31" spans="1:16" ht="14.25" thickBot="1" thickTop="1">
      <c r="A31" s="752" t="s">
        <v>17</v>
      </c>
      <c r="B31" s="753"/>
      <c r="C31" s="358">
        <f>SUM(C22:C30)</f>
        <v>204217</v>
      </c>
      <c r="D31" s="358">
        <f aca="true" t="shared" si="1" ref="D31:M31">SUM(D22:D30)</f>
        <v>361668</v>
      </c>
      <c r="E31" s="358">
        <f t="shared" si="1"/>
        <v>268250</v>
      </c>
      <c r="F31" s="358">
        <f t="shared" si="1"/>
        <v>468322</v>
      </c>
      <c r="G31" s="358">
        <f t="shared" si="1"/>
        <v>1715564</v>
      </c>
      <c r="H31" s="358">
        <f>SUM(H22:H30)</f>
        <v>230244</v>
      </c>
      <c r="I31" s="358">
        <f t="shared" si="1"/>
        <v>240988</v>
      </c>
      <c r="J31" s="358">
        <f t="shared" si="1"/>
        <v>1890497</v>
      </c>
      <c r="K31" s="358">
        <f t="shared" si="1"/>
        <v>326773</v>
      </c>
      <c r="L31" s="358">
        <f>SUM(L22:L30)</f>
        <v>236433</v>
      </c>
      <c r="M31" s="358">
        <f t="shared" si="1"/>
        <v>1783779</v>
      </c>
      <c r="N31" s="358">
        <f>SUM(N22:N30)</f>
        <v>645936</v>
      </c>
      <c r="O31" s="359">
        <f>SUM(O22:O30)</f>
        <v>8372671</v>
      </c>
      <c r="P31" s="137"/>
    </row>
    <row r="32" spans="1:15" ht="7.5" customHeight="1">
      <c r="A32" s="339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</row>
    <row r="34" spans="3:15" ht="12.75"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3:14" ht="12.75"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</row>
    <row r="36" spans="3:14" ht="12.75"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</row>
    <row r="39" ht="12.75">
      <c r="L39" s="360"/>
    </row>
  </sheetData>
  <sheetProtection/>
  <mergeCells count="5">
    <mergeCell ref="A31:B31"/>
    <mergeCell ref="L1:O1"/>
    <mergeCell ref="A4:O4"/>
    <mergeCell ref="A15:B15"/>
    <mergeCell ref="A19:O19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6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4.125" style="246" customWidth="1"/>
    <col min="2" max="2" width="51.375" style="247" customWidth="1"/>
    <col min="3" max="3" width="11.375" style="312" customWidth="1"/>
    <col min="4" max="4" width="11.625" style="312" customWidth="1"/>
    <col min="5" max="5" width="10.75390625" style="313" customWidth="1"/>
    <col min="6" max="16384" width="9.125" style="4" customWidth="1"/>
  </cols>
  <sheetData>
    <row r="1" spans="3:6" ht="12.75" customHeight="1">
      <c r="C1" s="771" t="s">
        <v>430</v>
      </c>
      <c r="D1" s="771"/>
      <c r="E1" s="771"/>
      <c r="F1" s="382"/>
    </row>
    <row r="6" spans="3:5" ht="13.5" thickBot="1">
      <c r="C6" s="248"/>
      <c r="D6" s="248"/>
      <c r="E6" s="249" t="s">
        <v>3</v>
      </c>
    </row>
    <row r="7" spans="1:5" ht="5.25" customHeight="1">
      <c r="A7" s="250"/>
      <c r="B7" s="251"/>
      <c r="C7" s="252"/>
      <c r="D7" s="252"/>
      <c r="E7" s="253"/>
    </row>
    <row r="8" spans="1:5" s="5" customFormat="1" ht="12.75">
      <c r="A8" s="772" t="s">
        <v>32</v>
      </c>
      <c r="B8" s="773"/>
      <c r="C8" s="255" t="s">
        <v>33</v>
      </c>
      <c r="D8" s="255" t="s">
        <v>34</v>
      </c>
      <c r="E8" s="774" t="s">
        <v>35</v>
      </c>
    </row>
    <row r="9" spans="1:5" s="5" customFormat="1" ht="12.75">
      <c r="A9" s="772"/>
      <c r="B9" s="773"/>
      <c r="C9" s="255" t="s">
        <v>36</v>
      </c>
      <c r="D9" s="255" t="s">
        <v>36</v>
      </c>
      <c r="E9" s="774"/>
    </row>
    <row r="10" spans="1:5" ht="4.5" customHeight="1" thickBot="1">
      <c r="A10" s="256"/>
      <c r="B10" s="257"/>
      <c r="C10" s="258"/>
      <c r="D10" s="258"/>
      <c r="E10" s="259"/>
    </row>
    <row r="11" spans="1:5" ht="13.5" customHeight="1" thickBot="1">
      <c r="A11" s="766" t="s">
        <v>37</v>
      </c>
      <c r="B11" s="767"/>
      <c r="C11" s="767"/>
      <c r="D11" s="767"/>
      <c r="E11" s="768"/>
    </row>
    <row r="12" spans="1:5" s="6" customFormat="1" ht="25.5" customHeight="1">
      <c r="A12" s="254" t="s">
        <v>38</v>
      </c>
      <c r="B12" s="260" t="s">
        <v>348</v>
      </c>
      <c r="C12" s="261">
        <f>'3.mell'!F9+'3.mell'!F12</f>
        <v>111361</v>
      </c>
      <c r="D12" s="261">
        <f>'3.mell'!G18</f>
        <v>1000</v>
      </c>
      <c r="E12" s="262">
        <f>SUM(C12:D12)</f>
        <v>112361</v>
      </c>
    </row>
    <row r="13" spans="1:5" s="6" customFormat="1" ht="12.75" customHeight="1">
      <c r="A13" s="254"/>
      <c r="B13" s="263" t="s">
        <v>144</v>
      </c>
      <c r="C13" s="264">
        <f>'4.mell '!G10</f>
        <v>35405</v>
      </c>
      <c r="D13" s="264">
        <v>0</v>
      </c>
      <c r="E13" s="265">
        <f>C13</f>
        <v>35405</v>
      </c>
    </row>
    <row r="14" spans="1:5" s="6" customFormat="1" ht="27.75" customHeight="1">
      <c r="A14" s="254" t="s">
        <v>39</v>
      </c>
      <c r="B14" s="266" t="s">
        <v>349</v>
      </c>
      <c r="C14" s="267"/>
      <c r="D14" s="267"/>
      <c r="E14" s="268"/>
    </row>
    <row r="15" spans="1:5" s="7" customFormat="1" ht="12" customHeight="1">
      <c r="A15" s="269" t="s">
        <v>18</v>
      </c>
      <c r="B15" s="270" t="s">
        <v>271</v>
      </c>
      <c r="C15" s="271">
        <f>'3.mell'!F21</f>
        <v>852616</v>
      </c>
      <c r="D15" s="272"/>
      <c r="E15" s="273">
        <f aca="true" t="shared" si="0" ref="E15:E21">SUM(C15:D15)</f>
        <v>852616</v>
      </c>
    </row>
    <row r="16" spans="1:6" s="7" customFormat="1" ht="12" customHeight="1">
      <c r="A16" s="269" t="s">
        <v>19</v>
      </c>
      <c r="B16" s="274" t="s">
        <v>272</v>
      </c>
      <c r="C16" s="272"/>
      <c r="D16" s="271">
        <f>'3.mell'!G56</f>
        <v>127641</v>
      </c>
      <c r="E16" s="273">
        <f>D16+C16</f>
        <v>127641</v>
      </c>
      <c r="F16" s="122"/>
    </row>
    <row r="17" spans="1:5" s="7" customFormat="1" ht="12" customHeight="1">
      <c r="A17" s="269" t="s">
        <v>20</v>
      </c>
      <c r="B17" s="270" t="s">
        <v>128</v>
      </c>
      <c r="C17" s="271">
        <f>'3.mell'!F64</f>
        <v>591500</v>
      </c>
      <c r="D17" s="271">
        <f>'3.mell'!G64</f>
        <v>0</v>
      </c>
      <c r="E17" s="273">
        <f>D17+C17</f>
        <v>591500</v>
      </c>
    </row>
    <row r="18" spans="1:5" s="7" customFormat="1" ht="12" customHeight="1">
      <c r="A18" s="269" t="s">
        <v>21</v>
      </c>
      <c r="B18" s="275" t="s">
        <v>273</v>
      </c>
      <c r="C18" s="276">
        <f>'3.mell'!F85</f>
        <v>106213</v>
      </c>
      <c r="D18" s="277"/>
      <c r="E18" s="273">
        <f t="shared" si="0"/>
        <v>106213</v>
      </c>
    </row>
    <row r="19" spans="1:5" s="7" customFormat="1" ht="12" customHeight="1">
      <c r="A19" s="269" t="s">
        <v>22</v>
      </c>
      <c r="B19" s="275" t="s">
        <v>274</v>
      </c>
      <c r="C19" s="277"/>
      <c r="D19" s="276">
        <f>'3.mell'!G117</f>
        <v>73521</v>
      </c>
      <c r="E19" s="273">
        <f t="shared" si="0"/>
        <v>73521</v>
      </c>
    </row>
    <row r="20" spans="1:5" s="7" customFormat="1" ht="12" customHeight="1">
      <c r="A20" s="269" t="s">
        <v>23</v>
      </c>
      <c r="B20" s="275" t="s">
        <v>270</v>
      </c>
      <c r="C20" s="276">
        <f>'3.mell'!F120</f>
        <v>8324</v>
      </c>
      <c r="D20" s="277"/>
      <c r="E20" s="273">
        <f t="shared" si="0"/>
        <v>8324</v>
      </c>
    </row>
    <row r="21" spans="1:5" s="7" customFormat="1" ht="12" customHeight="1" thickBot="1">
      <c r="A21" s="269" t="s">
        <v>24</v>
      </c>
      <c r="B21" s="275" t="s">
        <v>269</v>
      </c>
      <c r="C21" s="277"/>
      <c r="D21" s="276">
        <f>'3.mell'!G122</f>
        <v>4000</v>
      </c>
      <c r="E21" s="273">
        <f t="shared" si="0"/>
        <v>4000</v>
      </c>
    </row>
    <row r="22" spans="1:7" s="8" customFormat="1" ht="14.25" customHeight="1" thickBot="1" thickTop="1">
      <c r="A22" s="762" t="s">
        <v>275</v>
      </c>
      <c r="B22" s="763"/>
      <c r="C22" s="278">
        <f>C15+C17+C18+C20</f>
        <v>1558653</v>
      </c>
      <c r="D22" s="278">
        <f>D16+D17+D19+D21</f>
        <v>205162</v>
      </c>
      <c r="E22" s="279">
        <f>SUM(C22:D22)</f>
        <v>1763815</v>
      </c>
      <c r="G22" s="393"/>
    </row>
    <row r="23" spans="1:5" s="9" customFormat="1" ht="15" customHeight="1" thickBot="1" thickTop="1">
      <c r="A23" s="769" t="s">
        <v>347</v>
      </c>
      <c r="B23" s="770"/>
      <c r="C23" s="280">
        <f>SUM(C12)+C22</f>
        <v>1670014</v>
      </c>
      <c r="D23" s="280">
        <f>SUM(D12)+D22</f>
        <v>206162</v>
      </c>
      <c r="E23" s="281">
        <f>SUM(E12)+E22</f>
        <v>1876176</v>
      </c>
    </row>
    <row r="24" spans="1:8" s="9" customFormat="1" ht="30.75" customHeight="1" thickBot="1" thickTop="1">
      <c r="A24" s="775" t="s">
        <v>351</v>
      </c>
      <c r="B24" s="776"/>
      <c r="C24" s="280">
        <f>C23-C40</f>
        <v>-537604</v>
      </c>
      <c r="D24" s="280">
        <f>D23-D45</f>
        <v>-940584</v>
      </c>
      <c r="E24" s="282">
        <f>E23-E46</f>
        <v>-1478188</v>
      </c>
      <c r="G24" s="121"/>
      <c r="H24" s="121"/>
    </row>
    <row r="25" spans="1:7" s="9" customFormat="1" ht="18.75" customHeight="1" thickTop="1">
      <c r="A25" s="283" t="s">
        <v>43</v>
      </c>
      <c r="B25" s="284" t="s">
        <v>196</v>
      </c>
      <c r="C25" s="285"/>
      <c r="D25" s="285"/>
      <c r="E25" s="286"/>
      <c r="G25" s="121"/>
    </row>
    <row r="26" spans="1:9" s="9" customFormat="1" ht="31.5" customHeight="1">
      <c r="A26" s="287" t="s">
        <v>18</v>
      </c>
      <c r="B26" s="288" t="s">
        <v>412</v>
      </c>
      <c r="C26" s="289">
        <f>'3.mell'!F128+'3.mell'!F129+'3.mell'!F130+'3.mell'!F16+'3.mell'!F17</f>
        <v>555910</v>
      </c>
      <c r="D26" s="289">
        <f>'3.mell'!G128+'3.mell'!G129</f>
        <v>690584</v>
      </c>
      <c r="E26" s="290">
        <f>C26+D26</f>
        <v>1246494</v>
      </c>
      <c r="G26" s="121"/>
      <c r="H26" s="121"/>
      <c r="I26" s="121"/>
    </row>
    <row r="27" spans="1:7" s="9" customFormat="1" ht="15.75" customHeight="1">
      <c r="A27" s="390" t="s">
        <v>19</v>
      </c>
      <c r="B27" s="708" t="s">
        <v>314</v>
      </c>
      <c r="C27" s="709">
        <f>'3.mell'!F132+'3.mell'!F131</f>
        <v>5000001</v>
      </c>
      <c r="D27" s="709"/>
      <c r="E27" s="710">
        <f>C27</f>
        <v>5000001</v>
      </c>
      <c r="G27" s="121"/>
    </row>
    <row r="28" spans="1:7" s="9" customFormat="1" ht="28.5" customHeight="1" thickBot="1">
      <c r="A28" s="390" t="s">
        <v>20</v>
      </c>
      <c r="B28" s="391" t="s">
        <v>467</v>
      </c>
      <c r="C28" s="392">
        <f>'3.mell'!F133</f>
        <v>0</v>
      </c>
      <c r="D28" s="392">
        <f>'3.mell'!G133</f>
        <v>250000</v>
      </c>
      <c r="E28" s="711">
        <f>C28+D28</f>
        <v>250000</v>
      </c>
      <c r="G28" s="121"/>
    </row>
    <row r="29" spans="1:7" s="126" customFormat="1" ht="24.75" customHeight="1" thickBot="1" thickTop="1">
      <c r="A29" s="764" t="s">
        <v>198</v>
      </c>
      <c r="B29" s="765"/>
      <c r="C29" s="280">
        <f>C23+C26+C27+C28</f>
        <v>7225925</v>
      </c>
      <c r="D29" s="280">
        <f>D23+D26+D27+D28</f>
        <v>1146746</v>
      </c>
      <c r="E29" s="281">
        <f>D29+C29</f>
        <v>8372671</v>
      </c>
      <c r="G29" s="445"/>
    </row>
    <row r="30" spans="1:5" s="5" customFormat="1" ht="13.5" thickTop="1">
      <c r="A30" s="772" t="s">
        <v>32</v>
      </c>
      <c r="B30" s="773"/>
      <c r="C30" s="255" t="s">
        <v>33</v>
      </c>
      <c r="D30" s="255" t="s">
        <v>34</v>
      </c>
      <c r="E30" s="774" t="s">
        <v>35</v>
      </c>
    </row>
    <row r="31" spans="1:5" s="5" customFormat="1" ht="12.75">
      <c r="A31" s="772"/>
      <c r="B31" s="773"/>
      <c r="C31" s="255" t="s">
        <v>36</v>
      </c>
      <c r="D31" s="255" t="s">
        <v>36</v>
      </c>
      <c r="E31" s="774"/>
    </row>
    <row r="32" spans="1:5" ht="4.5" customHeight="1" thickBot="1">
      <c r="A32" s="256"/>
      <c r="B32" s="291"/>
      <c r="C32" s="258"/>
      <c r="D32" s="258"/>
      <c r="E32" s="259"/>
    </row>
    <row r="33" spans="1:5" ht="13.5" customHeight="1" thickBot="1">
      <c r="A33" s="766" t="s">
        <v>40</v>
      </c>
      <c r="B33" s="767"/>
      <c r="C33" s="767"/>
      <c r="D33" s="767"/>
      <c r="E33" s="768"/>
    </row>
    <row r="34" spans="1:5" s="6" customFormat="1" ht="11.25" customHeight="1">
      <c r="A34" s="254" t="s">
        <v>38</v>
      </c>
      <c r="B34" s="292" t="s">
        <v>148</v>
      </c>
      <c r="C34" s="293"/>
      <c r="D34" s="380"/>
      <c r="E34" s="294"/>
    </row>
    <row r="35" spans="1:5" s="7" customFormat="1" ht="13.5" customHeight="1">
      <c r="A35" s="269" t="s">
        <v>18</v>
      </c>
      <c r="B35" s="270" t="s">
        <v>30</v>
      </c>
      <c r="C35" s="271">
        <f>'3.mell'!F149</f>
        <v>601464</v>
      </c>
      <c r="D35" s="272"/>
      <c r="E35" s="273">
        <f>SUM(C35:D35)</f>
        <v>601464</v>
      </c>
    </row>
    <row r="36" spans="1:5" s="7" customFormat="1" ht="13.5" customHeight="1">
      <c r="A36" s="269" t="s">
        <v>19</v>
      </c>
      <c r="B36" s="275" t="s">
        <v>147</v>
      </c>
      <c r="C36" s="271">
        <f>'3.mell'!F150</f>
        <v>161262</v>
      </c>
      <c r="D36" s="277"/>
      <c r="E36" s="273">
        <f>SUM(C36:D36)</f>
        <v>161262</v>
      </c>
    </row>
    <row r="37" spans="1:5" s="7" customFormat="1" ht="13.5" customHeight="1">
      <c r="A37" s="269" t="s">
        <v>20</v>
      </c>
      <c r="B37" s="275" t="s">
        <v>31</v>
      </c>
      <c r="C37" s="271">
        <f>'3.mell'!F151</f>
        <v>840380</v>
      </c>
      <c r="D37" s="277"/>
      <c r="E37" s="273">
        <f>SUM(C37:D37)</f>
        <v>840380</v>
      </c>
    </row>
    <row r="38" spans="1:7" s="7" customFormat="1" ht="13.5" customHeight="1">
      <c r="A38" s="269" t="s">
        <v>21</v>
      </c>
      <c r="B38" s="216" t="s">
        <v>114</v>
      </c>
      <c r="C38" s="271">
        <f>'3.mell'!F152</f>
        <v>8480</v>
      </c>
      <c r="D38" s="277"/>
      <c r="E38" s="273">
        <f>C38</f>
        <v>8480</v>
      </c>
      <c r="G38" s="122"/>
    </row>
    <row r="39" spans="1:8" s="7" customFormat="1" ht="13.5" customHeight="1" thickBot="1">
      <c r="A39" s="269" t="s">
        <v>23</v>
      </c>
      <c r="B39" s="226" t="s">
        <v>112</v>
      </c>
      <c r="C39" s="271">
        <f>'3.mell'!F153</f>
        <v>596032</v>
      </c>
      <c r="D39" s="277"/>
      <c r="E39" s="273">
        <f>SUM(C39:D39)</f>
        <v>596032</v>
      </c>
      <c r="H39" s="122"/>
    </row>
    <row r="40" spans="1:5" s="8" customFormat="1" ht="14.25" customHeight="1" thickBot="1" thickTop="1">
      <c r="A40" s="762" t="s">
        <v>149</v>
      </c>
      <c r="B40" s="763"/>
      <c r="C40" s="278">
        <f>SUM(C35:C39)</f>
        <v>2207618</v>
      </c>
      <c r="D40" s="379"/>
      <c r="E40" s="295">
        <f>SUM(C40:D40)</f>
        <v>2207618</v>
      </c>
    </row>
    <row r="41" spans="1:5" s="6" customFormat="1" ht="15" customHeight="1" thickTop="1">
      <c r="A41" s="254" t="s">
        <v>39</v>
      </c>
      <c r="B41" s="292" t="s">
        <v>150</v>
      </c>
      <c r="C41" s="378"/>
      <c r="D41" s="296"/>
      <c r="E41" s="290"/>
    </row>
    <row r="42" spans="1:5" s="7" customFormat="1" ht="13.5" customHeight="1">
      <c r="A42" s="269" t="s">
        <v>18</v>
      </c>
      <c r="B42" s="270" t="s">
        <v>41</v>
      </c>
      <c r="C42" s="272"/>
      <c r="D42" s="271">
        <f>'3.mell'!G156</f>
        <v>911530</v>
      </c>
      <c r="E42" s="273">
        <f>SUM(C42:D42)</f>
        <v>911530</v>
      </c>
    </row>
    <row r="43" spans="1:5" s="7" customFormat="1" ht="12" customHeight="1">
      <c r="A43" s="269" t="s">
        <v>19</v>
      </c>
      <c r="B43" s="275" t="s">
        <v>42</v>
      </c>
      <c r="C43" s="277"/>
      <c r="D43" s="271">
        <f>'3.mell'!G157</f>
        <v>186795</v>
      </c>
      <c r="E43" s="273">
        <f>SUM(C43:D43)</f>
        <v>186795</v>
      </c>
    </row>
    <row r="44" spans="1:5" s="7" customFormat="1" ht="12" customHeight="1" thickBot="1">
      <c r="A44" s="269" t="s">
        <v>20</v>
      </c>
      <c r="B44" s="275" t="s">
        <v>57</v>
      </c>
      <c r="C44" s="277"/>
      <c r="D44" s="271">
        <f>'3.mell'!G158</f>
        <v>48421</v>
      </c>
      <c r="E44" s="273">
        <f>SUM(C44:D44)</f>
        <v>48421</v>
      </c>
    </row>
    <row r="45" spans="1:8" s="8" customFormat="1" ht="12.75" customHeight="1" thickBot="1" thickTop="1">
      <c r="A45" s="762" t="s">
        <v>151</v>
      </c>
      <c r="B45" s="763"/>
      <c r="C45" s="379"/>
      <c r="D45" s="278">
        <f>SUM(D42:D44)</f>
        <v>1146746</v>
      </c>
      <c r="E45" s="295">
        <f>SUM(C45:D45)</f>
        <v>1146746</v>
      </c>
      <c r="F45" s="393"/>
      <c r="G45" s="393"/>
      <c r="H45" s="393"/>
    </row>
    <row r="46" spans="1:8" s="8" customFormat="1" ht="12.75" customHeight="1" thickBot="1" thickTop="1">
      <c r="A46" s="769" t="s">
        <v>350</v>
      </c>
      <c r="B46" s="770"/>
      <c r="C46" s="299">
        <f>C40</f>
        <v>2207618</v>
      </c>
      <c r="D46" s="299">
        <f>D45</f>
        <v>1146746</v>
      </c>
      <c r="E46" s="300">
        <f>D46+C46</f>
        <v>3354364</v>
      </c>
      <c r="F46" s="393"/>
      <c r="G46" s="393"/>
      <c r="H46" s="393"/>
    </row>
    <row r="47" spans="1:5" s="8" customFormat="1" ht="12.75" customHeight="1" thickTop="1">
      <c r="A47" s="297" t="s">
        <v>43</v>
      </c>
      <c r="B47" s="298"/>
      <c r="C47" s="299"/>
      <c r="D47" s="299"/>
      <c r="E47" s="300"/>
    </row>
    <row r="48" spans="1:7" s="8" customFormat="1" ht="12.75" customHeight="1">
      <c r="A48" s="301"/>
      <c r="B48" s="302" t="s">
        <v>85</v>
      </c>
      <c r="C48" s="303">
        <f>'3.mell'!H160</f>
        <v>5018307</v>
      </c>
      <c r="D48" s="303">
        <f>'3.mell'!G160</f>
        <v>0</v>
      </c>
      <c r="E48" s="304">
        <f>D48+C48</f>
        <v>5018307</v>
      </c>
      <c r="G48" s="393"/>
    </row>
    <row r="49" spans="1:5" s="8" customFormat="1" ht="6.75" customHeight="1" thickBot="1">
      <c r="A49" s="305"/>
      <c r="B49" s="306"/>
      <c r="C49" s="307"/>
      <c r="D49" s="307"/>
      <c r="E49" s="308"/>
    </row>
    <row r="50" spans="1:8" s="9" customFormat="1" ht="15" customHeight="1" thickBot="1" thickTop="1">
      <c r="A50" s="760" t="s">
        <v>265</v>
      </c>
      <c r="B50" s="761"/>
      <c r="C50" s="309">
        <f>SUM(C40,C45)+C48</f>
        <v>7225925</v>
      </c>
      <c r="D50" s="309">
        <f>SUM(D40,D45)+D48</f>
        <v>1146746</v>
      </c>
      <c r="E50" s="310">
        <f>SUM(C50:D50)</f>
        <v>8372671</v>
      </c>
      <c r="H50" s="121"/>
    </row>
    <row r="51" spans="3:8" ht="12.75">
      <c r="C51" s="311"/>
      <c r="D51" s="311"/>
      <c r="E51" s="311"/>
      <c r="H51" s="399"/>
    </row>
    <row r="52" spans="3:5" ht="12.75">
      <c r="C52" s="381"/>
      <c r="D52" s="381"/>
      <c r="E52" s="381"/>
    </row>
    <row r="53" spans="3:5" ht="12.75">
      <c r="C53" s="311"/>
      <c r="D53" s="311"/>
      <c r="E53" s="311"/>
    </row>
    <row r="54" spans="3:5" ht="12.75">
      <c r="C54" s="311"/>
      <c r="D54" s="311"/>
      <c r="E54" s="311"/>
    </row>
    <row r="55" spans="3:5" ht="12.75">
      <c r="C55" s="311"/>
      <c r="D55" s="311"/>
      <c r="E55" s="311"/>
    </row>
    <row r="58" spans="3:6" ht="12.75">
      <c r="C58" s="381"/>
      <c r="D58" s="381"/>
      <c r="E58" s="381"/>
      <c r="F58" s="387"/>
    </row>
  </sheetData>
  <sheetProtection/>
  <mergeCells count="15">
    <mergeCell ref="C1:E1"/>
    <mergeCell ref="A8:B9"/>
    <mergeCell ref="E8:E9"/>
    <mergeCell ref="A11:E11"/>
    <mergeCell ref="A30:B31"/>
    <mergeCell ref="E30:E31"/>
    <mergeCell ref="A22:B22"/>
    <mergeCell ref="A23:B23"/>
    <mergeCell ref="A24:B24"/>
    <mergeCell ref="A50:B50"/>
    <mergeCell ref="A40:B40"/>
    <mergeCell ref="A45:B45"/>
    <mergeCell ref="A29:B29"/>
    <mergeCell ref="A33:E33"/>
    <mergeCell ref="A46:B4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SheetLayoutView="100" workbookViewId="0" topLeftCell="A1">
      <selection activeCell="E156" sqref="E156"/>
    </sheetView>
  </sheetViews>
  <sheetFormatPr defaultColWidth="9.00390625" defaultRowHeight="12" customHeight="1"/>
  <cols>
    <col min="1" max="1" width="3.125" style="157" customWidth="1"/>
    <col min="2" max="2" width="3.875" style="157" customWidth="1"/>
    <col min="3" max="3" width="7.375" style="157" customWidth="1"/>
    <col min="4" max="4" width="11.625" style="157" customWidth="1"/>
    <col min="5" max="5" width="88.125" style="236" customWidth="1"/>
    <col min="6" max="6" width="10.25390625" style="482" customWidth="1"/>
    <col min="7" max="7" width="9.625" style="482" customWidth="1"/>
    <col min="8" max="8" width="10.375" style="482" customWidth="1"/>
    <col min="9" max="16384" width="9.125" style="10" customWidth="1"/>
  </cols>
  <sheetData>
    <row r="1" spans="5:8" ht="9.75" customHeight="1">
      <c r="E1" s="865" t="s">
        <v>431</v>
      </c>
      <c r="F1" s="865"/>
      <c r="G1" s="865"/>
      <c r="H1" s="865"/>
    </row>
    <row r="2" spans="1:8" ht="15" customHeight="1">
      <c r="A2" s="158"/>
      <c r="B2" s="158"/>
      <c r="C2" s="158"/>
      <c r="D2" s="158"/>
      <c r="E2" s="159"/>
      <c r="F2" s="524"/>
      <c r="G2" s="524"/>
      <c r="H2" s="525"/>
    </row>
    <row r="3" spans="1:8" ht="14.25" customHeight="1" thickBot="1">
      <c r="A3" s="160"/>
      <c r="B3" s="160"/>
      <c r="C3" s="160"/>
      <c r="D3" s="160"/>
      <c r="E3" s="161"/>
      <c r="F3" s="526"/>
      <c r="G3" s="526"/>
      <c r="H3" s="527" t="s">
        <v>194</v>
      </c>
    </row>
    <row r="4" spans="1:8" ht="27" customHeight="1">
      <c r="A4" s="162"/>
      <c r="B4" s="163"/>
      <c r="C4" s="787" t="s">
        <v>210</v>
      </c>
      <c r="D4" s="800" t="s">
        <v>344</v>
      </c>
      <c r="E4" s="869" t="s">
        <v>44</v>
      </c>
      <c r="F4" s="867" t="s">
        <v>283</v>
      </c>
      <c r="G4" s="867" t="s">
        <v>302</v>
      </c>
      <c r="H4" s="785" t="s">
        <v>35</v>
      </c>
    </row>
    <row r="5" spans="1:8" ht="27" customHeight="1" thickBot="1">
      <c r="A5" s="164"/>
      <c r="B5" s="165"/>
      <c r="C5" s="788"/>
      <c r="D5" s="801"/>
      <c r="E5" s="870"/>
      <c r="F5" s="868"/>
      <c r="G5" s="868"/>
      <c r="H5" s="786"/>
    </row>
    <row r="6" spans="1:8" ht="21" customHeight="1" thickBot="1">
      <c r="A6" s="850" t="s">
        <v>211</v>
      </c>
      <c r="B6" s="851"/>
      <c r="C6" s="851"/>
      <c r="D6" s="851"/>
      <c r="E6" s="851"/>
      <c r="F6" s="851"/>
      <c r="G6" s="851"/>
      <c r="H6" s="852"/>
    </row>
    <row r="7" spans="1:8" s="11" customFormat="1" ht="13.5" customHeight="1">
      <c r="A7" s="166" t="s">
        <v>212</v>
      </c>
      <c r="B7" s="167"/>
      <c r="C7" s="168"/>
      <c r="D7" s="871" t="s">
        <v>165</v>
      </c>
      <c r="E7" s="871"/>
      <c r="F7" s="871"/>
      <c r="G7" s="871"/>
      <c r="H7" s="872"/>
    </row>
    <row r="8" spans="1:8" ht="4.5" customHeight="1">
      <c r="A8" s="169"/>
      <c r="B8" s="158"/>
      <c r="C8" s="158"/>
      <c r="D8" s="158"/>
      <c r="E8" s="170"/>
      <c r="F8" s="476"/>
      <c r="G8" s="476"/>
      <c r="H8" s="477"/>
    </row>
    <row r="9" spans="1:8" ht="15" customHeight="1">
      <c r="A9" s="171" t="s">
        <v>18</v>
      </c>
      <c r="B9" s="172"/>
      <c r="C9" s="172"/>
      <c r="D9" s="172"/>
      <c r="E9" s="173" t="s">
        <v>273</v>
      </c>
      <c r="F9" s="174">
        <f>F10+F11</f>
        <v>73154</v>
      </c>
      <c r="G9" s="189"/>
      <c r="H9" s="175">
        <f aca="true" t="shared" si="0" ref="H9:H14">F9+G9</f>
        <v>73154</v>
      </c>
    </row>
    <row r="10" spans="1:8" s="95" customFormat="1" ht="15" customHeight="1">
      <c r="A10" s="176"/>
      <c r="B10" s="177"/>
      <c r="C10" s="178" t="s">
        <v>359</v>
      </c>
      <c r="D10" s="177" t="s">
        <v>145</v>
      </c>
      <c r="E10" s="179" t="s">
        <v>176</v>
      </c>
      <c r="F10" s="180">
        <f>'4.mell '!D18</f>
        <v>8054</v>
      </c>
      <c r="G10" s="193"/>
      <c r="H10" s="432">
        <f t="shared" si="0"/>
        <v>8054</v>
      </c>
    </row>
    <row r="11" spans="1:8" s="95" customFormat="1" ht="15" customHeight="1">
      <c r="A11" s="181"/>
      <c r="B11" s="182"/>
      <c r="C11" s="183"/>
      <c r="D11" s="182" t="s">
        <v>146</v>
      </c>
      <c r="E11" s="179" t="s">
        <v>174</v>
      </c>
      <c r="F11" s="180">
        <f>'4.mell '!D19</f>
        <v>65100</v>
      </c>
      <c r="G11" s="193"/>
      <c r="H11" s="432">
        <f t="shared" si="0"/>
        <v>65100</v>
      </c>
    </row>
    <row r="12" spans="1:8" ht="15" customHeight="1">
      <c r="A12" s="169" t="s">
        <v>19</v>
      </c>
      <c r="B12" s="178"/>
      <c r="C12" s="178"/>
      <c r="D12" s="178"/>
      <c r="E12" s="173" t="s">
        <v>361</v>
      </c>
      <c r="F12" s="174">
        <f>F13+F14</f>
        <v>38207</v>
      </c>
      <c r="G12" s="490">
        <f>G13+G14</f>
        <v>1000</v>
      </c>
      <c r="H12" s="175">
        <f>F12+G12</f>
        <v>39207</v>
      </c>
    </row>
    <row r="13" spans="1:8" ht="15" customHeight="1">
      <c r="A13" s="169"/>
      <c r="B13" s="178"/>
      <c r="C13" s="178" t="s">
        <v>362</v>
      </c>
      <c r="D13" s="178" t="s">
        <v>145</v>
      </c>
      <c r="E13" s="179" t="s">
        <v>176</v>
      </c>
      <c r="F13" s="180">
        <f>'4.mell '!F18</f>
        <v>36776</v>
      </c>
      <c r="G13" s="513">
        <f>'4.mell '!E18</f>
        <v>0</v>
      </c>
      <c r="H13" s="432">
        <f t="shared" si="0"/>
        <v>36776</v>
      </c>
    </row>
    <row r="14" spans="1:8" ht="15" customHeight="1">
      <c r="A14" s="169"/>
      <c r="B14" s="178"/>
      <c r="C14" s="178" t="s">
        <v>360</v>
      </c>
      <c r="D14" s="178" t="s">
        <v>146</v>
      </c>
      <c r="E14" s="179" t="s">
        <v>174</v>
      </c>
      <c r="F14" s="180">
        <f>'4.mell '!F19+'4.mell '!H19</f>
        <v>1431</v>
      </c>
      <c r="G14" s="513">
        <f>'4.mell '!E19+'4.mell '!I19</f>
        <v>1000</v>
      </c>
      <c r="H14" s="432">
        <f t="shared" si="0"/>
        <v>2431</v>
      </c>
    </row>
    <row r="15" spans="1:8" ht="15" customHeight="1">
      <c r="A15" s="171" t="s">
        <v>20</v>
      </c>
      <c r="B15" s="673"/>
      <c r="C15" s="243"/>
      <c r="D15" s="243"/>
      <c r="E15" s="670" t="s">
        <v>197</v>
      </c>
      <c r="F15" s="510">
        <f>F16+F17</f>
        <v>54476</v>
      </c>
      <c r="G15" s="511"/>
      <c r="H15" s="512">
        <f>G15+F15</f>
        <v>54476</v>
      </c>
    </row>
    <row r="16" spans="1:8" ht="15" customHeight="1">
      <c r="A16" s="169"/>
      <c r="B16" s="158"/>
      <c r="C16" s="219" t="s">
        <v>403</v>
      </c>
      <c r="D16" s="219" t="s">
        <v>145</v>
      </c>
      <c r="E16" s="671" t="s">
        <v>176</v>
      </c>
      <c r="F16" s="180">
        <f>'4.mell '!K18+'4.mell '!K20</f>
        <v>52110</v>
      </c>
      <c r="G16" s="513"/>
      <c r="H16" s="432">
        <f>G16+F16</f>
        <v>52110</v>
      </c>
    </row>
    <row r="17" spans="1:8" ht="15" customHeight="1" thickBot="1">
      <c r="A17" s="169"/>
      <c r="B17" s="158"/>
      <c r="C17" s="672"/>
      <c r="D17" s="672" t="s">
        <v>146</v>
      </c>
      <c r="E17" s="671" t="s">
        <v>174</v>
      </c>
      <c r="F17" s="592">
        <f>'4.mell '!K19</f>
        <v>2366</v>
      </c>
      <c r="G17" s="644"/>
      <c r="H17" s="431">
        <f>G17+F17</f>
        <v>2366</v>
      </c>
    </row>
    <row r="18" spans="1:8" s="12" customFormat="1" ht="15" customHeight="1" thickBot="1" thickTop="1">
      <c r="A18" s="823" t="s">
        <v>195</v>
      </c>
      <c r="B18" s="824"/>
      <c r="C18" s="824"/>
      <c r="D18" s="824"/>
      <c r="E18" s="825"/>
      <c r="F18" s="582">
        <f>F9+F12</f>
        <v>111361</v>
      </c>
      <c r="G18" s="583">
        <f>G12+G9</f>
        <v>1000</v>
      </c>
      <c r="H18" s="584">
        <f>H9+H12</f>
        <v>112361</v>
      </c>
    </row>
    <row r="19" spans="1:8" s="11" customFormat="1" ht="16.5" customHeight="1" thickTop="1">
      <c r="A19" s="166" t="s">
        <v>213</v>
      </c>
      <c r="B19" s="167"/>
      <c r="C19" s="184"/>
      <c r="D19" s="873" t="s">
        <v>164</v>
      </c>
      <c r="E19" s="873"/>
      <c r="F19" s="873"/>
      <c r="G19" s="873"/>
      <c r="H19" s="874"/>
    </row>
    <row r="20" spans="1:8" s="12" customFormat="1" ht="5.25" customHeight="1">
      <c r="A20" s="185"/>
      <c r="B20" s="186"/>
      <c r="C20" s="158"/>
      <c r="D20" s="186"/>
      <c r="E20" s="187"/>
      <c r="F20" s="478"/>
      <c r="G20" s="478"/>
      <c r="H20" s="479"/>
    </row>
    <row r="21" spans="1:8" s="12" customFormat="1" ht="14.25" customHeight="1">
      <c r="A21" s="789" t="s">
        <v>284</v>
      </c>
      <c r="B21" s="790"/>
      <c r="C21" s="790"/>
      <c r="D21" s="790"/>
      <c r="E21" s="790"/>
      <c r="F21" s="626">
        <f>F23+F35+F38+F39+F41+F42</f>
        <v>852616</v>
      </c>
      <c r="G21" s="627"/>
      <c r="H21" s="628">
        <f>H23+H35+H38+H39+H41+H42</f>
        <v>852616</v>
      </c>
    </row>
    <row r="22" spans="1:8" s="12" customFormat="1" ht="5.25" customHeight="1">
      <c r="A22" s="185"/>
      <c r="B22" s="186"/>
      <c r="C22" s="158"/>
      <c r="D22" s="186"/>
      <c r="E22" s="187"/>
      <c r="F22" s="629"/>
      <c r="G22" s="630"/>
      <c r="H22" s="631"/>
    </row>
    <row r="23" spans="1:8" ht="17.25" customHeight="1">
      <c r="A23" s="878" t="s">
        <v>293</v>
      </c>
      <c r="B23" s="879"/>
      <c r="C23" s="880"/>
      <c r="D23" s="880"/>
      <c r="E23" s="881"/>
      <c r="F23" s="174">
        <f>F26+F25+F24+F32+F33+F34</f>
        <v>551127</v>
      </c>
      <c r="G23" s="189"/>
      <c r="H23" s="175">
        <f>H26+H25+H24+H32+H33+H34</f>
        <v>551127</v>
      </c>
    </row>
    <row r="24" spans="1:8" s="95" customFormat="1" ht="12.75" customHeight="1">
      <c r="A24" s="190"/>
      <c r="B24" s="191">
        <v>1</v>
      </c>
      <c r="C24" s="178" t="s">
        <v>214</v>
      </c>
      <c r="D24" s="177" t="s">
        <v>145</v>
      </c>
      <c r="E24" s="384" t="s">
        <v>177</v>
      </c>
      <c r="F24" s="203">
        <f>135984</f>
        <v>135984</v>
      </c>
      <c r="G24" s="204"/>
      <c r="H24" s="206">
        <f aca="true" t="shared" si="1" ref="H24:H33">G24+F24</f>
        <v>135984</v>
      </c>
    </row>
    <row r="25" spans="1:8" s="95" customFormat="1" ht="12.75" customHeight="1">
      <c r="A25" s="190"/>
      <c r="B25" s="191">
        <v>2</v>
      </c>
      <c r="C25" s="178" t="s">
        <v>215</v>
      </c>
      <c r="D25" s="177" t="s">
        <v>145</v>
      </c>
      <c r="E25" s="385" t="s">
        <v>216</v>
      </c>
      <c r="F25" s="200">
        <f>212647</f>
        <v>212647</v>
      </c>
      <c r="G25" s="201"/>
      <c r="H25" s="206">
        <f t="shared" si="1"/>
        <v>212647</v>
      </c>
    </row>
    <row r="26" spans="1:8" s="95" customFormat="1" ht="12.75" customHeight="1">
      <c r="A26" s="190"/>
      <c r="B26" s="191">
        <v>3</v>
      </c>
      <c r="C26" s="178" t="s">
        <v>217</v>
      </c>
      <c r="D26" s="177" t="s">
        <v>145</v>
      </c>
      <c r="E26" s="385" t="s">
        <v>276</v>
      </c>
      <c r="F26" s="200">
        <f>SUM(F27:F31)</f>
        <v>181448</v>
      </c>
      <c r="G26" s="201"/>
      <c r="H26" s="206">
        <f t="shared" si="1"/>
        <v>181448</v>
      </c>
    </row>
    <row r="27" spans="1:8" s="95" customFormat="1" ht="12.75" customHeight="1">
      <c r="A27" s="190"/>
      <c r="B27" s="191"/>
      <c r="C27" s="178"/>
      <c r="D27" s="177"/>
      <c r="E27" s="383" t="s">
        <v>422</v>
      </c>
      <c r="F27" s="180">
        <f>5400+27000</f>
        <v>32400</v>
      </c>
      <c r="G27" s="193"/>
      <c r="H27" s="192">
        <f t="shared" si="1"/>
        <v>32400</v>
      </c>
    </row>
    <row r="28" spans="1:8" s="95" customFormat="1" ht="12.75" customHeight="1">
      <c r="A28" s="190"/>
      <c r="B28" s="191"/>
      <c r="C28" s="178"/>
      <c r="D28" s="177"/>
      <c r="E28" s="383" t="s">
        <v>309</v>
      </c>
      <c r="F28" s="180">
        <f>20752+1509</f>
        <v>22261</v>
      </c>
      <c r="G28" s="193"/>
      <c r="H28" s="192">
        <f t="shared" si="1"/>
        <v>22261</v>
      </c>
    </row>
    <row r="29" spans="1:8" s="95" customFormat="1" ht="12.75" customHeight="1">
      <c r="A29" s="190"/>
      <c r="B29" s="191"/>
      <c r="C29" s="178"/>
      <c r="D29" s="177"/>
      <c r="E29" s="383" t="s">
        <v>311</v>
      </c>
      <c r="F29" s="180">
        <f>41697+4977</f>
        <v>46674</v>
      </c>
      <c r="G29" s="193"/>
      <c r="H29" s="192">
        <f t="shared" si="1"/>
        <v>46674</v>
      </c>
    </row>
    <row r="30" spans="1:8" s="95" customFormat="1" ht="12.75" customHeight="1">
      <c r="A30" s="190"/>
      <c r="B30" s="191"/>
      <c r="C30" s="178"/>
      <c r="D30" s="177"/>
      <c r="E30" s="383" t="s">
        <v>310</v>
      </c>
      <c r="F30" s="180">
        <f>33244+33742+2605</f>
        <v>69591</v>
      </c>
      <c r="G30" s="193"/>
      <c r="H30" s="192">
        <f t="shared" si="1"/>
        <v>69591</v>
      </c>
    </row>
    <row r="31" spans="1:8" s="95" customFormat="1" ht="12.75" customHeight="1">
      <c r="A31" s="190"/>
      <c r="B31" s="191"/>
      <c r="C31" s="178"/>
      <c r="D31" s="177"/>
      <c r="E31" s="383" t="s">
        <v>424</v>
      </c>
      <c r="F31" s="180">
        <f>3081+1959+1972+940+2570</f>
        <v>10522</v>
      </c>
      <c r="G31" s="193"/>
      <c r="H31" s="192">
        <f>F31</f>
        <v>10522</v>
      </c>
    </row>
    <row r="32" spans="1:8" s="95" customFormat="1" ht="12.75" customHeight="1">
      <c r="A32" s="190"/>
      <c r="B32" s="191">
        <v>4</v>
      </c>
      <c r="C32" s="178" t="s">
        <v>218</v>
      </c>
      <c r="D32" s="177" t="s">
        <v>145</v>
      </c>
      <c r="E32" s="385" t="s">
        <v>219</v>
      </c>
      <c r="F32" s="200">
        <f>16524+870</f>
        <v>17394</v>
      </c>
      <c r="G32" s="201"/>
      <c r="H32" s="206">
        <f t="shared" si="1"/>
        <v>17394</v>
      </c>
    </row>
    <row r="33" spans="1:8" s="95" customFormat="1" ht="12.75" customHeight="1">
      <c r="A33" s="190"/>
      <c r="B33" s="191">
        <v>5</v>
      </c>
      <c r="C33" s="178" t="s">
        <v>220</v>
      </c>
      <c r="D33" s="177" t="s">
        <v>145</v>
      </c>
      <c r="E33" s="385" t="s">
        <v>277</v>
      </c>
      <c r="F33" s="200">
        <f>1656+1+1997</f>
        <v>3654</v>
      </c>
      <c r="G33" s="201"/>
      <c r="H33" s="206">
        <f t="shared" si="1"/>
        <v>3654</v>
      </c>
    </row>
    <row r="34" spans="1:8" ht="12.75" customHeight="1">
      <c r="A34" s="194" t="s">
        <v>75</v>
      </c>
      <c r="B34" s="191">
        <v>6</v>
      </c>
      <c r="C34" s="178" t="s">
        <v>221</v>
      </c>
      <c r="D34" s="178" t="s">
        <v>145</v>
      </c>
      <c r="E34" s="386" t="s">
        <v>222</v>
      </c>
      <c r="F34" s="195">
        <v>0</v>
      </c>
      <c r="G34" s="196"/>
      <c r="H34" s="197">
        <f>F34</f>
        <v>0</v>
      </c>
    </row>
    <row r="35" spans="1:8" ht="15.75" customHeight="1">
      <c r="A35" s="791" t="s">
        <v>223</v>
      </c>
      <c r="B35" s="792"/>
      <c r="C35" s="802"/>
      <c r="D35" s="802"/>
      <c r="E35" s="793"/>
      <c r="F35" s="174">
        <f>SUM(F36:F37)</f>
        <v>49042</v>
      </c>
      <c r="G35" s="189"/>
      <c r="H35" s="175">
        <f>F35</f>
        <v>49042</v>
      </c>
    </row>
    <row r="36" spans="1:8" ht="12.75" customHeight="1">
      <c r="A36" s="466"/>
      <c r="B36" s="808">
        <v>1</v>
      </c>
      <c r="C36" s="464"/>
      <c r="D36" s="222" t="s">
        <v>145</v>
      </c>
      <c r="E36" s="794" t="s">
        <v>443</v>
      </c>
      <c r="F36" s="200">
        <v>47167</v>
      </c>
      <c r="G36" s="189"/>
      <c r="H36" s="485">
        <f>F36</f>
        <v>47167</v>
      </c>
    </row>
    <row r="37" spans="1:8" ht="12.75" customHeight="1">
      <c r="A37" s="465"/>
      <c r="B37" s="866"/>
      <c r="C37" s="467"/>
      <c r="D37" s="468" t="s">
        <v>146</v>
      </c>
      <c r="E37" s="795"/>
      <c r="F37" s="200">
        <v>1875</v>
      </c>
      <c r="G37" s="189"/>
      <c r="H37" s="485">
        <f>F37</f>
        <v>1875</v>
      </c>
    </row>
    <row r="38" spans="1:8" ht="14.25" customHeight="1">
      <c r="A38" s="804" t="s">
        <v>224</v>
      </c>
      <c r="B38" s="802"/>
      <c r="C38" s="802"/>
      <c r="D38" s="802"/>
      <c r="E38" s="793"/>
      <c r="F38" s="174">
        <v>0</v>
      </c>
      <c r="G38" s="189"/>
      <c r="H38" s="175">
        <v>0</v>
      </c>
    </row>
    <row r="39" spans="1:8" ht="16.5" customHeight="1">
      <c r="A39" s="791" t="s">
        <v>225</v>
      </c>
      <c r="B39" s="792"/>
      <c r="C39" s="802"/>
      <c r="D39" s="802"/>
      <c r="E39" s="793"/>
      <c r="F39" s="174">
        <f>F40</f>
        <v>6612</v>
      </c>
      <c r="G39" s="189"/>
      <c r="H39" s="175">
        <f>F39</f>
        <v>6612</v>
      </c>
    </row>
    <row r="40" spans="1:8" ht="16.5" customHeight="1">
      <c r="A40" s="465"/>
      <c r="B40" s="694">
        <v>1</v>
      </c>
      <c r="C40" s="697" t="s">
        <v>457</v>
      </c>
      <c r="D40" s="696" t="s">
        <v>145</v>
      </c>
      <c r="E40" s="695" t="s">
        <v>456</v>
      </c>
      <c r="F40" s="200">
        <v>6612</v>
      </c>
      <c r="G40" s="201"/>
      <c r="H40" s="485">
        <f>F40</f>
        <v>6612</v>
      </c>
    </row>
    <row r="41" spans="1:8" ht="15.75" customHeight="1">
      <c r="A41" s="804" t="s">
        <v>226</v>
      </c>
      <c r="B41" s="802"/>
      <c r="C41" s="802"/>
      <c r="D41" s="802"/>
      <c r="E41" s="793"/>
      <c r="F41" s="174">
        <v>0</v>
      </c>
      <c r="G41" s="189"/>
      <c r="H41" s="175">
        <v>0</v>
      </c>
    </row>
    <row r="42" spans="1:8" ht="15" customHeight="1">
      <c r="A42" s="791" t="s">
        <v>227</v>
      </c>
      <c r="B42" s="792"/>
      <c r="C42" s="792"/>
      <c r="D42" s="792"/>
      <c r="E42" s="799"/>
      <c r="F42" s="174">
        <f>F43+F46</f>
        <v>245835</v>
      </c>
      <c r="G42" s="189"/>
      <c r="H42" s="175">
        <f>H43+H46</f>
        <v>245835</v>
      </c>
    </row>
    <row r="43" spans="1:8" ht="12" customHeight="1">
      <c r="A43" s="194"/>
      <c r="B43" s="178"/>
      <c r="C43" s="796" t="s">
        <v>290</v>
      </c>
      <c r="D43" s="797"/>
      <c r="E43" s="798"/>
      <c r="F43" s="592">
        <f>SUM(F44:F45)</f>
        <v>6507</v>
      </c>
      <c r="G43" s="593"/>
      <c r="H43" s="431">
        <f>SUM(H44:H45)</f>
        <v>6507</v>
      </c>
    </row>
    <row r="44" spans="1:8" ht="14.25" customHeight="1">
      <c r="A44" s="194"/>
      <c r="B44" s="178">
        <v>1</v>
      </c>
      <c r="C44" s="198" t="s">
        <v>303</v>
      </c>
      <c r="D44" s="198" t="s">
        <v>145</v>
      </c>
      <c r="E44" s="205" t="s">
        <v>228</v>
      </c>
      <c r="F44" s="200">
        <v>4007</v>
      </c>
      <c r="G44" s="204"/>
      <c r="H44" s="485">
        <f>F44+G44</f>
        <v>4007</v>
      </c>
    </row>
    <row r="45" spans="1:8" ht="14.25" customHeight="1">
      <c r="A45" s="194"/>
      <c r="B45" s="178">
        <v>2</v>
      </c>
      <c r="C45" s="748" t="s">
        <v>303</v>
      </c>
      <c r="D45" s="750" t="s">
        <v>145</v>
      </c>
      <c r="E45" s="749" t="s">
        <v>492</v>
      </c>
      <c r="F45" s="203">
        <v>2500</v>
      </c>
      <c r="G45" s="204"/>
      <c r="H45" s="206">
        <f>F45</f>
        <v>2500</v>
      </c>
    </row>
    <row r="46" spans="1:8" ht="11.25" customHeight="1">
      <c r="A46" s="194"/>
      <c r="B46" s="178"/>
      <c r="C46" s="796" t="s">
        <v>291</v>
      </c>
      <c r="D46" s="797"/>
      <c r="E46" s="798"/>
      <c r="F46" s="598">
        <f>SUM(F47:F55)</f>
        <v>239328</v>
      </c>
      <c r="G46" s="599"/>
      <c r="H46" s="192">
        <f>F46</f>
        <v>239328</v>
      </c>
    </row>
    <row r="47" spans="1:8" ht="14.25" customHeight="1">
      <c r="A47" s="194"/>
      <c r="B47" s="178">
        <v>1</v>
      </c>
      <c r="C47" s="198" t="s">
        <v>303</v>
      </c>
      <c r="D47" s="198" t="s">
        <v>145</v>
      </c>
      <c r="E47" s="205" t="s">
        <v>207</v>
      </c>
      <c r="F47" s="203">
        <v>600</v>
      </c>
      <c r="G47" s="204"/>
      <c r="H47" s="206">
        <f>F47+G47</f>
        <v>600</v>
      </c>
    </row>
    <row r="48" spans="1:8" ht="14.25" customHeight="1">
      <c r="A48" s="194"/>
      <c r="B48" s="178">
        <v>2</v>
      </c>
      <c r="C48" s="198" t="s">
        <v>303</v>
      </c>
      <c r="D48" s="198" t="s">
        <v>145</v>
      </c>
      <c r="E48" s="205" t="s">
        <v>111</v>
      </c>
      <c r="F48" s="200">
        <f>71967</f>
        <v>71967</v>
      </c>
      <c r="G48" s="201"/>
      <c r="H48" s="206">
        <f>F48+G48</f>
        <v>71967</v>
      </c>
    </row>
    <row r="49" spans="1:8" ht="14.25" customHeight="1">
      <c r="A49" s="194"/>
      <c r="B49" s="178">
        <v>3</v>
      </c>
      <c r="C49" s="198" t="s">
        <v>303</v>
      </c>
      <c r="D49" s="198" t="s">
        <v>146</v>
      </c>
      <c r="E49" s="205" t="s">
        <v>47</v>
      </c>
      <c r="F49" s="200">
        <v>1080</v>
      </c>
      <c r="G49" s="201"/>
      <c r="H49" s="206">
        <f>F49+G49</f>
        <v>1080</v>
      </c>
    </row>
    <row r="50" spans="1:8" ht="14.25" customHeight="1">
      <c r="A50" s="194"/>
      <c r="B50" s="178">
        <v>4</v>
      </c>
      <c r="C50" s="198" t="s">
        <v>303</v>
      </c>
      <c r="D50" s="198" t="s">
        <v>145</v>
      </c>
      <c r="E50" s="202" t="s">
        <v>77</v>
      </c>
      <c r="F50" s="200">
        <v>500</v>
      </c>
      <c r="G50" s="201"/>
      <c r="H50" s="206">
        <f>F50+G50</f>
        <v>500</v>
      </c>
    </row>
    <row r="51" spans="1:8" ht="13.5" customHeight="1">
      <c r="A51" s="194"/>
      <c r="B51" s="178">
        <v>5</v>
      </c>
      <c r="C51" s="394" t="s">
        <v>303</v>
      </c>
      <c r="D51" s="207" t="s">
        <v>146</v>
      </c>
      <c r="E51" s="208" t="s">
        <v>426</v>
      </c>
      <c r="F51" s="195">
        <f>6629+10349-3081+7705-5587-940-4566-1</f>
        <v>10508</v>
      </c>
      <c r="G51" s="196"/>
      <c r="H51" s="197">
        <f>F51</f>
        <v>10508</v>
      </c>
    </row>
    <row r="52" spans="1:8" ht="13.5" customHeight="1">
      <c r="A52" s="194"/>
      <c r="B52" s="178">
        <v>6</v>
      </c>
      <c r="C52" s="207" t="s">
        <v>303</v>
      </c>
      <c r="D52" s="207" t="s">
        <v>146</v>
      </c>
      <c r="E52" s="208" t="s">
        <v>317</v>
      </c>
      <c r="F52" s="195">
        <v>114676</v>
      </c>
      <c r="G52" s="196"/>
      <c r="H52" s="197">
        <f>F52</f>
        <v>114676</v>
      </c>
    </row>
    <row r="53" spans="1:8" ht="13.5" customHeight="1">
      <c r="A53" s="194"/>
      <c r="B53" s="178">
        <v>7</v>
      </c>
      <c r="C53" s="207" t="s">
        <v>303</v>
      </c>
      <c r="D53" s="207" t="s">
        <v>146</v>
      </c>
      <c r="E53" s="208" t="s">
        <v>363</v>
      </c>
      <c r="F53" s="195">
        <f>21006-5500-917</f>
        <v>14589</v>
      </c>
      <c r="G53" s="196"/>
      <c r="H53" s="197">
        <f>F53</f>
        <v>14589</v>
      </c>
    </row>
    <row r="54" spans="1:8" ht="13.5" customHeight="1">
      <c r="A54" s="194"/>
      <c r="B54" s="158">
        <v>8</v>
      </c>
      <c r="C54" s="207" t="s">
        <v>303</v>
      </c>
      <c r="D54" s="207" t="s">
        <v>146</v>
      </c>
      <c r="E54" s="208" t="s">
        <v>390</v>
      </c>
      <c r="F54" s="195">
        <f>2100*12</f>
        <v>25200</v>
      </c>
      <c r="G54" s="196"/>
      <c r="H54" s="197">
        <f>F54</f>
        <v>25200</v>
      </c>
    </row>
    <row r="55" spans="1:8" ht="13.5" customHeight="1">
      <c r="A55" s="194"/>
      <c r="B55" s="158">
        <v>9</v>
      </c>
      <c r="C55" s="751" t="s">
        <v>303</v>
      </c>
      <c r="D55" s="751" t="s">
        <v>146</v>
      </c>
      <c r="E55" s="705" t="s">
        <v>493</v>
      </c>
      <c r="F55" s="494">
        <v>208</v>
      </c>
      <c r="G55" s="693"/>
      <c r="H55" s="496">
        <f>F55</f>
        <v>208</v>
      </c>
    </row>
    <row r="56" spans="1:8" ht="16.5" customHeight="1">
      <c r="A56" s="780" t="s">
        <v>294</v>
      </c>
      <c r="B56" s="781"/>
      <c r="C56" s="781"/>
      <c r="D56" s="781"/>
      <c r="E56" s="782"/>
      <c r="F56" s="528"/>
      <c r="G56" s="508">
        <f>SUM(G57:G63)</f>
        <v>127641</v>
      </c>
      <c r="H56" s="509">
        <f aca="true" t="shared" si="2" ref="H56:H62">G56</f>
        <v>127641</v>
      </c>
    </row>
    <row r="57" spans="1:8" ht="13.5" customHeight="1">
      <c r="A57" s="188"/>
      <c r="B57" s="210">
        <v>1</v>
      </c>
      <c r="C57" s="211" t="s">
        <v>304</v>
      </c>
      <c r="D57" s="211" t="s">
        <v>146</v>
      </c>
      <c r="E57" s="208" t="s">
        <v>317</v>
      </c>
      <c r="F57" s="480"/>
      <c r="G57" s="493">
        <v>28741</v>
      </c>
      <c r="H57" s="197">
        <f t="shared" si="2"/>
        <v>28741</v>
      </c>
    </row>
    <row r="58" spans="1:8" ht="13.5" customHeight="1">
      <c r="A58" s="188"/>
      <c r="B58" s="210">
        <v>2</v>
      </c>
      <c r="C58" s="211" t="s">
        <v>304</v>
      </c>
      <c r="D58" s="211" t="s">
        <v>146</v>
      </c>
      <c r="E58" s="208" t="s">
        <v>363</v>
      </c>
      <c r="F58" s="480"/>
      <c r="G58" s="493">
        <v>917</v>
      </c>
      <c r="H58" s="197">
        <f t="shared" si="2"/>
        <v>917</v>
      </c>
    </row>
    <row r="59" spans="1:8" ht="12" customHeight="1">
      <c r="A59" s="188"/>
      <c r="B59" s="210">
        <v>3</v>
      </c>
      <c r="C59" s="211" t="s">
        <v>304</v>
      </c>
      <c r="D59" s="211" t="s">
        <v>145</v>
      </c>
      <c r="E59" s="208" t="s">
        <v>370</v>
      </c>
      <c r="F59" s="480"/>
      <c r="G59" s="493">
        <v>5280</v>
      </c>
      <c r="H59" s="197">
        <f t="shared" si="2"/>
        <v>5280</v>
      </c>
    </row>
    <row r="60" spans="1:8" ht="12" customHeight="1">
      <c r="A60" s="188"/>
      <c r="B60" s="210">
        <v>4</v>
      </c>
      <c r="C60" s="211" t="s">
        <v>304</v>
      </c>
      <c r="D60" s="211" t="s">
        <v>146</v>
      </c>
      <c r="E60" s="208" t="s">
        <v>371</v>
      </c>
      <c r="F60" s="480"/>
      <c r="G60" s="493">
        <v>588</v>
      </c>
      <c r="H60" s="197">
        <f t="shared" si="2"/>
        <v>588</v>
      </c>
    </row>
    <row r="61" spans="1:8" ht="12" customHeight="1">
      <c r="A61" s="188"/>
      <c r="B61" s="210">
        <v>5</v>
      </c>
      <c r="C61" s="211" t="s">
        <v>304</v>
      </c>
      <c r="D61" s="211" t="s">
        <v>145</v>
      </c>
      <c r="E61" s="701" t="s">
        <v>458</v>
      </c>
      <c r="F61" s="702"/>
      <c r="G61" s="491">
        <v>11703</v>
      </c>
      <c r="H61" s="485">
        <f t="shared" si="2"/>
        <v>11703</v>
      </c>
    </row>
    <row r="62" spans="1:8" ht="12" customHeight="1">
      <c r="A62" s="188"/>
      <c r="B62" s="210">
        <v>6</v>
      </c>
      <c r="C62" s="211" t="s">
        <v>304</v>
      </c>
      <c r="D62" s="211" t="s">
        <v>146</v>
      </c>
      <c r="E62" s="698" t="s">
        <v>459</v>
      </c>
      <c r="F62" s="699"/>
      <c r="G62" s="597">
        <v>73489</v>
      </c>
      <c r="H62" s="541">
        <f t="shared" si="2"/>
        <v>73489</v>
      </c>
    </row>
    <row r="63" spans="1:8" ht="29.25" customHeight="1">
      <c r="A63" s="188"/>
      <c r="B63" s="210">
        <v>7</v>
      </c>
      <c r="C63" s="700" t="s">
        <v>463</v>
      </c>
      <c r="D63" s="700" t="s">
        <v>145</v>
      </c>
      <c r="E63" s="705" t="s">
        <v>464</v>
      </c>
      <c r="F63" s="706"/>
      <c r="G63" s="495">
        <v>6923</v>
      </c>
      <c r="H63" s="496">
        <f>G63</f>
        <v>6923</v>
      </c>
    </row>
    <row r="64" spans="1:8" ht="15" customHeight="1">
      <c r="A64" s="780" t="s">
        <v>278</v>
      </c>
      <c r="B64" s="781"/>
      <c r="C64" s="781"/>
      <c r="D64" s="781"/>
      <c r="E64" s="782"/>
      <c r="F64" s="507">
        <f>F75+F70+F68+F67+F66+F65</f>
        <v>591500</v>
      </c>
      <c r="G64" s="508"/>
      <c r="H64" s="509">
        <f>H65+H66+H67+H68+H70+H75</f>
        <v>591500</v>
      </c>
    </row>
    <row r="65" spans="1:8" ht="14.25" customHeight="1">
      <c r="A65" s="804" t="s">
        <v>229</v>
      </c>
      <c r="B65" s="802"/>
      <c r="C65" s="802"/>
      <c r="D65" s="802"/>
      <c r="E65" s="793"/>
      <c r="F65" s="200">
        <v>0</v>
      </c>
      <c r="G65" s="491"/>
      <c r="H65" s="485">
        <v>0</v>
      </c>
    </row>
    <row r="66" spans="1:8" ht="14.25" customHeight="1">
      <c r="A66" s="804" t="s">
        <v>230</v>
      </c>
      <c r="B66" s="802"/>
      <c r="C66" s="802"/>
      <c r="D66" s="802"/>
      <c r="E66" s="793"/>
      <c r="F66" s="200">
        <v>0</v>
      </c>
      <c r="G66" s="491"/>
      <c r="H66" s="485">
        <v>0</v>
      </c>
    </row>
    <row r="67" spans="1:8" ht="14.25" customHeight="1">
      <c r="A67" s="804" t="s">
        <v>282</v>
      </c>
      <c r="B67" s="802"/>
      <c r="C67" s="802"/>
      <c r="D67" s="802"/>
      <c r="E67" s="793"/>
      <c r="F67" s="200">
        <v>0</v>
      </c>
      <c r="G67" s="491"/>
      <c r="H67" s="485">
        <v>0</v>
      </c>
    </row>
    <row r="68" spans="1:8" ht="14.25" customHeight="1">
      <c r="A68" s="791" t="s">
        <v>295</v>
      </c>
      <c r="B68" s="792"/>
      <c r="C68" s="792"/>
      <c r="D68" s="792"/>
      <c r="E68" s="793"/>
      <c r="F68" s="174">
        <f>F69</f>
        <v>60000</v>
      </c>
      <c r="G68" s="490"/>
      <c r="H68" s="175">
        <f>H69</f>
        <v>60000</v>
      </c>
    </row>
    <row r="69" spans="1:8" ht="14.25" customHeight="1">
      <c r="A69" s="217"/>
      <c r="B69" s="183">
        <v>1</v>
      </c>
      <c r="C69" s="221" t="s">
        <v>306</v>
      </c>
      <c r="D69" s="183" t="s">
        <v>146</v>
      </c>
      <c r="E69" s="212" t="s">
        <v>231</v>
      </c>
      <c r="F69" s="200">
        <v>60000</v>
      </c>
      <c r="G69" s="491"/>
      <c r="H69" s="485">
        <f>F69+G69</f>
        <v>60000</v>
      </c>
    </row>
    <row r="70" spans="1:8" ht="14.25" customHeight="1">
      <c r="A70" s="805" t="s">
        <v>296</v>
      </c>
      <c r="B70" s="806"/>
      <c r="C70" s="806"/>
      <c r="D70" s="806"/>
      <c r="E70" s="807"/>
      <c r="F70" s="510">
        <f>F74+F73+F72+F71</f>
        <v>524400</v>
      </c>
      <c r="G70" s="511"/>
      <c r="H70" s="512">
        <f>H74+H73+H72+H71</f>
        <v>524400</v>
      </c>
    </row>
    <row r="71" spans="1:8" ht="14.25" customHeight="1">
      <c r="A71" s="194"/>
      <c r="B71" s="178">
        <v>1</v>
      </c>
      <c r="C71" s="178" t="s">
        <v>305</v>
      </c>
      <c r="D71" s="178" t="s">
        <v>146</v>
      </c>
      <c r="E71" s="215" t="s">
        <v>232</v>
      </c>
      <c r="F71" s="200">
        <v>470000</v>
      </c>
      <c r="G71" s="491"/>
      <c r="H71" s="485">
        <f>F71+G71</f>
        <v>470000</v>
      </c>
    </row>
    <row r="72" spans="1:8" ht="14.25" customHeight="1">
      <c r="A72" s="194"/>
      <c r="B72" s="178">
        <v>2</v>
      </c>
      <c r="C72" s="178" t="s">
        <v>307</v>
      </c>
      <c r="D72" s="178" t="s">
        <v>145</v>
      </c>
      <c r="E72" s="205" t="s">
        <v>45</v>
      </c>
      <c r="F72" s="200">
        <v>50000</v>
      </c>
      <c r="G72" s="491"/>
      <c r="H72" s="485">
        <f>F72+G72</f>
        <v>50000</v>
      </c>
    </row>
    <row r="73" spans="1:8" ht="14.25" customHeight="1">
      <c r="A73" s="194"/>
      <c r="B73" s="178">
        <v>3</v>
      </c>
      <c r="C73" s="178" t="s">
        <v>308</v>
      </c>
      <c r="D73" s="191" t="s">
        <v>146</v>
      </c>
      <c r="E73" s="205" t="s">
        <v>233</v>
      </c>
      <c r="F73" s="205">
        <v>4100</v>
      </c>
      <c r="G73" s="492"/>
      <c r="H73" s="485">
        <f>F73+G73</f>
        <v>4100</v>
      </c>
    </row>
    <row r="74" spans="1:8" ht="14.25" customHeight="1">
      <c r="A74" s="194"/>
      <c r="B74" s="178">
        <v>4</v>
      </c>
      <c r="C74" s="178" t="s">
        <v>316</v>
      </c>
      <c r="D74" s="178" t="s">
        <v>145</v>
      </c>
      <c r="E74" s="216" t="s">
        <v>46</v>
      </c>
      <c r="F74" s="195">
        <v>300</v>
      </c>
      <c r="G74" s="493"/>
      <c r="H74" s="197">
        <f>F74+G74</f>
        <v>300</v>
      </c>
    </row>
    <row r="75" spans="1:8" ht="14.25" customHeight="1">
      <c r="A75" s="875" t="s">
        <v>234</v>
      </c>
      <c r="B75" s="876"/>
      <c r="C75" s="876"/>
      <c r="D75" s="876"/>
      <c r="E75" s="877"/>
      <c r="F75" s="507">
        <f>F76+F79</f>
        <v>7100</v>
      </c>
      <c r="G75" s="508"/>
      <c r="H75" s="509">
        <f>H76+H79</f>
        <v>7100</v>
      </c>
    </row>
    <row r="76" spans="1:8" ht="12.75" customHeight="1">
      <c r="A76" s="213"/>
      <c r="B76" s="214"/>
      <c r="C76" s="796" t="s">
        <v>291</v>
      </c>
      <c r="D76" s="797"/>
      <c r="E76" s="798"/>
      <c r="F76" s="180">
        <f>F77+F78</f>
        <v>5000</v>
      </c>
      <c r="G76" s="513"/>
      <c r="H76" s="432">
        <f>H77+H78</f>
        <v>5000</v>
      </c>
    </row>
    <row r="77" spans="1:8" ht="14.25" customHeight="1">
      <c r="A77" s="194"/>
      <c r="B77" s="178">
        <v>1</v>
      </c>
      <c r="C77" s="779" t="s">
        <v>235</v>
      </c>
      <c r="D77" s="243" t="s">
        <v>146</v>
      </c>
      <c r="E77" s="777" t="s">
        <v>321</v>
      </c>
      <c r="F77" s="195">
        <f>4000</f>
        <v>4000</v>
      </c>
      <c r="G77" s="493"/>
      <c r="H77" s="197">
        <f>F77+G77</f>
        <v>4000</v>
      </c>
    </row>
    <row r="78" spans="1:8" ht="14.25" customHeight="1">
      <c r="A78" s="194"/>
      <c r="B78" s="178">
        <v>2</v>
      </c>
      <c r="C78" s="784"/>
      <c r="D78" s="221" t="s">
        <v>145</v>
      </c>
      <c r="E78" s="778"/>
      <c r="F78" s="195">
        <f>1000</f>
        <v>1000</v>
      </c>
      <c r="G78" s="493"/>
      <c r="H78" s="197">
        <f>F78</f>
        <v>1000</v>
      </c>
    </row>
    <row r="79" spans="1:8" ht="14.25" customHeight="1">
      <c r="A79" s="194"/>
      <c r="B79" s="178"/>
      <c r="C79" s="796" t="s">
        <v>290</v>
      </c>
      <c r="D79" s="797"/>
      <c r="E79" s="798"/>
      <c r="F79" s="427">
        <f>SUM(F80:F84)</f>
        <v>2100</v>
      </c>
      <c r="G79" s="514"/>
      <c r="H79" s="428">
        <f>SUM(H80:H84)</f>
        <v>2100</v>
      </c>
    </row>
    <row r="80" spans="1:8" ht="14.25" customHeight="1">
      <c r="A80" s="194"/>
      <c r="B80" s="178">
        <v>1</v>
      </c>
      <c r="C80" s="178" t="s">
        <v>235</v>
      </c>
      <c r="D80" s="243" t="s">
        <v>178</v>
      </c>
      <c r="E80" s="205" t="s">
        <v>236</v>
      </c>
      <c r="F80" s="200">
        <v>500</v>
      </c>
      <c r="G80" s="491"/>
      <c r="H80" s="485">
        <f>F80+G80</f>
        <v>500</v>
      </c>
    </row>
    <row r="81" spans="1:8" ht="14.25" customHeight="1">
      <c r="A81" s="194"/>
      <c r="B81" s="178">
        <v>2</v>
      </c>
      <c r="C81" s="178" t="s">
        <v>235</v>
      </c>
      <c r="D81" s="178" t="s">
        <v>178</v>
      </c>
      <c r="E81" s="199" t="s">
        <v>237</v>
      </c>
      <c r="F81" s="200">
        <v>700</v>
      </c>
      <c r="G81" s="491"/>
      <c r="H81" s="485">
        <f>F81+G81</f>
        <v>700</v>
      </c>
    </row>
    <row r="82" spans="1:8" ht="14.25" customHeight="1">
      <c r="A82" s="194"/>
      <c r="B82" s="178">
        <v>3</v>
      </c>
      <c r="C82" s="178" t="s">
        <v>235</v>
      </c>
      <c r="D82" s="178" t="s">
        <v>178</v>
      </c>
      <c r="E82" s="205" t="s">
        <v>238</v>
      </c>
      <c r="F82" s="200">
        <v>300</v>
      </c>
      <c r="G82" s="491"/>
      <c r="H82" s="485">
        <f>F82+G82</f>
        <v>300</v>
      </c>
    </row>
    <row r="83" spans="1:8" ht="14.25" customHeight="1">
      <c r="A83" s="194"/>
      <c r="B83" s="178">
        <v>4</v>
      </c>
      <c r="C83" s="178" t="s">
        <v>235</v>
      </c>
      <c r="D83" s="178" t="s">
        <v>178</v>
      </c>
      <c r="E83" s="215" t="s">
        <v>83</v>
      </c>
      <c r="F83" s="200">
        <v>200</v>
      </c>
      <c r="G83" s="491"/>
      <c r="H83" s="485">
        <f>F83+G83</f>
        <v>200</v>
      </c>
    </row>
    <row r="84" spans="1:8" ht="14.25" customHeight="1">
      <c r="A84" s="240"/>
      <c r="B84" s="241">
        <v>5</v>
      </c>
      <c r="C84" s="241" t="s">
        <v>235</v>
      </c>
      <c r="D84" s="241" t="s">
        <v>178</v>
      </c>
      <c r="E84" s="242" t="s">
        <v>131</v>
      </c>
      <c r="F84" s="494">
        <v>400</v>
      </c>
      <c r="G84" s="495"/>
      <c r="H84" s="496">
        <f>F84+G84</f>
        <v>400</v>
      </c>
    </row>
    <row r="85" spans="1:8" ht="17.25" customHeight="1">
      <c r="A85" s="827" t="s">
        <v>239</v>
      </c>
      <c r="B85" s="828"/>
      <c r="C85" s="828"/>
      <c r="D85" s="828"/>
      <c r="E85" s="829"/>
      <c r="F85" s="589">
        <f>F86+F108</f>
        <v>106213</v>
      </c>
      <c r="G85" s="590"/>
      <c r="H85" s="591">
        <f>H86+H108</f>
        <v>106213</v>
      </c>
    </row>
    <row r="86" spans="1:8" ht="12.75" customHeight="1">
      <c r="A86" s="194"/>
      <c r="B86" s="178"/>
      <c r="C86" s="796" t="s">
        <v>291</v>
      </c>
      <c r="D86" s="797"/>
      <c r="E86" s="798"/>
      <c r="F86" s="592">
        <f>SUM(F87:F107)</f>
        <v>102403</v>
      </c>
      <c r="G86" s="593"/>
      <c r="H86" s="431">
        <f>F86</f>
        <v>102403</v>
      </c>
    </row>
    <row r="87" spans="1:8" ht="12.75" customHeight="1">
      <c r="A87" s="238"/>
      <c r="B87" s="178">
        <v>1</v>
      </c>
      <c r="C87" s="211" t="s">
        <v>285</v>
      </c>
      <c r="D87" s="220"/>
      <c r="E87" s="220" t="s">
        <v>319</v>
      </c>
      <c r="F87" s="195">
        <v>0</v>
      </c>
      <c r="G87" s="588"/>
      <c r="H87" s="197">
        <v>0</v>
      </c>
    </row>
    <row r="88" spans="1:8" ht="12.75" customHeight="1">
      <c r="A88" s="194"/>
      <c r="B88" s="783">
        <v>2</v>
      </c>
      <c r="C88" s="779" t="s">
        <v>243</v>
      </c>
      <c r="D88" s="178" t="s">
        <v>146</v>
      </c>
      <c r="E88" s="777" t="s">
        <v>315</v>
      </c>
      <c r="F88" s="195">
        <f>2107+22710</f>
        <v>24817</v>
      </c>
      <c r="G88" s="196"/>
      <c r="H88" s="485">
        <f aca="true" t="shared" si="3" ref="H88:H100">F88</f>
        <v>24817</v>
      </c>
    </row>
    <row r="89" spans="1:8" ht="12.75" customHeight="1">
      <c r="A89" s="194"/>
      <c r="B89" s="783"/>
      <c r="C89" s="779"/>
      <c r="D89" s="178" t="s">
        <v>145</v>
      </c>
      <c r="E89" s="778"/>
      <c r="F89" s="195">
        <v>1400</v>
      </c>
      <c r="G89" s="196"/>
      <c r="H89" s="485">
        <f t="shared" si="3"/>
        <v>1400</v>
      </c>
    </row>
    <row r="90" spans="1:8" ht="12.75" customHeight="1">
      <c r="A90" s="194"/>
      <c r="B90" s="783">
        <v>3</v>
      </c>
      <c r="C90" s="779" t="s">
        <v>241</v>
      </c>
      <c r="D90" s="178" t="s">
        <v>146</v>
      </c>
      <c r="E90" s="777" t="s">
        <v>320</v>
      </c>
      <c r="F90" s="200">
        <f>1573+11550+1858</f>
        <v>14981</v>
      </c>
      <c r="G90" s="201"/>
      <c r="H90" s="485">
        <f t="shared" si="3"/>
        <v>14981</v>
      </c>
    </row>
    <row r="91" spans="1:8" ht="12.75" customHeight="1">
      <c r="A91" s="194"/>
      <c r="B91" s="783"/>
      <c r="C91" s="779"/>
      <c r="D91" s="178" t="s">
        <v>145</v>
      </c>
      <c r="E91" s="778"/>
      <c r="F91" s="200">
        <f>240</f>
        <v>240</v>
      </c>
      <c r="G91" s="201"/>
      <c r="H91" s="485">
        <f t="shared" si="3"/>
        <v>240</v>
      </c>
    </row>
    <row r="92" spans="1:8" ht="12.75" customHeight="1">
      <c r="A92" s="194"/>
      <c r="B92" s="783">
        <v>4</v>
      </c>
      <c r="C92" s="779" t="s">
        <v>240</v>
      </c>
      <c r="D92" s="178" t="s">
        <v>146</v>
      </c>
      <c r="E92" s="777" t="s">
        <v>322</v>
      </c>
      <c r="F92" s="200">
        <f>1016</f>
        <v>1016</v>
      </c>
      <c r="G92" s="201"/>
      <c r="H92" s="485">
        <f t="shared" si="3"/>
        <v>1016</v>
      </c>
    </row>
    <row r="93" spans="1:8" ht="12.75" customHeight="1">
      <c r="A93" s="194"/>
      <c r="B93" s="783"/>
      <c r="C93" s="779"/>
      <c r="D93" s="178" t="s">
        <v>145</v>
      </c>
      <c r="E93" s="778"/>
      <c r="F93" s="195">
        <f>5173</f>
        <v>5173</v>
      </c>
      <c r="G93" s="196"/>
      <c r="H93" s="485">
        <f t="shared" si="3"/>
        <v>5173</v>
      </c>
    </row>
    <row r="94" spans="1:8" ht="12.75" customHeight="1">
      <c r="A94" s="194"/>
      <c r="B94" s="783">
        <v>5</v>
      </c>
      <c r="C94" s="779" t="s">
        <v>339</v>
      </c>
      <c r="D94" s="178" t="s">
        <v>146</v>
      </c>
      <c r="E94" s="777" t="s">
        <v>336</v>
      </c>
      <c r="F94" s="195">
        <v>0</v>
      </c>
      <c r="G94" s="196"/>
      <c r="H94" s="485">
        <f t="shared" si="3"/>
        <v>0</v>
      </c>
    </row>
    <row r="95" spans="1:8" ht="12.75" customHeight="1">
      <c r="A95" s="194"/>
      <c r="B95" s="783"/>
      <c r="C95" s="779"/>
      <c r="D95" s="178" t="s">
        <v>145</v>
      </c>
      <c r="E95" s="778"/>
      <c r="F95" s="195">
        <f>17642+628</f>
        <v>18270</v>
      </c>
      <c r="G95" s="196"/>
      <c r="H95" s="485">
        <f t="shared" si="3"/>
        <v>18270</v>
      </c>
    </row>
    <row r="96" spans="1:8" ht="12.75" customHeight="1">
      <c r="A96" s="194"/>
      <c r="B96" s="783">
        <v>6</v>
      </c>
      <c r="C96" s="779" t="s">
        <v>335</v>
      </c>
      <c r="D96" s="178" t="s">
        <v>146</v>
      </c>
      <c r="E96" s="777" t="s">
        <v>337</v>
      </c>
      <c r="F96" s="195">
        <f>6700+4045</f>
        <v>10745</v>
      </c>
      <c r="G96" s="196"/>
      <c r="H96" s="485">
        <f t="shared" si="3"/>
        <v>10745</v>
      </c>
    </row>
    <row r="97" spans="1:8" ht="12.75" customHeight="1">
      <c r="A97" s="194"/>
      <c r="B97" s="783"/>
      <c r="C97" s="779"/>
      <c r="D97" s="178" t="s">
        <v>145</v>
      </c>
      <c r="E97" s="778"/>
      <c r="F97" s="195">
        <f>4763+378+1397</f>
        <v>6538</v>
      </c>
      <c r="G97" s="196"/>
      <c r="H97" s="485">
        <f t="shared" si="3"/>
        <v>6538</v>
      </c>
    </row>
    <row r="98" spans="1:8" ht="12.75" customHeight="1">
      <c r="A98" s="194"/>
      <c r="B98" s="783">
        <v>7</v>
      </c>
      <c r="C98" s="779" t="s">
        <v>334</v>
      </c>
      <c r="D98" s="178" t="s">
        <v>146</v>
      </c>
      <c r="E98" s="777" t="s">
        <v>338</v>
      </c>
      <c r="F98" s="200">
        <v>0</v>
      </c>
      <c r="G98" s="201"/>
      <c r="H98" s="485">
        <f t="shared" si="3"/>
        <v>0</v>
      </c>
    </row>
    <row r="99" spans="1:8" ht="12.75" customHeight="1">
      <c r="A99" s="194"/>
      <c r="B99" s="783"/>
      <c r="C99" s="779"/>
      <c r="D99" s="178" t="s">
        <v>145</v>
      </c>
      <c r="E99" s="778"/>
      <c r="F99" s="200">
        <f>5613+1515</f>
        <v>7128</v>
      </c>
      <c r="G99" s="540"/>
      <c r="H99" s="197">
        <f t="shared" si="3"/>
        <v>7128</v>
      </c>
    </row>
    <row r="100" spans="1:8" ht="12.75" customHeight="1">
      <c r="A100" s="194"/>
      <c r="B100" s="783">
        <v>8</v>
      </c>
      <c r="C100" s="779" t="s">
        <v>242</v>
      </c>
      <c r="D100" s="178" t="s">
        <v>146</v>
      </c>
      <c r="E100" s="777" t="s">
        <v>312</v>
      </c>
      <c r="F100" s="539">
        <f>3000</f>
        <v>3000</v>
      </c>
      <c r="G100" s="540"/>
      <c r="H100" s="197">
        <f t="shared" si="3"/>
        <v>3000</v>
      </c>
    </row>
    <row r="101" spans="1:8" ht="12.75" customHeight="1">
      <c r="A101" s="194"/>
      <c r="B101" s="783"/>
      <c r="C101" s="779"/>
      <c r="D101" s="219" t="s">
        <v>145</v>
      </c>
      <c r="E101" s="778"/>
      <c r="F101" s="200">
        <f>4000+3088</f>
        <v>7088</v>
      </c>
      <c r="G101" s="201"/>
      <c r="H101" s="485">
        <f aca="true" t="shared" si="4" ref="H101:H114">F101</f>
        <v>7088</v>
      </c>
    </row>
    <row r="102" spans="1:8" ht="12.75" customHeight="1">
      <c r="A102" s="194"/>
      <c r="B102" s="783">
        <v>9</v>
      </c>
      <c r="C102" s="779" t="s">
        <v>286</v>
      </c>
      <c r="D102" s="219" t="s">
        <v>146</v>
      </c>
      <c r="E102" s="803" t="s">
        <v>288</v>
      </c>
      <c r="F102" s="200">
        <v>0</v>
      </c>
      <c r="G102" s="587"/>
      <c r="H102" s="485">
        <f t="shared" si="4"/>
        <v>0</v>
      </c>
    </row>
    <row r="103" spans="1:8" ht="12.75" customHeight="1">
      <c r="A103" s="194"/>
      <c r="B103" s="783"/>
      <c r="C103" s="779"/>
      <c r="D103" s="219" t="s">
        <v>145</v>
      </c>
      <c r="E103" s="803"/>
      <c r="F103" s="200">
        <v>0</v>
      </c>
      <c r="G103" s="201"/>
      <c r="H103" s="485">
        <f>F103</f>
        <v>0</v>
      </c>
    </row>
    <row r="104" spans="1:8" ht="12.75" customHeight="1">
      <c r="A104" s="194"/>
      <c r="B104" s="783">
        <v>10</v>
      </c>
      <c r="C104" s="779" t="s">
        <v>287</v>
      </c>
      <c r="D104" s="219" t="s">
        <v>146</v>
      </c>
      <c r="E104" s="777" t="s">
        <v>375</v>
      </c>
      <c r="F104" s="539">
        <v>0</v>
      </c>
      <c r="G104" s="540"/>
      <c r="H104" s="206">
        <f t="shared" si="4"/>
        <v>0</v>
      </c>
    </row>
    <row r="105" spans="1:8" ht="12.75" customHeight="1">
      <c r="A105" s="194"/>
      <c r="B105" s="783"/>
      <c r="C105" s="779"/>
      <c r="D105" s="219" t="s">
        <v>145</v>
      </c>
      <c r="E105" s="778"/>
      <c r="F105" s="200">
        <v>334</v>
      </c>
      <c r="G105" s="587"/>
      <c r="H105" s="206">
        <f aca="true" t="shared" si="5" ref="H105:H110">F105</f>
        <v>334</v>
      </c>
    </row>
    <row r="106" spans="1:8" ht="12.75" customHeight="1">
      <c r="A106" s="194"/>
      <c r="B106" s="783">
        <v>11</v>
      </c>
      <c r="C106" s="779" t="s">
        <v>373</v>
      </c>
      <c r="D106" s="219" t="s">
        <v>146</v>
      </c>
      <c r="E106" s="777" t="s">
        <v>289</v>
      </c>
      <c r="F106" s="200">
        <v>0</v>
      </c>
      <c r="G106" s="201"/>
      <c r="H106" s="206">
        <f t="shared" si="5"/>
        <v>0</v>
      </c>
    </row>
    <row r="107" spans="1:8" ht="12.75" customHeight="1">
      <c r="A107" s="194"/>
      <c r="B107" s="783"/>
      <c r="C107" s="784"/>
      <c r="D107" s="221" t="s">
        <v>145</v>
      </c>
      <c r="E107" s="778"/>
      <c r="F107" s="200">
        <f>1591+82</f>
        <v>1673</v>
      </c>
      <c r="G107" s="201"/>
      <c r="H107" s="206">
        <f t="shared" si="5"/>
        <v>1673</v>
      </c>
    </row>
    <row r="108" spans="1:8" ht="12.75" customHeight="1">
      <c r="A108" s="194"/>
      <c r="B108" s="178"/>
      <c r="C108" s="796" t="s">
        <v>290</v>
      </c>
      <c r="D108" s="797"/>
      <c r="E108" s="798"/>
      <c r="F108" s="180">
        <f>SUM(F109:F116)</f>
        <v>3810</v>
      </c>
      <c r="G108" s="193"/>
      <c r="H108" s="432">
        <f t="shared" si="5"/>
        <v>3810</v>
      </c>
    </row>
    <row r="109" spans="1:8" ht="12.75" customHeight="1">
      <c r="A109" s="194"/>
      <c r="B109" s="178">
        <v>1</v>
      </c>
      <c r="C109" s="210" t="s">
        <v>285</v>
      </c>
      <c r="D109" s="209" t="s">
        <v>145</v>
      </c>
      <c r="E109" s="220" t="s">
        <v>319</v>
      </c>
      <c r="F109" s="195">
        <v>0</v>
      </c>
      <c r="G109" s="196"/>
      <c r="H109" s="197">
        <f t="shared" si="5"/>
        <v>0</v>
      </c>
    </row>
    <row r="110" spans="1:8" ht="12.75" customHeight="1">
      <c r="A110" s="194"/>
      <c r="B110" s="158">
        <v>2</v>
      </c>
      <c r="C110" s="211" t="s">
        <v>243</v>
      </c>
      <c r="D110" s="211" t="s">
        <v>145</v>
      </c>
      <c r="E110" s="398" t="s">
        <v>315</v>
      </c>
      <c r="F110" s="195">
        <v>0</v>
      </c>
      <c r="G110" s="196"/>
      <c r="H110" s="197">
        <f t="shared" si="5"/>
        <v>0</v>
      </c>
    </row>
    <row r="111" spans="1:8" ht="12.75" customHeight="1">
      <c r="A111" s="194"/>
      <c r="B111" s="783">
        <v>3</v>
      </c>
      <c r="C111" s="779" t="s">
        <v>241</v>
      </c>
      <c r="D111" s="219" t="s">
        <v>145</v>
      </c>
      <c r="E111" s="777" t="s">
        <v>320</v>
      </c>
      <c r="F111" s="195">
        <v>2000</v>
      </c>
      <c r="G111" s="196"/>
      <c r="H111" s="197">
        <f t="shared" si="4"/>
        <v>2000</v>
      </c>
    </row>
    <row r="112" spans="1:8" ht="12.75" customHeight="1">
      <c r="A112" s="194"/>
      <c r="B112" s="783"/>
      <c r="C112" s="779"/>
      <c r="D112" s="219" t="s">
        <v>146</v>
      </c>
      <c r="E112" s="778"/>
      <c r="F112" s="195">
        <v>1000</v>
      </c>
      <c r="G112" s="196"/>
      <c r="H112" s="197">
        <f t="shared" si="4"/>
        <v>1000</v>
      </c>
    </row>
    <row r="113" spans="1:8" ht="12.75" customHeight="1">
      <c r="A113" s="194"/>
      <c r="B113" s="783">
        <v>4</v>
      </c>
      <c r="C113" s="779" t="s">
        <v>335</v>
      </c>
      <c r="D113" s="219" t="s">
        <v>145</v>
      </c>
      <c r="E113" s="777" t="s">
        <v>337</v>
      </c>
      <c r="F113" s="195">
        <v>540</v>
      </c>
      <c r="G113" s="196"/>
      <c r="H113" s="197">
        <f t="shared" si="4"/>
        <v>540</v>
      </c>
    </row>
    <row r="114" spans="1:8" ht="12.75" customHeight="1">
      <c r="A114" s="194"/>
      <c r="B114" s="783"/>
      <c r="C114" s="779"/>
      <c r="D114" s="219" t="s">
        <v>146</v>
      </c>
      <c r="E114" s="778"/>
      <c r="F114" s="195">
        <v>270</v>
      </c>
      <c r="G114" s="196"/>
      <c r="H114" s="197">
        <f t="shared" si="4"/>
        <v>270</v>
      </c>
    </row>
    <row r="115" spans="1:8" ht="12.75" customHeight="1">
      <c r="A115" s="194"/>
      <c r="B115" s="158">
        <v>5</v>
      </c>
      <c r="C115" s="219" t="s">
        <v>242</v>
      </c>
      <c r="D115" s="219" t="s">
        <v>145</v>
      </c>
      <c r="E115" s="205" t="s">
        <v>312</v>
      </c>
      <c r="F115" s="200">
        <v>0</v>
      </c>
      <c r="G115" s="201"/>
      <c r="H115" s="485">
        <f>F115</f>
        <v>0</v>
      </c>
    </row>
    <row r="116" spans="1:8" ht="12.75" customHeight="1">
      <c r="A116" s="194"/>
      <c r="B116" s="158">
        <v>6</v>
      </c>
      <c r="C116" s="388" t="s">
        <v>287</v>
      </c>
      <c r="D116" s="388" t="s">
        <v>145</v>
      </c>
      <c r="E116" s="218" t="s">
        <v>289</v>
      </c>
      <c r="F116" s="539">
        <v>0</v>
      </c>
      <c r="G116" s="540"/>
      <c r="H116" s="541">
        <f>F116</f>
        <v>0</v>
      </c>
    </row>
    <row r="117" spans="1:8" ht="14.25" customHeight="1">
      <c r="A117" s="830" t="s">
        <v>244</v>
      </c>
      <c r="B117" s="831"/>
      <c r="C117" s="832"/>
      <c r="D117" s="832"/>
      <c r="E117" s="833"/>
      <c r="F117" s="528"/>
      <c r="G117" s="508">
        <f>G118+G119</f>
        <v>73521</v>
      </c>
      <c r="H117" s="509">
        <f>G117</f>
        <v>73521</v>
      </c>
    </row>
    <row r="118" spans="1:8" ht="14.25" customHeight="1">
      <c r="A118" s="194"/>
      <c r="B118" s="389">
        <v>1</v>
      </c>
      <c r="C118" s="809" t="s">
        <v>324</v>
      </c>
      <c r="D118" s="397" t="s">
        <v>145</v>
      </c>
      <c r="E118" s="794" t="s">
        <v>354</v>
      </c>
      <c r="F118" s="529"/>
      <c r="G118" s="530">
        <f>450-450+23311</f>
        <v>23311</v>
      </c>
      <c r="H118" s="206">
        <f>G118</f>
        <v>23311</v>
      </c>
    </row>
    <row r="119" spans="1:8" ht="14.25" customHeight="1">
      <c r="A119" s="240"/>
      <c r="B119" s="245">
        <v>2</v>
      </c>
      <c r="C119" s="819"/>
      <c r="D119" s="396" t="s">
        <v>146</v>
      </c>
      <c r="E119" s="826"/>
      <c r="F119" s="531"/>
      <c r="G119" s="532">
        <f>200+2510+47500</f>
        <v>50210</v>
      </c>
      <c r="H119" s="533">
        <f>G119</f>
        <v>50210</v>
      </c>
    </row>
    <row r="120" spans="1:8" ht="14.25" customHeight="1">
      <c r="A120" s="830" t="s">
        <v>245</v>
      </c>
      <c r="B120" s="831"/>
      <c r="C120" s="831"/>
      <c r="D120" s="831"/>
      <c r="E120" s="836"/>
      <c r="F120" s="690">
        <f>F121</f>
        <v>8324</v>
      </c>
      <c r="G120" s="691"/>
      <c r="H120" s="692">
        <f>F120</f>
        <v>8324</v>
      </c>
    </row>
    <row r="121" spans="1:8" ht="14.25" customHeight="1">
      <c r="A121" s="244"/>
      <c r="B121" s="687">
        <v>1</v>
      </c>
      <c r="C121" s="688" t="s">
        <v>450</v>
      </c>
      <c r="D121" s="688" t="s">
        <v>145</v>
      </c>
      <c r="E121" s="689" t="s">
        <v>451</v>
      </c>
      <c r="F121" s="494">
        <v>8324</v>
      </c>
      <c r="G121" s="693"/>
      <c r="H121" s="496">
        <f>F121</f>
        <v>8324</v>
      </c>
    </row>
    <row r="122" spans="1:8" ht="14.25" customHeight="1">
      <c r="A122" s="827" t="s">
        <v>246</v>
      </c>
      <c r="B122" s="828"/>
      <c r="C122" s="834"/>
      <c r="D122" s="834"/>
      <c r="E122" s="835"/>
      <c r="F122" s="529"/>
      <c r="G122" s="633">
        <f>G123+G125+G124+G126</f>
        <v>4000</v>
      </c>
      <c r="H122" s="591">
        <f>G122</f>
        <v>4000</v>
      </c>
    </row>
    <row r="123" spans="1:8" ht="12.75" customHeight="1">
      <c r="A123" s="238"/>
      <c r="B123" s="808">
        <v>1</v>
      </c>
      <c r="C123" s="809" t="s">
        <v>420</v>
      </c>
      <c r="D123" s="222" t="s">
        <v>146</v>
      </c>
      <c r="E123" s="811" t="s">
        <v>343</v>
      </c>
      <c r="F123" s="588"/>
      <c r="G123" s="493">
        <v>600</v>
      </c>
      <c r="H123" s="197">
        <f>G123</f>
        <v>600</v>
      </c>
    </row>
    <row r="124" spans="1:8" ht="10.5" customHeight="1">
      <c r="A124" s="238"/>
      <c r="B124" s="808"/>
      <c r="C124" s="810"/>
      <c r="D124" s="400" t="s">
        <v>145</v>
      </c>
      <c r="E124" s="812"/>
      <c r="F124" s="588"/>
      <c r="G124" s="493">
        <v>400</v>
      </c>
      <c r="H124" s="197">
        <f>G124</f>
        <v>400</v>
      </c>
    </row>
    <row r="125" spans="1:8" ht="27.75" customHeight="1">
      <c r="A125" s="238"/>
      <c r="B125" s="389">
        <v>2</v>
      </c>
      <c r="C125" s="400" t="s">
        <v>445</v>
      </c>
      <c r="D125" s="400" t="s">
        <v>146</v>
      </c>
      <c r="E125" s="470" t="s">
        <v>446</v>
      </c>
      <c r="F125" s="588"/>
      <c r="G125" s="493">
        <v>1500</v>
      </c>
      <c r="H125" s="197">
        <f>G125</f>
        <v>1500</v>
      </c>
    </row>
    <row r="126" spans="1:8" ht="12.75" customHeight="1">
      <c r="A126" s="244"/>
      <c r="B126" s="245">
        <v>3</v>
      </c>
      <c r="C126" s="395" t="s">
        <v>445</v>
      </c>
      <c r="D126" s="395" t="s">
        <v>146</v>
      </c>
      <c r="E126" s="472" t="s">
        <v>367</v>
      </c>
      <c r="F126" s="634"/>
      <c r="G126" s="495">
        <v>1500</v>
      </c>
      <c r="H126" s="496">
        <f>G126</f>
        <v>1500</v>
      </c>
    </row>
    <row r="127" spans="1:8" ht="14.25" customHeight="1">
      <c r="A127" s="827" t="s">
        <v>247</v>
      </c>
      <c r="B127" s="828"/>
      <c r="C127" s="828"/>
      <c r="D127" s="828"/>
      <c r="E127" s="829"/>
      <c r="F127" s="510">
        <f>F128+F129+F130+F132+F131+F133</f>
        <v>5501435</v>
      </c>
      <c r="G127" s="511">
        <f>G128+G129+G130+G133</f>
        <v>940584</v>
      </c>
      <c r="H127" s="512">
        <f>G127+F127</f>
        <v>6442019</v>
      </c>
    </row>
    <row r="128" spans="1:8" ht="12.75" customHeight="1">
      <c r="A128" s="194"/>
      <c r="B128" s="191" t="s">
        <v>18</v>
      </c>
      <c r="C128" s="809" t="s">
        <v>279</v>
      </c>
      <c r="D128" s="222" t="s">
        <v>145</v>
      </c>
      <c r="E128" s="811" t="s">
        <v>411</v>
      </c>
      <c r="F128" s="195">
        <f>69853+370650-118-1+181</f>
        <v>440565</v>
      </c>
      <c r="G128" s="493">
        <f>562708+3700</f>
        <v>566408</v>
      </c>
      <c r="H128" s="521">
        <f>G128+F128</f>
        <v>1006973</v>
      </c>
    </row>
    <row r="129" spans="1:8" ht="11.25" customHeight="1">
      <c r="A129" s="194"/>
      <c r="B129" s="191" t="s">
        <v>19</v>
      </c>
      <c r="C129" s="810"/>
      <c r="D129" s="222" t="s">
        <v>146</v>
      </c>
      <c r="E129" s="837"/>
      <c r="F129" s="195"/>
      <c r="G129" s="493">
        <f>43401+10644+70131</f>
        <v>124176</v>
      </c>
      <c r="H129" s="521">
        <f>G129+F129</f>
        <v>124176</v>
      </c>
    </row>
    <row r="130" spans="1:8" ht="12.75" customHeight="1">
      <c r="A130" s="194"/>
      <c r="B130" s="389" t="s">
        <v>20</v>
      </c>
      <c r="C130" s="810"/>
      <c r="D130" s="222" t="s">
        <v>178</v>
      </c>
      <c r="E130" s="837"/>
      <c r="F130" s="195">
        <v>60869</v>
      </c>
      <c r="G130" s="493"/>
      <c r="H130" s="521">
        <f>G130+F130</f>
        <v>60869</v>
      </c>
    </row>
    <row r="131" spans="1:8" ht="14.25" customHeight="1">
      <c r="A131" s="194"/>
      <c r="B131" s="808" t="s">
        <v>21</v>
      </c>
      <c r="C131" s="810" t="s">
        <v>313</v>
      </c>
      <c r="D131" s="222" t="s">
        <v>145</v>
      </c>
      <c r="E131" s="811" t="s">
        <v>314</v>
      </c>
      <c r="F131" s="195">
        <f>3000000+1</f>
        <v>3000001</v>
      </c>
      <c r="G131" s="493"/>
      <c r="H131" s="521">
        <f>F131</f>
        <v>3000001</v>
      </c>
    </row>
    <row r="132" spans="1:8" ht="14.25" customHeight="1">
      <c r="A132" s="194"/>
      <c r="B132" s="808"/>
      <c r="C132" s="810"/>
      <c r="D132" s="222" t="s">
        <v>146</v>
      </c>
      <c r="E132" s="837"/>
      <c r="F132" s="195">
        <v>2000000</v>
      </c>
      <c r="G132" s="493"/>
      <c r="H132" s="521">
        <f>F132</f>
        <v>2000000</v>
      </c>
    </row>
    <row r="133" spans="1:8" ht="14.25" customHeight="1" thickBot="1">
      <c r="A133" s="239"/>
      <c r="B133" s="712" t="s">
        <v>22</v>
      </c>
      <c r="C133" s="707" t="s">
        <v>466</v>
      </c>
      <c r="D133" s="223" t="s">
        <v>145</v>
      </c>
      <c r="E133" s="713" t="s">
        <v>468</v>
      </c>
      <c r="F133" s="522"/>
      <c r="G133" s="522">
        <f>10000+40000+50000+150000</f>
        <v>250000</v>
      </c>
      <c r="H133" s="523">
        <f>F133+G133</f>
        <v>250000</v>
      </c>
    </row>
    <row r="134" spans="1:8" ht="16.5" customHeight="1" thickBot="1" thickTop="1">
      <c r="A134" s="823" t="s">
        <v>297</v>
      </c>
      <c r="B134" s="824"/>
      <c r="C134" s="824"/>
      <c r="D134" s="824"/>
      <c r="E134" s="825"/>
      <c r="F134" s="582">
        <f>F21+F56+F64+F85+F117+F120+F122+F127</f>
        <v>7060088</v>
      </c>
      <c r="G134" s="582">
        <f>G21+G56+G64+G85+G117+G120+G122+G127</f>
        <v>1145746</v>
      </c>
      <c r="H134" s="584">
        <f>H21+H56+H64+H85+H117+H120+H122+H127</f>
        <v>8205834</v>
      </c>
    </row>
    <row r="135" spans="1:8" s="12" customFormat="1" ht="14.25" customHeight="1" thickTop="1">
      <c r="A135" s="820" t="s">
        <v>163</v>
      </c>
      <c r="B135" s="821"/>
      <c r="C135" s="821"/>
      <c r="D135" s="821"/>
      <c r="E135" s="822"/>
      <c r="F135" s="174">
        <f>F136+F137+F138</f>
        <v>7047671</v>
      </c>
      <c r="G135" s="490">
        <f>G136+G137+G138</f>
        <v>1145746</v>
      </c>
      <c r="H135" s="175">
        <f>G135+F135</f>
        <v>8193417</v>
      </c>
    </row>
    <row r="136" spans="1:8" s="116" customFormat="1" ht="14.25" customHeight="1">
      <c r="A136" s="844" t="s">
        <v>193</v>
      </c>
      <c r="B136" s="845"/>
      <c r="C136" s="845"/>
      <c r="D136" s="845"/>
      <c r="E136" s="846"/>
      <c r="F136" s="635">
        <f>F23+F50+F72+F74+F89+F95+F97+F128+F93+F48+F101+F99+F78+F105+F91+F103+F36+F131+F47+F107+F121+F40</f>
        <v>4226007</v>
      </c>
      <c r="G136" s="636">
        <f>+G128+G118+G124+G59+G61+G63+G133</f>
        <v>864025</v>
      </c>
      <c r="H136" s="637">
        <f>G136+F136</f>
        <v>5090032</v>
      </c>
    </row>
    <row r="137" spans="1:8" s="116" customFormat="1" ht="14.25" customHeight="1">
      <c r="A137" s="813" t="s">
        <v>190</v>
      </c>
      <c r="B137" s="814"/>
      <c r="C137" s="814"/>
      <c r="D137" s="814"/>
      <c r="E137" s="815"/>
      <c r="F137" s="638">
        <f>F130</f>
        <v>60869</v>
      </c>
      <c r="G137" s="639">
        <v>0</v>
      </c>
      <c r="H137" s="640">
        <f>G137+F137</f>
        <v>60869</v>
      </c>
    </row>
    <row r="138" spans="1:8" s="116" customFormat="1" ht="14.25" customHeight="1">
      <c r="A138" s="816" t="s">
        <v>191</v>
      </c>
      <c r="B138" s="817"/>
      <c r="C138" s="817"/>
      <c r="D138" s="817"/>
      <c r="E138" s="818"/>
      <c r="F138" s="641">
        <f>+F49+F69+F71+F73+F77+F92+F98+F90+F100+F96+F129+F102+F51++F88+F52+F104+F132+F94+F53+F37+F54+F106+F55</f>
        <v>2760795</v>
      </c>
      <c r="G138" s="642">
        <f>G129+G123+G119+G57+G58+G126+G60+G125+G62</f>
        <v>281721</v>
      </c>
      <c r="H138" s="643">
        <f>F138+G138</f>
        <v>3042516</v>
      </c>
    </row>
    <row r="139" spans="1:8" s="12" customFormat="1" ht="14.25" customHeight="1">
      <c r="A139" s="841" t="s">
        <v>192</v>
      </c>
      <c r="B139" s="842"/>
      <c r="C139" s="842"/>
      <c r="D139" s="842"/>
      <c r="E139" s="843"/>
      <c r="F139" s="510">
        <f>F140+F141+F142</f>
        <v>12417</v>
      </c>
      <c r="G139" s="510">
        <f>G140+G141+G142</f>
        <v>0</v>
      </c>
      <c r="H139" s="512">
        <f>G139+F139</f>
        <v>12417</v>
      </c>
    </row>
    <row r="140" spans="1:8" s="12" customFormat="1" ht="14.25" customHeight="1">
      <c r="A140" s="844" t="s">
        <v>193</v>
      </c>
      <c r="B140" s="845"/>
      <c r="C140" s="845"/>
      <c r="D140" s="845"/>
      <c r="E140" s="846"/>
      <c r="F140" s="180">
        <f>F44+F111+F113+F109+F115+F116+F110+F45</f>
        <v>9047</v>
      </c>
      <c r="G140" s="513"/>
      <c r="H140" s="432">
        <f>G140+F140</f>
        <v>9047</v>
      </c>
    </row>
    <row r="141" spans="1:8" s="12" customFormat="1" ht="14.25" customHeight="1">
      <c r="A141" s="813" t="s">
        <v>190</v>
      </c>
      <c r="B141" s="814"/>
      <c r="C141" s="814"/>
      <c r="D141" s="814"/>
      <c r="E141" s="815"/>
      <c r="F141" s="180">
        <f>F79</f>
        <v>2100</v>
      </c>
      <c r="G141" s="513"/>
      <c r="H141" s="432">
        <f>F141+G141</f>
        <v>2100</v>
      </c>
    </row>
    <row r="142" spans="1:8" s="12" customFormat="1" ht="14.25" customHeight="1" thickBot="1">
      <c r="A142" s="816" t="s">
        <v>191</v>
      </c>
      <c r="B142" s="817"/>
      <c r="C142" s="817"/>
      <c r="D142" s="817"/>
      <c r="E142" s="818"/>
      <c r="F142" s="592">
        <f>F112+F114</f>
        <v>1270</v>
      </c>
      <c r="G142" s="644"/>
      <c r="H142" s="645">
        <f>F142+G142</f>
        <v>1270</v>
      </c>
    </row>
    <row r="143" spans="1:8" ht="14.25" customHeight="1" thickBot="1">
      <c r="A143" s="847" t="s">
        <v>248</v>
      </c>
      <c r="B143" s="848"/>
      <c r="C143" s="848"/>
      <c r="D143" s="848"/>
      <c r="E143" s="849"/>
      <c r="F143" s="646">
        <f>F134+F18+'4.mell '!K17+'4.mell '!K20</f>
        <v>7225925</v>
      </c>
      <c r="G143" s="646">
        <f>G134+G18</f>
        <v>1146746</v>
      </c>
      <c r="H143" s="647">
        <f>G143+F143</f>
        <v>8372671</v>
      </c>
    </row>
    <row r="144" spans="1:8" ht="14.25" customHeight="1">
      <c r="A144" s="844" t="s">
        <v>193</v>
      </c>
      <c r="B144" s="845"/>
      <c r="C144" s="845"/>
      <c r="D144" s="845"/>
      <c r="E144" s="846"/>
      <c r="F144" s="648">
        <f>F140+F136+F10+F13+'4.mell '!K18+'4.mell '!K20</f>
        <v>4331994</v>
      </c>
      <c r="G144" s="648">
        <f>G140+G136+G10+G13</f>
        <v>864025</v>
      </c>
      <c r="H144" s="649">
        <f>F144+G144</f>
        <v>5196019</v>
      </c>
    </row>
    <row r="145" spans="1:8" ht="14.25" customHeight="1">
      <c r="A145" s="813" t="s">
        <v>190</v>
      </c>
      <c r="B145" s="814"/>
      <c r="C145" s="814"/>
      <c r="D145" s="814"/>
      <c r="E145" s="815"/>
      <c r="F145" s="174">
        <f>F137+F141</f>
        <v>62969</v>
      </c>
      <c r="G145" s="174">
        <f>G137+G141</f>
        <v>0</v>
      </c>
      <c r="H145" s="175">
        <f>F145+G145</f>
        <v>62969</v>
      </c>
    </row>
    <row r="146" spans="1:8" ht="14.25" customHeight="1" thickBot="1">
      <c r="A146" s="816" t="s">
        <v>191</v>
      </c>
      <c r="B146" s="817"/>
      <c r="C146" s="817"/>
      <c r="D146" s="817"/>
      <c r="E146" s="818"/>
      <c r="F146" s="650">
        <f>F138+F142+F11+F14+'4.mell '!K19</f>
        <v>2830962</v>
      </c>
      <c r="G146" s="650">
        <f>G138+G142+G11+G14</f>
        <v>282721</v>
      </c>
      <c r="H146" s="651">
        <f>F146+G146</f>
        <v>3113683</v>
      </c>
    </row>
    <row r="147" spans="1:8" ht="15" customHeight="1" thickBot="1">
      <c r="A147" s="850" t="s">
        <v>249</v>
      </c>
      <c r="B147" s="851"/>
      <c r="C147" s="851"/>
      <c r="D147" s="851"/>
      <c r="E147" s="851"/>
      <c r="F147" s="851"/>
      <c r="G147" s="851"/>
      <c r="H147" s="852"/>
    </row>
    <row r="148" spans="1:8" ht="16.5" customHeight="1">
      <c r="A148" s="185"/>
      <c r="B148" s="186"/>
      <c r="C148" s="224" t="s">
        <v>250</v>
      </c>
      <c r="D148" s="187"/>
      <c r="E148" s="225"/>
      <c r="F148" s="652"/>
      <c r="G148" s="653"/>
      <c r="H148" s="654"/>
    </row>
    <row r="149" spans="1:8" ht="12.75" customHeight="1">
      <c r="A149" s="169" t="s">
        <v>18</v>
      </c>
      <c r="B149" s="158"/>
      <c r="C149" s="219" t="s">
        <v>251</v>
      </c>
      <c r="D149" s="178"/>
      <c r="E149" s="205" t="s">
        <v>30</v>
      </c>
      <c r="F149" s="200">
        <f>'5.mell'!E149</f>
        <v>601464</v>
      </c>
      <c r="G149" s="201"/>
      <c r="H149" s="485">
        <f>F149+G149</f>
        <v>601464</v>
      </c>
    </row>
    <row r="150" spans="1:8" ht="12.75" customHeight="1">
      <c r="A150" s="169" t="s">
        <v>19</v>
      </c>
      <c r="B150" s="158"/>
      <c r="C150" s="219" t="s">
        <v>252</v>
      </c>
      <c r="D150" s="178"/>
      <c r="E150" s="205" t="s">
        <v>147</v>
      </c>
      <c r="F150" s="200">
        <f>'5.mell'!F149</f>
        <v>161262</v>
      </c>
      <c r="G150" s="201"/>
      <c r="H150" s="485">
        <f>F150+G150</f>
        <v>161262</v>
      </c>
    </row>
    <row r="151" spans="1:8" s="12" customFormat="1" ht="12.75" customHeight="1">
      <c r="A151" s="169" t="s">
        <v>20</v>
      </c>
      <c r="B151" s="158"/>
      <c r="C151" s="219" t="s">
        <v>253</v>
      </c>
      <c r="D151" s="178"/>
      <c r="E151" s="205" t="s">
        <v>31</v>
      </c>
      <c r="F151" s="200">
        <f>'5.mell'!G149</f>
        <v>840380</v>
      </c>
      <c r="G151" s="201"/>
      <c r="H151" s="485">
        <f>F151+G151</f>
        <v>840380</v>
      </c>
    </row>
    <row r="152" spans="1:8" ht="12.75" customHeight="1">
      <c r="A152" s="169" t="s">
        <v>21</v>
      </c>
      <c r="B152" s="158"/>
      <c r="C152" s="219" t="s">
        <v>254</v>
      </c>
      <c r="D152" s="178"/>
      <c r="E152" s="205" t="s">
        <v>114</v>
      </c>
      <c r="F152" s="200">
        <f>'5.mell'!H149</f>
        <v>8480</v>
      </c>
      <c r="G152" s="201"/>
      <c r="H152" s="485">
        <f>F152+G152</f>
        <v>8480</v>
      </c>
    </row>
    <row r="153" spans="1:8" s="12" customFormat="1" ht="12.75" customHeight="1">
      <c r="A153" s="169" t="s">
        <v>22</v>
      </c>
      <c r="B153" s="158"/>
      <c r="C153" s="219" t="s">
        <v>255</v>
      </c>
      <c r="D153" s="178"/>
      <c r="E153" s="226" t="s">
        <v>112</v>
      </c>
      <c r="F153" s="200">
        <f>'5.mell'!I149+'5.mell'!J149+'5.mell'!K149</f>
        <v>596032</v>
      </c>
      <c r="G153" s="201"/>
      <c r="H153" s="485">
        <f>F153+G153</f>
        <v>596032</v>
      </c>
    </row>
    <row r="154" spans="1:8" ht="15.75" customHeight="1" thickBot="1">
      <c r="A154" s="838" t="s">
        <v>152</v>
      </c>
      <c r="B154" s="839"/>
      <c r="C154" s="839"/>
      <c r="D154" s="839"/>
      <c r="E154" s="840"/>
      <c r="F154" s="655">
        <f>SUM(F149:F153)</f>
        <v>2207618</v>
      </c>
      <c r="G154" s="656"/>
      <c r="H154" s="657">
        <f>SUM(H149:H153)</f>
        <v>2207618</v>
      </c>
    </row>
    <row r="155" spans="1:8" ht="17.25" customHeight="1" thickTop="1">
      <c r="A155" s="227"/>
      <c r="B155" s="228"/>
      <c r="C155" s="855" t="s">
        <v>256</v>
      </c>
      <c r="D155" s="856"/>
      <c r="E155" s="857"/>
      <c r="F155" s="510"/>
      <c r="G155" s="511"/>
      <c r="H155" s="512"/>
    </row>
    <row r="156" spans="1:8" ht="12" customHeight="1">
      <c r="A156" s="229" t="s">
        <v>18</v>
      </c>
      <c r="B156" s="230"/>
      <c r="C156" s="231" t="s">
        <v>257</v>
      </c>
      <c r="D156" s="232"/>
      <c r="E156" s="233" t="s">
        <v>41</v>
      </c>
      <c r="F156" s="587"/>
      <c r="G156" s="491">
        <f>'6.mell'!D8</f>
        <v>911530</v>
      </c>
      <c r="H156" s="485">
        <f>G156</f>
        <v>911530</v>
      </c>
    </row>
    <row r="157" spans="1:8" ht="12" customHeight="1">
      <c r="A157" s="229" t="s">
        <v>19</v>
      </c>
      <c r="B157" s="230"/>
      <c r="C157" s="231" t="s">
        <v>258</v>
      </c>
      <c r="D157" s="232"/>
      <c r="E157" s="233" t="s">
        <v>42</v>
      </c>
      <c r="F157" s="587"/>
      <c r="G157" s="491">
        <f>'6.mell'!D48</f>
        <v>186795</v>
      </c>
      <c r="H157" s="485">
        <f>G157</f>
        <v>186795</v>
      </c>
    </row>
    <row r="158" spans="1:8" ht="12" customHeight="1">
      <c r="A158" s="229" t="s">
        <v>20</v>
      </c>
      <c r="B158" s="230"/>
      <c r="C158" s="231" t="s">
        <v>259</v>
      </c>
      <c r="D158" s="234"/>
      <c r="E158" s="235" t="s">
        <v>57</v>
      </c>
      <c r="F158" s="658"/>
      <c r="G158" s="597">
        <f>'6.mell'!D68</f>
        <v>48421</v>
      </c>
      <c r="H158" s="541">
        <f>G158</f>
        <v>48421</v>
      </c>
    </row>
    <row r="159" spans="1:8" ht="15.75" customHeight="1" thickBot="1">
      <c r="A159" s="838" t="s">
        <v>260</v>
      </c>
      <c r="B159" s="839"/>
      <c r="C159" s="839"/>
      <c r="D159" s="839"/>
      <c r="E159" s="840"/>
      <c r="F159" s="659"/>
      <c r="G159" s="660">
        <f>G156+G157+G158</f>
        <v>1146746</v>
      </c>
      <c r="H159" s="657">
        <f>H156+H157+H158</f>
        <v>1146746</v>
      </c>
    </row>
    <row r="160" spans="1:8" ht="16.5" customHeight="1" thickBot="1" thickTop="1">
      <c r="A160" s="858" t="s">
        <v>261</v>
      </c>
      <c r="B160" s="859"/>
      <c r="C160" s="859"/>
      <c r="D160" s="859"/>
      <c r="E160" s="860"/>
      <c r="F160" s="582">
        <f>'5.mell'!G146+'5.mell'!G147+'5.mell'!G145</f>
        <v>5018307</v>
      </c>
      <c r="G160" s="583">
        <f>'5.mell'!N145</f>
        <v>0</v>
      </c>
      <c r="H160" s="584">
        <f>G160+F160</f>
        <v>5018307</v>
      </c>
    </row>
    <row r="161" spans="1:8" ht="14.25" customHeight="1" thickBot="1" thickTop="1">
      <c r="A161" s="823" t="s">
        <v>262</v>
      </c>
      <c r="B161" s="824"/>
      <c r="C161" s="824"/>
      <c r="D161" s="824"/>
      <c r="E161" s="825"/>
      <c r="F161" s="582">
        <f>F154+F159+F160</f>
        <v>7225925</v>
      </c>
      <c r="G161" s="582">
        <f>G154+G159+G160</f>
        <v>1146746</v>
      </c>
      <c r="H161" s="584">
        <f>H154+H159+H160</f>
        <v>8372671</v>
      </c>
    </row>
    <row r="162" spans="1:8" s="95" customFormat="1" ht="13.5" customHeight="1" thickTop="1">
      <c r="A162" s="861" t="s">
        <v>263</v>
      </c>
      <c r="B162" s="862"/>
      <c r="C162" s="862"/>
      <c r="D162" s="862"/>
      <c r="E162" s="862"/>
      <c r="F162" s="661">
        <f>'5.mell'!L150+'5.mell'!P141</f>
        <v>4684195</v>
      </c>
      <c r="G162" s="662">
        <f>'5.mell'!O150+'5.mell'!M150+'5.mell'!N150</f>
        <v>992002</v>
      </c>
      <c r="H162" s="663">
        <f>F162+G162</f>
        <v>5676197</v>
      </c>
    </row>
    <row r="163" spans="1:8" s="95" customFormat="1" ht="13.5" customHeight="1">
      <c r="A163" s="863" t="s">
        <v>157</v>
      </c>
      <c r="B163" s="864"/>
      <c r="C163" s="864"/>
      <c r="D163" s="864"/>
      <c r="E163" s="864"/>
      <c r="F163" s="180">
        <f>'5.mell'!L152</f>
        <v>2476012</v>
      </c>
      <c r="G163" s="664">
        <f>'5.mell'!O152+'5.mell'!P152+'5.mell'!M152+'5.mell'!N152</f>
        <v>154744</v>
      </c>
      <c r="H163" s="432">
        <f>F163+G163</f>
        <v>2630756</v>
      </c>
    </row>
    <row r="164" spans="1:8" s="95" customFormat="1" ht="15" customHeight="1" thickBot="1">
      <c r="A164" s="853" t="s">
        <v>264</v>
      </c>
      <c r="B164" s="854"/>
      <c r="C164" s="854"/>
      <c r="D164" s="854"/>
      <c r="E164" s="854"/>
      <c r="F164" s="665">
        <f>'5.mell'!L151</f>
        <v>65718</v>
      </c>
      <c r="G164" s="666">
        <v>0</v>
      </c>
      <c r="H164" s="667">
        <f>F164+G164</f>
        <v>65718</v>
      </c>
    </row>
    <row r="165" spans="6:8" ht="12" customHeight="1">
      <c r="F165" s="481"/>
      <c r="G165" s="481"/>
      <c r="H165" s="481"/>
    </row>
    <row r="166" spans="1:8" s="139" customFormat="1" ht="14.25" customHeight="1">
      <c r="A166" s="157"/>
      <c r="B166" s="157"/>
      <c r="C166" s="157"/>
      <c r="D166" s="157"/>
      <c r="E166" s="236"/>
      <c r="F166" s="676"/>
      <c r="G166" s="676"/>
      <c r="H166" s="676"/>
    </row>
    <row r="167" spans="5:8" ht="12" customHeight="1">
      <c r="E167" s="237"/>
      <c r="F167" s="237"/>
      <c r="G167" s="237"/>
      <c r="H167" s="237"/>
    </row>
    <row r="168" spans="5:8" ht="12" customHeight="1">
      <c r="E168" s="237"/>
      <c r="F168" s="237"/>
      <c r="G168" s="237"/>
      <c r="H168" s="237"/>
    </row>
    <row r="169" spans="5:8" ht="12" customHeight="1">
      <c r="E169" s="237"/>
      <c r="F169" s="237"/>
      <c r="G169" s="237"/>
      <c r="H169" s="237"/>
    </row>
    <row r="170" spans="6:8" ht="12" customHeight="1">
      <c r="F170" s="237"/>
      <c r="G170" s="237"/>
      <c r="H170" s="237"/>
    </row>
    <row r="171" spans="6:8" ht="12" customHeight="1">
      <c r="F171" s="481"/>
      <c r="G171" s="481"/>
      <c r="H171" s="481"/>
    </row>
    <row r="172" spans="6:8" ht="12" customHeight="1">
      <c r="F172" s="481"/>
      <c r="G172" s="481"/>
      <c r="H172" s="481"/>
    </row>
    <row r="173" spans="6:8" ht="12" customHeight="1">
      <c r="F173" s="481"/>
      <c r="G173" s="481"/>
      <c r="H173" s="481"/>
    </row>
    <row r="174" spans="5:8" ht="12" customHeight="1">
      <c r="E174" s="237"/>
      <c r="F174" s="481"/>
      <c r="G174" s="481"/>
      <c r="H174" s="481"/>
    </row>
    <row r="175" spans="5:8" ht="12" customHeight="1">
      <c r="E175" s="237"/>
      <c r="F175" s="481"/>
      <c r="G175" s="481"/>
      <c r="H175" s="481"/>
    </row>
    <row r="176" spans="5:8" ht="12" customHeight="1">
      <c r="E176" s="237"/>
      <c r="F176" s="481"/>
      <c r="G176" s="481"/>
      <c r="H176" s="481"/>
    </row>
    <row r="177" spans="6:8" ht="12" customHeight="1">
      <c r="F177" s="481"/>
      <c r="G177" s="481"/>
      <c r="H177" s="481"/>
    </row>
    <row r="178" spans="6:8" ht="12" customHeight="1">
      <c r="F178" s="481"/>
      <c r="G178" s="481"/>
      <c r="H178" s="481"/>
    </row>
  </sheetData>
  <sheetProtection/>
  <mergeCells count="109">
    <mergeCell ref="D7:H7"/>
    <mergeCell ref="D19:H19"/>
    <mergeCell ref="C86:E86"/>
    <mergeCell ref="A75:E75"/>
    <mergeCell ref="A38:E38"/>
    <mergeCell ref="A23:E23"/>
    <mergeCell ref="A39:E39"/>
    <mergeCell ref="C43:E43"/>
    <mergeCell ref="E77:E78"/>
    <mergeCell ref="A85:E85"/>
    <mergeCell ref="E1:H1"/>
    <mergeCell ref="A18:E18"/>
    <mergeCell ref="B36:B37"/>
    <mergeCell ref="F4:F5"/>
    <mergeCell ref="G4:G5"/>
    <mergeCell ref="C76:E76"/>
    <mergeCell ref="A41:E41"/>
    <mergeCell ref="A67:E67"/>
    <mergeCell ref="E4:E5"/>
    <mergeCell ref="A6:H6"/>
    <mergeCell ref="A164:E164"/>
    <mergeCell ref="C155:E155"/>
    <mergeCell ref="A159:E159"/>
    <mergeCell ref="A160:E160"/>
    <mergeCell ref="A161:E161"/>
    <mergeCell ref="A162:E162"/>
    <mergeCell ref="A163:E163"/>
    <mergeCell ref="A154:E154"/>
    <mergeCell ref="A137:E137"/>
    <mergeCell ref="A138:E138"/>
    <mergeCell ref="A139:E139"/>
    <mergeCell ref="A140:E140"/>
    <mergeCell ref="A136:E136"/>
    <mergeCell ref="A146:E146"/>
    <mergeCell ref="A143:E143"/>
    <mergeCell ref="A144:E144"/>
    <mergeCell ref="A147:H147"/>
    <mergeCell ref="A117:E117"/>
    <mergeCell ref="E113:E114"/>
    <mergeCell ref="A122:E122"/>
    <mergeCell ref="A120:E120"/>
    <mergeCell ref="E131:E132"/>
    <mergeCell ref="E128:E130"/>
    <mergeCell ref="E106:E107"/>
    <mergeCell ref="C102:C103"/>
    <mergeCell ref="A135:E135"/>
    <mergeCell ref="B104:B105"/>
    <mergeCell ref="C104:C105"/>
    <mergeCell ref="E104:E105"/>
    <mergeCell ref="B111:B112"/>
    <mergeCell ref="A134:E134"/>
    <mergeCell ref="E118:E119"/>
    <mergeCell ref="A127:E127"/>
    <mergeCell ref="A145:E145"/>
    <mergeCell ref="A141:E141"/>
    <mergeCell ref="A142:E142"/>
    <mergeCell ref="C118:C119"/>
    <mergeCell ref="C131:C132"/>
    <mergeCell ref="B131:B132"/>
    <mergeCell ref="C128:C130"/>
    <mergeCell ref="E98:E99"/>
    <mergeCell ref="B102:B103"/>
    <mergeCell ref="B123:B124"/>
    <mergeCell ref="C123:C124"/>
    <mergeCell ref="C113:C114"/>
    <mergeCell ref="C111:C112"/>
    <mergeCell ref="E123:E124"/>
    <mergeCell ref="E111:E112"/>
    <mergeCell ref="B113:B114"/>
    <mergeCell ref="C106:C107"/>
    <mergeCell ref="C100:C101"/>
    <mergeCell ref="C79:E79"/>
    <mergeCell ref="A70:E70"/>
    <mergeCell ref="C88:C89"/>
    <mergeCell ref="E88:E89"/>
    <mergeCell ref="B98:B99"/>
    <mergeCell ref="B100:B101"/>
    <mergeCell ref="B88:B89"/>
    <mergeCell ref="B90:B91"/>
    <mergeCell ref="C94:C95"/>
    <mergeCell ref="D4:D5"/>
    <mergeCell ref="C92:C93"/>
    <mergeCell ref="A35:E35"/>
    <mergeCell ref="C108:E108"/>
    <mergeCell ref="C98:C99"/>
    <mergeCell ref="B94:B95"/>
    <mergeCell ref="B106:B107"/>
    <mergeCell ref="E102:E103"/>
    <mergeCell ref="A65:E65"/>
    <mergeCell ref="A66:E66"/>
    <mergeCell ref="E100:E101"/>
    <mergeCell ref="B92:B93"/>
    <mergeCell ref="H4:H5"/>
    <mergeCell ref="C4:C5"/>
    <mergeCell ref="A21:E21"/>
    <mergeCell ref="A68:E68"/>
    <mergeCell ref="E36:E37"/>
    <mergeCell ref="C46:E46"/>
    <mergeCell ref="A42:E42"/>
    <mergeCell ref="A64:E64"/>
    <mergeCell ref="E96:E97"/>
    <mergeCell ref="E94:E95"/>
    <mergeCell ref="E92:E93"/>
    <mergeCell ref="C96:C97"/>
    <mergeCell ref="E90:E91"/>
    <mergeCell ref="A56:E56"/>
    <mergeCell ref="B96:B97"/>
    <mergeCell ref="C90:C91"/>
    <mergeCell ref="C77:C78"/>
  </mergeCells>
  <printOptions horizontalCentered="1" vertic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58" r:id="rId2"/>
  <rowBreaks count="1" manualBreakCount="1">
    <brk id="8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5.00390625" style="0" customWidth="1"/>
    <col min="2" max="2" width="8.75390625" style="0" customWidth="1"/>
    <col min="3" max="3" width="17.625" style="14" customWidth="1"/>
    <col min="4" max="4" width="9.00390625" style="15" customWidth="1"/>
    <col min="5" max="5" width="11.125" style="15" customWidth="1"/>
    <col min="6" max="6" width="12.00390625" style="15" customWidth="1"/>
    <col min="7" max="7" width="7.75390625" style="15" customWidth="1"/>
    <col min="8" max="8" width="11.75390625" style="15" customWidth="1"/>
    <col min="9" max="9" width="11.875" style="0" customWidth="1"/>
    <col min="10" max="10" width="14.00390625" style="0" customWidth="1"/>
    <col min="11" max="11" width="13.625" style="0" customWidth="1"/>
    <col min="12" max="12" width="8.875" style="23" customWidth="1"/>
    <col min="15" max="15" width="10.875" style="461" bestFit="1" customWidth="1"/>
    <col min="16" max="16" width="11.125" style="461" bestFit="1" customWidth="1"/>
    <col min="17" max="17" width="11.75390625" style="461" bestFit="1" customWidth="1"/>
    <col min="18" max="18" width="13.875" style="461" bestFit="1" customWidth="1"/>
  </cols>
  <sheetData>
    <row r="1" spans="1:12" ht="15.75" customHeight="1">
      <c r="A1" s="13"/>
      <c r="B1" s="13"/>
      <c r="C1" s="13"/>
      <c r="D1" s="13"/>
      <c r="E1" s="13"/>
      <c r="F1" s="13"/>
      <c r="G1" s="13"/>
      <c r="H1" s="13"/>
      <c r="I1" s="13"/>
      <c r="J1" s="891" t="s">
        <v>432</v>
      </c>
      <c r="K1" s="891"/>
      <c r="L1" s="891"/>
    </row>
    <row r="2" spans="1:1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22"/>
    </row>
    <row r="3" spans="1:12" ht="20.2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668"/>
    </row>
    <row r="4" spans="1:12" ht="21" customHeight="1">
      <c r="A4" s="892" t="s">
        <v>58</v>
      </c>
      <c r="B4" s="887" t="s">
        <v>345</v>
      </c>
      <c r="C4" s="895" t="s">
        <v>355</v>
      </c>
      <c r="D4" s="896" t="s">
        <v>356</v>
      </c>
      <c r="E4" s="897"/>
      <c r="F4" s="897"/>
      <c r="G4" s="897"/>
      <c r="H4" s="897"/>
      <c r="I4" s="898"/>
      <c r="J4" s="899" t="s">
        <v>357</v>
      </c>
      <c r="K4" s="899"/>
      <c r="L4" s="889" t="s">
        <v>35</v>
      </c>
    </row>
    <row r="5" spans="1:18" s="70" customFormat="1" ht="24" customHeight="1">
      <c r="A5" s="893"/>
      <c r="B5" s="888"/>
      <c r="C5" s="884"/>
      <c r="D5" s="882" t="s">
        <v>368</v>
      </c>
      <c r="E5" s="882" t="s">
        <v>301</v>
      </c>
      <c r="F5" s="882" t="s">
        <v>298</v>
      </c>
      <c r="G5" s="886" t="s">
        <v>124</v>
      </c>
      <c r="H5" s="882" t="s">
        <v>300</v>
      </c>
      <c r="I5" s="882" t="s">
        <v>299</v>
      </c>
      <c r="J5" s="900"/>
      <c r="K5" s="900"/>
      <c r="L5" s="890"/>
      <c r="O5" s="315"/>
      <c r="P5" s="315"/>
      <c r="Q5" s="315"/>
      <c r="R5" s="315"/>
    </row>
    <row r="6" spans="1:18" s="70" customFormat="1" ht="38.25" customHeight="1">
      <c r="A6" s="893"/>
      <c r="B6" s="888"/>
      <c r="C6" s="884"/>
      <c r="D6" s="882"/>
      <c r="E6" s="882"/>
      <c r="F6" s="882"/>
      <c r="G6" s="886"/>
      <c r="H6" s="882"/>
      <c r="I6" s="882"/>
      <c r="J6" s="883" t="s">
        <v>333</v>
      </c>
      <c r="K6" s="883" t="s">
        <v>358</v>
      </c>
      <c r="L6" s="890"/>
      <c r="O6" s="315"/>
      <c r="P6" s="315"/>
      <c r="Q6" s="315"/>
      <c r="R6" s="315"/>
    </row>
    <row r="7" spans="1:18" s="70" customFormat="1" ht="12.75" customHeight="1">
      <c r="A7" s="893"/>
      <c r="B7" s="888"/>
      <c r="C7" s="884"/>
      <c r="D7" s="882"/>
      <c r="E7" s="882"/>
      <c r="F7" s="882"/>
      <c r="G7" s="886"/>
      <c r="H7" s="882"/>
      <c r="I7" s="882"/>
      <c r="J7" s="884"/>
      <c r="K7" s="884"/>
      <c r="L7" s="890"/>
      <c r="O7" s="315"/>
      <c r="P7" s="315"/>
      <c r="Q7" s="315"/>
      <c r="R7" s="315"/>
    </row>
    <row r="8" spans="1:18" s="70" customFormat="1" ht="15" customHeight="1">
      <c r="A8" s="894"/>
      <c r="B8" s="888"/>
      <c r="C8" s="885"/>
      <c r="D8" s="882"/>
      <c r="E8" s="882"/>
      <c r="F8" s="882"/>
      <c r="G8" s="886"/>
      <c r="H8" s="882"/>
      <c r="I8" s="882"/>
      <c r="J8" s="885"/>
      <c r="K8" s="885"/>
      <c r="L8" s="890"/>
      <c r="O8" s="315"/>
      <c r="P8" s="315"/>
      <c r="Q8" s="315"/>
      <c r="R8" s="315"/>
    </row>
    <row r="9" spans="1:18" s="461" customFormat="1" ht="40.5" customHeight="1">
      <c r="A9" s="361" t="s">
        <v>18</v>
      </c>
      <c r="B9" s="362"/>
      <c r="C9" s="363" t="s">
        <v>205</v>
      </c>
      <c r="D9" s="501">
        <f aca="true" t="shared" si="0" ref="D9:I9">D10+D11</f>
        <v>61330</v>
      </c>
      <c r="E9" s="501">
        <f t="shared" si="0"/>
        <v>0</v>
      </c>
      <c r="F9" s="501">
        <f t="shared" si="0"/>
        <v>36776</v>
      </c>
      <c r="G9" s="501">
        <f t="shared" si="0"/>
        <v>35405</v>
      </c>
      <c r="H9" s="501">
        <f t="shared" si="0"/>
        <v>560</v>
      </c>
      <c r="I9" s="501">
        <f t="shared" si="0"/>
        <v>1000</v>
      </c>
      <c r="J9" s="501">
        <f>J10+J11</f>
        <v>129612</v>
      </c>
      <c r="K9" s="501">
        <f>K10+K11</f>
        <v>13145</v>
      </c>
      <c r="L9" s="502">
        <f>L10+L11</f>
        <v>242423</v>
      </c>
      <c r="R9" s="462"/>
    </row>
    <row r="10" spans="1:17" s="114" customFormat="1" ht="26.25" customHeight="1">
      <c r="A10" s="364"/>
      <c r="B10" s="365" t="s">
        <v>145</v>
      </c>
      <c r="C10" s="366" t="s">
        <v>175</v>
      </c>
      <c r="D10" s="503">
        <f>1830+3000+500</f>
        <v>5330</v>
      </c>
      <c r="E10" s="503"/>
      <c r="F10" s="503">
        <f>660+29000+2245+988+113+270+700+2800</f>
        <v>36776</v>
      </c>
      <c r="G10" s="503">
        <f>F10-988-113-270</f>
        <v>35405</v>
      </c>
      <c r="H10" s="503">
        <v>0</v>
      </c>
      <c r="I10" s="503"/>
      <c r="J10" s="504">
        <f>'5.mell'!Q9-'4.mell '!D10-'4.mell '!E10-'4.mell '!F10-'4.mell '!H10-'4.mell '!I10-'4.mell '!K10</f>
        <v>66269</v>
      </c>
      <c r="K10" s="503">
        <v>13145</v>
      </c>
      <c r="L10" s="505">
        <f>D10+E10+F10+H10+I10+J10+K10</f>
        <v>121520</v>
      </c>
      <c r="O10" s="460"/>
      <c r="P10" s="460"/>
      <c r="Q10" s="460"/>
    </row>
    <row r="11" spans="1:16" s="114" customFormat="1" ht="24" customHeight="1">
      <c r="A11" s="364"/>
      <c r="B11" s="365" t="s">
        <v>146</v>
      </c>
      <c r="C11" s="366" t="s">
        <v>174</v>
      </c>
      <c r="D11" s="503">
        <f>54000+2000</f>
        <v>56000</v>
      </c>
      <c r="E11" s="503"/>
      <c r="F11" s="503"/>
      <c r="G11" s="503"/>
      <c r="H11" s="503">
        <f>165+145+250</f>
        <v>560</v>
      </c>
      <c r="I11" s="503">
        <f>595+255+150</f>
        <v>1000</v>
      </c>
      <c r="J11" s="504">
        <f>'5.mell'!Q10-'4.mell '!D11-'4.mell '!E11-'4.mell '!F11-'4.mell '!H11-'4.mell '!I11-'4.mell '!K11</f>
        <v>63343</v>
      </c>
      <c r="K11" s="503"/>
      <c r="L11" s="505">
        <f>D11+E11+F11+H11+I11+J11+K11</f>
        <v>120903</v>
      </c>
      <c r="O11" s="460"/>
      <c r="P11" s="460"/>
    </row>
    <row r="12" spans="1:16" s="461" customFormat="1" ht="24" customHeight="1">
      <c r="A12" s="361" t="s">
        <v>19</v>
      </c>
      <c r="B12" s="362" t="s">
        <v>145</v>
      </c>
      <c r="C12" s="363" t="s">
        <v>172</v>
      </c>
      <c r="D12" s="501">
        <v>0</v>
      </c>
      <c r="E12" s="501"/>
      <c r="F12" s="501">
        <v>0</v>
      </c>
      <c r="G12" s="501"/>
      <c r="H12" s="501"/>
      <c r="I12" s="501">
        <v>0</v>
      </c>
      <c r="J12" s="547">
        <f>'5.mell'!Q11-'4.mell '!D12-'4.mell '!E12-'4.mell '!F12-'4.mell '!H12-'4.mell '!I12-'4.mell '!K12</f>
        <v>230136</v>
      </c>
      <c r="K12" s="501">
        <f>2087+563+122+3674</f>
        <v>6446</v>
      </c>
      <c r="L12" s="502">
        <f>SUM(D12:K12)</f>
        <v>236582</v>
      </c>
      <c r="O12" s="462"/>
      <c r="P12" s="462"/>
    </row>
    <row r="13" spans="1:16" s="461" customFormat="1" ht="27" customHeight="1">
      <c r="A13" s="361" t="s">
        <v>20</v>
      </c>
      <c r="B13" s="362"/>
      <c r="C13" s="363" t="s">
        <v>81</v>
      </c>
      <c r="D13" s="501">
        <f>D14+D15</f>
        <v>9100</v>
      </c>
      <c r="E13" s="501">
        <f aca="true" t="shared" si="1" ref="E13:K13">E14+E15</f>
        <v>0</v>
      </c>
      <c r="F13" s="501">
        <f t="shared" si="1"/>
        <v>871</v>
      </c>
      <c r="G13" s="501">
        <f t="shared" si="1"/>
        <v>0</v>
      </c>
      <c r="H13" s="501">
        <f t="shared" si="1"/>
        <v>0</v>
      </c>
      <c r="I13" s="501">
        <f t="shared" si="1"/>
        <v>0</v>
      </c>
      <c r="J13" s="501">
        <f>J14+J15</f>
        <v>34865</v>
      </c>
      <c r="K13" s="501">
        <f t="shared" si="1"/>
        <v>2366</v>
      </c>
      <c r="L13" s="502">
        <f>L14+L15</f>
        <v>47202</v>
      </c>
      <c r="P13" s="462"/>
    </row>
    <row r="14" spans="1:12" s="114" customFormat="1" ht="24" customHeight="1">
      <c r="A14" s="364"/>
      <c r="B14" s="365" t="s">
        <v>146</v>
      </c>
      <c r="C14" s="366" t="s">
        <v>81</v>
      </c>
      <c r="D14" s="503">
        <f>400+2700</f>
        <v>3100</v>
      </c>
      <c r="E14" s="503"/>
      <c r="F14" s="503">
        <f>655+216</f>
        <v>871</v>
      </c>
      <c r="G14" s="503"/>
      <c r="H14" s="503"/>
      <c r="I14" s="503"/>
      <c r="J14" s="504">
        <f>'5.mell'!Q13-'4.mell '!D14-'4.mell '!E14-'4.mell '!F14-'4.mell '!H14-'4.mell '!I14-'4.mell '!K14</f>
        <v>20391</v>
      </c>
      <c r="K14" s="503">
        <v>2366</v>
      </c>
      <c r="L14" s="505">
        <f>D14+E14+F14+H14+I14+J14+K14</f>
        <v>26728</v>
      </c>
    </row>
    <row r="15" spans="1:12" s="114" customFormat="1" ht="24" customHeight="1">
      <c r="A15" s="364"/>
      <c r="B15" s="365" t="s">
        <v>146</v>
      </c>
      <c r="C15" s="366" t="s">
        <v>384</v>
      </c>
      <c r="D15" s="503">
        <v>6000</v>
      </c>
      <c r="E15" s="503"/>
      <c r="F15" s="503"/>
      <c r="G15" s="503"/>
      <c r="H15" s="503"/>
      <c r="I15" s="503"/>
      <c r="J15" s="504">
        <f>'5.mell'!Q14-'4.mell '!D15-'4.mell '!E15-'4.mell '!F15-'4.mell '!H15-'4.mell '!I15-'4.mell '!K15</f>
        <v>14474</v>
      </c>
      <c r="K15" s="503"/>
      <c r="L15" s="505">
        <f>D15+E15+F15+H15+I15+J15+K15</f>
        <v>20474</v>
      </c>
    </row>
    <row r="16" spans="1:12" ht="24" customHeight="1" thickBot="1">
      <c r="A16" s="361" t="s">
        <v>21</v>
      </c>
      <c r="B16" s="362" t="s">
        <v>145</v>
      </c>
      <c r="C16" s="363" t="s">
        <v>80</v>
      </c>
      <c r="D16" s="501">
        <f>1224+1500</f>
        <v>2724</v>
      </c>
      <c r="E16" s="501"/>
      <c r="F16" s="501"/>
      <c r="G16" s="501"/>
      <c r="H16" s="501"/>
      <c r="I16" s="501">
        <v>0</v>
      </c>
      <c r="J16" s="547">
        <f>'5.mell'!Q15-'4.mell '!D16-'4.mell '!E16-'4.mell '!F16-'4.mell '!H16-'4.mell '!I16-'4.mell '!K16</f>
        <v>33628</v>
      </c>
      <c r="K16" s="501">
        <v>3457</v>
      </c>
      <c r="L16" s="502">
        <f>SUM(D16:K16)</f>
        <v>39809</v>
      </c>
    </row>
    <row r="17" spans="1:16" ht="24" customHeight="1" thickTop="1">
      <c r="A17" s="367"/>
      <c r="B17" s="368"/>
      <c r="C17" s="123" t="s">
        <v>385</v>
      </c>
      <c r="D17" s="576">
        <f aca="true" t="shared" si="2" ref="D17:I17">D9+D12+D13+D16</f>
        <v>73154</v>
      </c>
      <c r="E17" s="576">
        <f t="shared" si="2"/>
        <v>0</v>
      </c>
      <c r="F17" s="576">
        <f t="shared" si="2"/>
        <v>37647</v>
      </c>
      <c r="G17" s="576">
        <f t="shared" si="2"/>
        <v>35405</v>
      </c>
      <c r="H17" s="576">
        <f t="shared" si="2"/>
        <v>560</v>
      </c>
      <c r="I17" s="576">
        <f t="shared" si="2"/>
        <v>1000</v>
      </c>
      <c r="J17" s="576">
        <f>J9+J12+J13+J16</f>
        <v>428241</v>
      </c>
      <c r="K17" s="576">
        <f>K9+K12+K13+K16</f>
        <v>25414</v>
      </c>
      <c r="L17" s="577">
        <f>L9+L12+L13+L16</f>
        <v>566016</v>
      </c>
      <c r="O17" s="462"/>
      <c r="P17" s="462"/>
    </row>
    <row r="18" spans="1:16" ht="25.5" customHeight="1">
      <c r="A18" s="369"/>
      <c r="B18" s="362" t="s">
        <v>145</v>
      </c>
      <c r="C18" s="370" t="s">
        <v>175</v>
      </c>
      <c r="D18" s="578">
        <f aca="true" t="shared" si="3" ref="D18:L18">D10+D12+D16</f>
        <v>8054</v>
      </c>
      <c r="E18" s="578">
        <f t="shared" si="3"/>
        <v>0</v>
      </c>
      <c r="F18" s="578">
        <f t="shared" si="3"/>
        <v>36776</v>
      </c>
      <c r="G18" s="578">
        <f t="shared" si="3"/>
        <v>35405</v>
      </c>
      <c r="H18" s="578">
        <f t="shared" si="3"/>
        <v>0</v>
      </c>
      <c r="I18" s="578">
        <f t="shared" si="3"/>
        <v>0</v>
      </c>
      <c r="J18" s="578">
        <f t="shared" si="3"/>
        <v>330033</v>
      </c>
      <c r="K18" s="578">
        <f t="shared" si="3"/>
        <v>23048</v>
      </c>
      <c r="L18" s="579">
        <f t="shared" si="3"/>
        <v>397911</v>
      </c>
      <c r="M18" s="74"/>
      <c r="P18" s="462"/>
    </row>
    <row r="19" spans="1:13" ht="26.25" customHeight="1" thickBot="1">
      <c r="A19" s="371"/>
      <c r="B19" s="372" t="s">
        <v>146</v>
      </c>
      <c r="C19" s="366" t="s">
        <v>174</v>
      </c>
      <c r="D19" s="580">
        <f aca="true" t="shared" si="4" ref="D19:L19">D11+D15+D14</f>
        <v>65100</v>
      </c>
      <c r="E19" s="580">
        <f t="shared" si="4"/>
        <v>0</v>
      </c>
      <c r="F19" s="580">
        <f t="shared" si="4"/>
        <v>871</v>
      </c>
      <c r="G19" s="580">
        <f t="shared" si="4"/>
        <v>0</v>
      </c>
      <c r="H19" s="580">
        <f t="shared" si="4"/>
        <v>560</v>
      </c>
      <c r="I19" s="580">
        <f t="shared" si="4"/>
        <v>1000</v>
      </c>
      <c r="J19" s="580">
        <f t="shared" si="4"/>
        <v>98208</v>
      </c>
      <c r="K19" s="580">
        <f t="shared" si="4"/>
        <v>2366</v>
      </c>
      <c r="L19" s="581">
        <f t="shared" si="4"/>
        <v>168105</v>
      </c>
      <c r="M19" s="74"/>
    </row>
    <row r="20" spans="1:18" s="70" customFormat="1" ht="24" customHeight="1" thickBot="1">
      <c r="A20" s="373" t="s">
        <v>18</v>
      </c>
      <c r="B20" s="374"/>
      <c r="C20" s="375" t="s">
        <v>168</v>
      </c>
      <c r="D20" s="603">
        <f>'3.mell'!F79+'3.mell'!F108</f>
        <v>5910</v>
      </c>
      <c r="E20" s="603"/>
      <c r="F20" s="603">
        <f>'3.mell'!F43</f>
        <v>6507</v>
      </c>
      <c r="G20" s="603"/>
      <c r="H20" s="603"/>
      <c r="I20" s="604"/>
      <c r="J20" s="605">
        <f>'5.mell'!Q35-D20-E20-F20-H20-I20-K20</f>
        <v>223926</v>
      </c>
      <c r="K20" s="604">
        <v>29062</v>
      </c>
      <c r="L20" s="606">
        <f>D20+E20+F20+H20+I20+J20+K20</f>
        <v>265405</v>
      </c>
      <c r="O20" s="315"/>
      <c r="P20" s="315"/>
      <c r="Q20" s="315"/>
      <c r="R20" s="315"/>
    </row>
    <row r="21" ht="12.75">
      <c r="J21" s="74"/>
    </row>
  </sheetData>
  <sheetProtection/>
  <mergeCells count="15">
    <mergeCell ref="L4:L8"/>
    <mergeCell ref="J1:L1"/>
    <mergeCell ref="A4:A8"/>
    <mergeCell ref="C4:C8"/>
    <mergeCell ref="D4:I4"/>
    <mergeCell ref="J4:K5"/>
    <mergeCell ref="I5:I8"/>
    <mergeCell ref="E5:E8"/>
    <mergeCell ref="D5:D8"/>
    <mergeCell ref="F5:F8"/>
    <mergeCell ref="K6:K8"/>
    <mergeCell ref="J6:J8"/>
    <mergeCell ref="G5:G8"/>
    <mergeCell ref="H5:H8"/>
    <mergeCell ref="B4:B8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SheetLayoutView="100" zoomScalePageLayoutView="0" workbookViewId="0" topLeftCell="D1">
      <selection activeCell="H25" sqref="H25"/>
    </sheetView>
  </sheetViews>
  <sheetFormatPr defaultColWidth="9.00390625" defaultRowHeight="12.75" customHeight="1"/>
  <cols>
    <col min="1" max="1" width="4.00390625" style="26" customWidth="1"/>
    <col min="2" max="2" width="3.75390625" style="27" customWidth="1"/>
    <col min="3" max="3" width="5.25390625" style="77" customWidth="1"/>
    <col min="4" max="4" width="37.00390625" style="473" customWidth="1"/>
    <col min="5" max="5" width="8.125" style="473" customWidth="1"/>
    <col min="6" max="6" width="8.875" style="473" customWidth="1"/>
    <col min="7" max="7" width="8.125" style="473" customWidth="1"/>
    <col min="8" max="8" width="7.25390625" style="473" customWidth="1"/>
    <col min="9" max="9" width="6.875" style="473" customWidth="1"/>
    <col min="10" max="10" width="7.625" style="473" customWidth="1"/>
    <col min="11" max="11" width="7.00390625" style="473" customWidth="1"/>
    <col min="12" max="12" width="9.375" style="456" bestFit="1" customWidth="1"/>
    <col min="13" max="13" width="8.625" style="621" bestFit="1" customWidth="1"/>
    <col min="14" max="14" width="7.25390625" style="621" customWidth="1"/>
    <col min="15" max="15" width="8.25390625" style="621" customWidth="1"/>
    <col min="16" max="16" width="6.75390625" style="621" customWidth="1"/>
    <col min="17" max="17" width="9.75390625" style="155" customWidth="1"/>
    <col min="18" max="18" width="6.875" style="153" bestFit="1" customWidth="1"/>
    <col min="19" max="16384" width="9.125" style="27" customWidth="1"/>
  </cols>
  <sheetData>
    <row r="1" spans="12:18" ht="12.75" customHeight="1">
      <c r="L1" s="624"/>
      <c r="M1" s="617"/>
      <c r="N1" s="951" t="s">
        <v>433</v>
      </c>
      <c r="O1" s="951"/>
      <c r="P1" s="951"/>
      <c r="Q1" s="951"/>
      <c r="R1" s="951"/>
    </row>
    <row r="2" spans="12:18" ht="12.75" customHeight="1">
      <c r="L2" s="624"/>
      <c r="M2" s="617"/>
      <c r="N2" s="617"/>
      <c r="O2" s="617"/>
      <c r="P2" s="617"/>
      <c r="Q2" s="140"/>
      <c r="R2" s="141"/>
    </row>
    <row r="3" spans="12:18" ht="12.75" customHeight="1">
      <c r="L3" s="624"/>
      <c r="M3" s="617"/>
      <c r="N3" s="617"/>
      <c r="O3" s="617"/>
      <c r="P3" s="617"/>
      <c r="Q3" s="140"/>
      <c r="R3" s="141"/>
    </row>
    <row r="4" spans="12:18" ht="12.75" customHeight="1" thickBot="1">
      <c r="L4" s="624"/>
      <c r="M4" s="617"/>
      <c r="N4" s="617"/>
      <c r="O4" s="617"/>
      <c r="P4" s="617"/>
      <c r="Q4" s="107" t="s">
        <v>3</v>
      </c>
      <c r="R4" s="142"/>
    </row>
    <row r="5" spans="1:18" s="29" customFormat="1" ht="36" customHeight="1">
      <c r="A5" s="974" t="s">
        <v>58</v>
      </c>
      <c r="B5" s="975"/>
      <c r="C5" s="971" t="s">
        <v>346</v>
      </c>
      <c r="D5" s="28" t="s">
        <v>59</v>
      </c>
      <c r="E5" s="28" t="s">
        <v>60</v>
      </c>
      <c r="F5" s="69" t="s">
        <v>153</v>
      </c>
      <c r="G5" s="28" t="s">
        <v>61</v>
      </c>
      <c r="H5" s="69" t="s">
        <v>266</v>
      </c>
      <c r="I5" s="960" t="s">
        <v>112</v>
      </c>
      <c r="J5" s="961"/>
      <c r="K5" s="962"/>
      <c r="L5" s="28" t="s">
        <v>33</v>
      </c>
      <c r="M5" s="28" t="s">
        <v>62</v>
      </c>
      <c r="N5" s="963" t="s">
        <v>57</v>
      </c>
      <c r="O5" s="964"/>
      <c r="P5" s="965"/>
      <c r="Q5" s="28" t="s">
        <v>40</v>
      </c>
      <c r="R5" s="117" t="s">
        <v>63</v>
      </c>
    </row>
    <row r="6" spans="1:18" s="29" customFormat="1" ht="37.5" customHeight="1">
      <c r="A6" s="958" t="s">
        <v>64</v>
      </c>
      <c r="B6" s="959"/>
      <c r="C6" s="972"/>
      <c r="D6" s="30" t="s">
        <v>65</v>
      </c>
      <c r="E6" s="30" t="s">
        <v>113</v>
      </c>
      <c r="F6" s="75" t="s">
        <v>154</v>
      </c>
      <c r="G6" s="30" t="s">
        <v>66</v>
      </c>
      <c r="H6" s="75" t="s">
        <v>267</v>
      </c>
      <c r="I6" s="977" t="s">
        <v>325</v>
      </c>
      <c r="J6" s="926" t="s">
        <v>326</v>
      </c>
      <c r="K6" s="926" t="s">
        <v>327</v>
      </c>
      <c r="L6" s="30" t="s">
        <v>67</v>
      </c>
      <c r="M6" s="30" t="s">
        <v>68</v>
      </c>
      <c r="N6" s="977" t="s">
        <v>325</v>
      </c>
      <c r="O6" s="926" t="s">
        <v>326</v>
      </c>
      <c r="P6" s="926" t="s">
        <v>327</v>
      </c>
      <c r="Q6" s="30" t="s">
        <v>17</v>
      </c>
      <c r="R6" s="118" t="s">
        <v>69</v>
      </c>
    </row>
    <row r="7" spans="1:18" s="29" customFormat="1" ht="36.75" customHeight="1" thickBot="1">
      <c r="A7" s="966" t="s">
        <v>70</v>
      </c>
      <c r="B7" s="967"/>
      <c r="C7" s="973"/>
      <c r="D7" s="31"/>
      <c r="E7" s="31"/>
      <c r="F7" s="76" t="s">
        <v>155</v>
      </c>
      <c r="G7" s="31" t="s">
        <v>75</v>
      </c>
      <c r="H7" s="76" t="s">
        <v>268</v>
      </c>
      <c r="I7" s="976"/>
      <c r="J7" s="927"/>
      <c r="K7" s="976"/>
      <c r="L7" s="31" t="s">
        <v>17</v>
      </c>
      <c r="M7" s="31" t="s">
        <v>71</v>
      </c>
      <c r="N7" s="976"/>
      <c r="O7" s="927"/>
      <c r="P7" s="976"/>
      <c r="Q7" s="31"/>
      <c r="R7" s="119"/>
    </row>
    <row r="8" spans="1:18" ht="11.25" customHeight="1">
      <c r="A8" s="35" t="s">
        <v>18</v>
      </c>
      <c r="B8" s="36"/>
      <c r="C8" s="90"/>
      <c r="D8" s="37" t="s">
        <v>205</v>
      </c>
      <c r="E8" s="402">
        <f aca="true" t="shared" si="0" ref="E8:K8">E9+E10</f>
        <v>132519</v>
      </c>
      <c r="F8" s="402">
        <f t="shared" si="0"/>
        <v>37387</v>
      </c>
      <c r="G8" s="402">
        <f t="shared" si="0"/>
        <v>59291</v>
      </c>
      <c r="H8" s="402">
        <f t="shared" si="0"/>
        <v>180</v>
      </c>
      <c r="I8" s="402">
        <f t="shared" si="0"/>
        <v>0</v>
      </c>
      <c r="J8" s="402">
        <f t="shared" si="0"/>
        <v>13046</v>
      </c>
      <c r="K8" s="402">
        <f t="shared" si="0"/>
        <v>0</v>
      </c>
      <c r="L8" s="403">
        <f aca="true" t="shared" si="1" ref="L8:L19">SUM(E8:K8)</f>
        <v>242423</v>
      </c>
      <c r="M8" s="401">
        <f>M9+M10</f>
        <v>0</v>
      </c>
      <c r="N8" s="401"/>
      <c r="O8" s="401">
        <v>0</v>
      </c>
      <c r="P8" s="401">
        <v>0</v>
      </c>
      <c r="Q8" s="38">
        <f aca="true" t="shared" si="2" ref="Q8:Q15">SUM(L8:P8)</f>
        <v>242423</v>
      </c>
      <c r="R8" s="404">
        <f>R9+R10</f>
        <v>56.25</v>
      </c>
    </row>
    <row r="9" spans="1:18" s="80" customFormat="1" ht="11.25" customHeight="1">
      <c r="A9" s="79"/>
      <c r="B9" s="101" t="s">
        <v>18</v>
      </c>
      <c r="C9" s="89" t="s">
        <v>145</v>
      </c>
      <c r="D9" s="486" t="s">
        <v>156</v>
      </c>
      <c r="E9" s="488">
        <f>65649+2130+1314-100-20+871+90+238+1500+229</f>
        <v>71901</v>
      </c>
      <c r="F9" s="487">
        <f>17490+873+355+380+354+100+20+117+24+32+400+62</f>
        <v>20207</v>
      </c>
      <c r="G9" s="488">
        <f>14848+99+700+900+110-291</f>
        <v>16366</v>
      </c>
      <c r="H9" s="488"/>
      <c r="I9" s="487"/>
      <c r="J9" s="487">
        <v>13046</v>
      </c>
      <c r="K9" s="487"/>
      <c r="L9" s="409">
        <f t="shared" si="1"/>
        <v>121520</v>
      </c>
      <c r="M9" s="487">
        <v>0</v>
      </c>
      <c r="N9" s="487"/>
      <c r="O9" s="487"/>
      <c r="P9" s="487"/>
      <c r="Q9" s="419">
        <f t="shared" si="2"/>
        <v>121520</v>
      </c>
      <c r="R9" s="420">
        <f>26.5+6</f>
        <v>32.5</v>
      </c>
    </row>
    <row r="10" spans="1:18" s="80" customFormat="1" ht="11.25" customHeight="1">
      <c r="A10" s="79"/>
      <c r="B10" s="101" t="s">
        <v>19</v>
      </c>
      <c r="C10" s="89" t="s">
        <v>146</v>
      </c>
      <c r="D10" s="486" t="s">
        <v>157</v>
      </c>
      <c r="E10" s="488">
        <f>57807+1425+1236+150</f>
        <v>60618</v>
      </c>
      <c r="F10" s="487">
        <f>15482+873+237+254+334</f>
        <v>17180</v>
      </c>
      <c r="G10" s="488">
        <f>42365+165+145+250</f>
        <v>42925</v>
      </c>
      <c r="H10" s="488">
        <f>150+30</f>
        <v>180</v>
      </c>
      <c r="I10" s="487"/>
      <c r="J10" s="487">
        <f>1015-1015</f>
        <v>0</v>
      </c>
      <c r="K10" s="487"/>
      <c r="L10" s="409">
        <f t="shared" si="1"/>
        <v>120903</v>
      </c>
      <c r="M10" s="487">
        <v>0</v>
      </c>
      <c r="N10" s="487"/>
      <c r="O10" s="487"/>
      <c r="P10" s="487"/>
      <c r="Q10" s="419">
        <f t="shared" si="2"/>
        <v>120903</v>
      </c>
      <c r="R10" s="420">
        <f>20.75-1+4</f>
        <v>23.75</v>
      </c>
    </row>
    <row r="11" spans="1:18" ht="11.25" customHeight="1">
      <c r="A11" s="35" t="s">
        <v>19</v>
      </c>
      <c r="B11" s="101"/>
      <c r="C11" s="90" t="s">
        <v>145</v>
      </c>
      <c r="D11" s="37" t="s">
        <v>172</v>
      </c>
      <c r="E11" s="401">
        <f>161464+3300+2087+1199-504+103-100</f>
        <v>167549</v>
      </c>
      <c r="F11" s="401">
        <f>46237+550+589+563+324+100</f>
        <v>48363</v>
      </c>
      <c r="G11" s="402">
        <f>16138+122+504+132+100</f>
        <v>16996</v>
      </c>
      <c r="H11" s="402"/>
      <c r="I11" s="401"/>
      <c r="J11" s="401">
        <v>3674</v>
      </c>
      <c r="K11" s="401"/>
      <c r="L11" s="403">
        <f t="shared" si="1"/>
        <v>236582</v>
      </c>
      <c r="M11" s="401">
        <v>0</v>
      </c>
      <c r="N11" s="401"/>
      <c r="O11" s="401"/>
      <c r="P11" s="401"/>
      <c r="Q11" s="38">
        <f t="shared" si="2"/>
        <v>236582</v>
      </c>
      <c r="R11" s="404">
        <v>55</v>
      </c>
    </row>
    <row r="12" spans="1:18" ht="11.25" customHeight="1">
      <c r="A12" s="35" t="s">
        <v>20</v>
      </c>
      <c r="B12" s="101"/>
      <c r="C12" s="90"/>
      <c r="D12" s="37" t="s">
        <v>81</v>
      </c>
      <c r="E12" s="401">
        <f>E13+E14</f>
        <v>24402</v>
      </c>
      <c r="F12" s="401">
        <f>F13+F14</f>
        <v>6600</v>
      </c>
      <c r="G12" s="401">
        <f>G13+G14</f>
        <v>11825</v>
      </c>
      <c r="H12" s="401"/>
      <c r="I12" s="401">
        <f>I13+I14</f>
        <v>0</v>
      </c>
      <c r="J12" s="401">
        <f>J13+J14</f>
        <v>1875</v>
      </c>
      <c r="K12" s="401">
        <f>K13+K14</f>
        <v>0</v>
      </c>
      <c r="L12" s="403">
        <f t="shared" si="1"/>
        <v>44702</v>
      </c>
      <c r="M12" s="401">
        <f>M13+M14</f>
        <v>2500</v>
      </c>
      <c r="N12" s="401"/>
      <c r="O12" s="401">
        <f>O13+O14</f>
        <v>0</v>
      </c>
      <c r="P12" s="401">
        <f>P13+P14</f>
        <v>0</v>
      </c>
      <c r="Q12" s="38">
        <f t="shared" si="2"/>
        <v>47202</v>
      </c>
      <c r="R12" s="404">
        <f>R13+R14</f>
        <v>11</v>
      </c>
    </row>
    <row r="13" spans="1:18" s="80" customFormat="1" ht="11.25" customHeight="1">
      <c r="A13" s="88"/>
      <c r="B13" s="101" t="s">
        <v>18</v>
      </c>
      <c r="C13" s="89" t="s">
        <v>383</v>
      </c>
      <c r="D13" s="486" t="s">
        <v>81</v>
      </c>
      <c r="E13" s="487">
        <f>14288+300+264-82+225</f>
        <v>14995</v>
      </c>
      <c r="F13" s="487">
        <f>3831+50+54+15-23+61+45</f>
        <v>4033</v>
      </c>
      <c r="G13" s="488">
        <f>5005+212+180+173-45+300</f>
        <v>5825</v>
      </c>
      <c r="H13" s="488"/>
      <c r="I13" s="487"/>
      <c r="J13" s="487">
        <v>1875</v>
      </c>
      <c r="K13" s="487">
        <v>0</v>
      </c>
      <c r="L13" s="409">
        <f t="shared" si="1"/>
        <v>26728</v>
      </c>
      <c r="M13" s="487">
        <v>0</v>
      </c>
      <c r="N13" s="487"/>
      <c r="O13" s="487"/>
      <c r="P13" s="487"/>
      <c r="Q13" s="419">
        <f t="shared" si="2"/>
        <v>26728</v>
      </c>
      <c r="R13" s="420">
        <v>5</v>
      </c>
    </row>
    <row r="14" spans="1:18" s="80" customFormat="1" ht="11.25" customHeight="1">
      <c r="A14" s="88"/>
      <c r="B14" s="101" t="s">
        <v>19</v>
      </c>
      <c r="C14" s="89" t="s">
        <v>146</v>
      </c>
      <c r="D14" s="486" t="s">
        <v>384</v>
      </c>
      <c r="E14" s="487">
        <f>9047+360</f>
        <v>9407</v>
      </c>
      <c r="F14" s="487">
        <f>2443+60+64</f>
        <v>2567</v>
      </c>
      <c r="G14" s="488">
        <f>6000+2500-2500</f>
        <v>6000</v>
      </c>
      <c r="H14" s="488"/>
      <c r="I14" s="487"/>
      <c r="J14" s="487"/>
      <c r="K14" s="487"/>
      <c r="L14" s="409">
        <f t="shared" si="1"/>
        <v>17974</v>
      </c>
      <c r="M14" s="487">
        <v>2500</v>
      </c>
      <c r="N14" s="487"/>
      <c r="O14" s="487"/>
      <c r="P14" s="487">
        <f>1820-1820</f>
        <v>0</v>
      </c>
      <c r="Q14" s="419">
        <f t="shared" si="2"/>
        <v>20474</v>
      </c>
      <c r="R14" s="410">
        <v>6</v>
      </c>
    </row>
    <row r="15" spans="1:18" ht="11.25" customHeight="1" thickBot="1">
      <c r="A15" s="35">
        <v>4</v>
      </c>
      <c r="B15" s="101"/>
      <c r="C15" s="90" t="s">
        <v>145</v>
      </c>
      <c r="D15" s="37" t="s">
        <v>80</v>
      </c>
      <c r="E15" s="401">
        <f>16452+420+633+48+150-150+676</f>
        <v>18229</v>
      </c>
      <c r="F15" s="401">
        <f>4369+70+75+171+150+183</f>
        <v>5018</v>
      </c>
      <c r="G15" s="402">
        <f>7685+2072-150+120+3884+957+609</f>
        <v>15177</v>
      </c>
      <c r="H15" s="402"/>
      <c r="I15" s="401">
        <v>0</v>
      </c>
      <c r="J15" s="401">
        <v>1385</v>
      </c>
      <c r="K15" s="401"/>
      <c r="L15" s="403">
        <f t="shared" si="1"/>
        <v>39809</v>
      </c>
      <c r="M15" s="401">
        <v>0</v>
      </c>
      <c r="N15" s="401"/>
      <c r="O15" s="401">
        <v>0</v>
      </c>
      <c r="P15" s="401">
        <v>0</v>
      </c>
      <c r="Q15" s="38">
        <f t="shared" si="2"/>
        <v>39809</v>
      </c>
      <c r="R15" s="404">
        <f>8-1+1</f>
        <v>8</v>
      </c>
    </row>
    <row r="16" spans="1:18" ht="12.75" customHeight="1" thickBot="1">
      <c r="A16" s="968" t="s">
        <v>386</v>
      </c>
      <c r="B16" s="969"/>
      <c r="C16" s="969"/>
      <c r="D16" s="970"/>
      <c r="E16" s="416">
        <f>E8+E11+E12+E15</f>
        <v>342699</v>
      </c>
      <c r="F16" s="416">
        <f aca="true" t="shared" si="3" ref="F16:K16">F8+F11+F12+F15</f>
        <v>97368</v>
      </c>
      <c r="G16" s="416">
        <f t="shared" si="3"/>
        <v>103289</v>
      </c>
      <c r="H16" s="416">
        <f t="shared" si="3"/>
        <v>180</v>
      </c>
      <c r="I16" s="416">
        <f t="shared" si="3"/>
        <v>0</v>
      </c>
      <c r="J16" s="416">
        <f t="shared" si="3"/>
        <v>19980</v>
      </c>
      <c r="K16" s="416">
        <f t="shared" si="3"/>
        <v>0</v>
      </c>
      <c r="L16" s="421">
        <f>SUM(E16:K16)</f>
        <v>563516</v>
      </c>
      <c r="M16" s="416">
        <f>M8+M11+M12+M15</f>
        <v>2500</v>
      </c>
      <c r="N16" s="416">
        <f>N8+N11+N12+N15</f>
        <v>0</v>
      </c>
      <c r="O16" s="416">
        <f>O8+O11+O12+O15</f>
        <v>0</v>
      </c>
      <c r="P16" s="416">
        <f>P8+P11+P12+P15</f>
        <v>0</v>
      </c>
      <c r="Q16" s="416">
        <f aca="true" t="shared" si="4" ref="Q16:Q28">SUM(L16:P16)</f>
        <v>566016</v>
      </c>
      <c r="R16" s="417">
        <f>R8+R11+R12+R15</f>
        <v>130.25</v>
      </c>
    </row>
    <row r="17" spans="1:18" s="80" customFormat="1" ht="12.75" customHeight="1">
      <c r="A17" s="952" t="s">
        <v>156</v>
      </c>
      <c r="B17" s="953"/>
      <c r="C17" s="953"/>
      <c r="D17" s="954"/>
      <c r="E17" s="518">
        <f>E9+E11+E15</f>
        <v>257679</v>
      </c>
      <c r="F17" s="518">
        <f aca="true" t="shared" si="5" ref="F17:K17">F9+F11+F15</f>
        <v>73588</v>
      </c>
      <c r="G17" s="518">
        <f t="shared" si="5"/>
        <v>48539</v>
      </c>
      <c r="H17" s="518">
        <f t="shared" si="5"/>
        <v>0</v>
      </c>
      <c r="I17" s="518">
        <f t="shared" si="5"/>
        <v>0</v>
      </c>
      <c r="J17" s="518">
        <f t="shared" si="5"/>
        <v>18105</v>
      </c>
      <c r="K17" s="518">
        <f t="shared" si="5"/>
        <v>0</v>
      </c>
      <c r="L17" s="433">
        <f t="shared" si="1"/>
        <v>397911</v>
      </c>
      <c r="M17" s="518">
        <f>M9+M11+M15</f>
        <v>0</v>
      </c>
      <c r="N17" s="518">
        <f>N9+N11+N15</f>
        <v>0</v>
      </c>
      <c r="O17" s="518">
        <f>O9+O11+O15</f>
        <v>0</v>
      </c>
      <c r="P17" s="518">
        <f>P9+P11+P15</f>
        <v>0</v>
      </c>
      <c r="Q17" s="433">
        <f t="shared" si="4"/>
        <v>397911</v>
      </c>
      <c r="R17" s="434">
        <f>R9+R15+R11</f>
        <v>95.5</v>
      </c>
    </row>
    <row r="18" spans="1:18" s="80" customFormat="1" ht="12.75" customHeight="1">
      <c r="A18" s="932" t="s">
        <v>173</v>
      </c>
      <c r="B18" s="933"/>
      <c r="C18" s="933"/>
      <c r="D18" s="934"/>
      <c r="E18" s="519">
        <v>0</v>
      </c>
      <c r="F18" s="519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409">
        <v>0</v>
      </c>
      <c r="M18" s="519">
        <v>0</v>
      </c>
      <c r="N18" s="519"/>
      <c r="O18" s="519">
        <v>0</v>
      </c>
      <c r="P18" s="519">
        <v>0</v>
      </c>
      <c r="Q18" s="409">
        <v>0</v>
      </c>
      <c r="R18" s="435">
        <v>0</v>
      </c>
    </row>
    <row r="19" spans="1:18" s="80" customFormat="1" ht="12.75" customHeight="1" thickBot="1">
      <c r="A19" s="955" t="s">
        <v>167</v>
      </c>
      <c r="B19" s="956"/>
      <c r="C19" s="956"/>
      <c r="D19" s="957"/>
      <c r="E19" s="520">
        <f>E10+E13+E14</f>
        <v>85020</v>
      </c>
      <c r="F19" s="520">
        <f aca="true" t="shared" si="6" ref="F19:K19">F10+F13+F14</f>
        <v>23780</v>
      </c>
      <c r="G19" s="520">
        <f t="shared" si="6"/>
        <v>54750</v>
      </c>
      <c r="H19" s="520">
        <f t="shared" si="6"/>
        <v>180</v>
      </c>
      <c r="I19" s="520">
        <f t="shared" si="6"/>
        <v>0</v>
      </c>
      <c r="J19" s="520">
        <f t="shared" si="6"/>
        <v>1875</v>
      </c>
      <c r="K19" s="520">
        <f t="shared" si="6"/>
        <v>0</v>
      </c>
      <c r="L19" s="436">
        <f t="shared" si="1"/>
        <v>165605</v>
      </c>
      <c r="M19" s="520">
        <f>M10+M14+M13</f>
        <v>2500</v>
      </c>
      <c r="N19" s="520">
        <f>N10+N14+N13</f>
        <v>0</v>
      </c>
      <c r="O19" s="520">
        <f>O10+O14+O13</f>
        <v>0</v>
      </c>
      <c r="P19" s="520">
        <f>P10+P14+P13</f>
        <v>0</v>
      </c>
      <c r="Q19" s="436">
        <f t="shared" si="4"/>
        <v>168105</v>
      </c>
      <c r="R19" s="437">
        <f>R10+R14+R13</f>
        <v>34.75</v>
      </c>
    </row>
    <row r="20" spans="1:18" ht="12.75" customHeight="1">
      <c r="A20" s="60" t="s">
        <v>22</v>
      </c>
      <c r="B20" s="111" t="s">
        <v>491</v>
      </c>
      <c r="C20" s="93"/>
      <c r="D20" s="535" t="s">
        <v>169</v>
      </c>
      <c r="E20" s="411">
        <f>E21+E24+E25+E26+E27+E28</f>
        <v>148642</v>
      </c>
      <c r="F20" s="411">
        <f>F21+F24+F25+F26+F27+F28</f>
        <v>41597</v>
      </c>
      <c r="G20" s="411">
        <f>G21+G24+G25+G26+G27+G28</f>
        <v>37104</v>
      </c>
      <c r="H20" s="411">
        <f>H21+H24+H25+H26</f>
        <v>0</v>
      </c>
      <c r="I20" s="411">
        <f>I21+I24+I25+I26</f>
        <v>0</v>
      </c>
      <c r="J20" s="411">
        <f>J21+J24+J25+J26</f>
        <v>29062</v>
      </c>
      <c r="K20" s="411">
        <f>K21+K24+K25+K26</f>
        <v>0</v>
      </c>
      <c r="L20" s="411">
        <f>SUM(E20:K20)</f>
        <v>256405</v>
      </c>
      <c r="M20" s="411">
        <v>0</v>
      </c>
      <c r="N20" s="411"/>
      <c r="O20" s="411">
        <v>0</v>
      </c>
      <c r="P20" s="411">
        <v>0</v>
      </c>
      <c r="Q20" s="411">
        <f>SUM(L20:P20)</f>
        <v>256405</v>
      </c>
      <c r="R20" s="412">
        <f>R21+R24+R25</f>
        <v>45</v>
      </c>
    </row>
    <row r="21" spans="1:18" ht="11.25" customHeight="1">
      <c r="A21" s="68"/>
      <c r="B21" s="130">
        <v>1.1</v>
      </c>
      <c r="C21" s="82"/>
      <c r="D21" s="534" t="s">
        <v>88</v>
      </c>
      <c r="E21" s="405">
        <f>E22+E23</f>
        <v>130992</v>
      </c>
      <c r="F21" s="405">
        <f aca="true" t="shared" si="7" ref="F21:K21">F22+F23</f>
        <v>36605</v>
      </c>
      <c r="G21" s="405">
        <f>G22+G23</f>
        <v>35700</v>
      </c>
      <c r="H21" s="405"/>
      <c r="I21" s="405">
        <f t="shared" si="7"/>
        <v>0</v>
      </c>
      <c r="J21" s="405">
        <f t="shared" si="7"/>
        <v>29062</v>
      </c>
      <c r="K21" s="405">
        <f t="shared" si="7"/>
        <v>0</v>
      </c>
      <c r="L21" s="403">
        <f aca="true" t="shared" si="8" ref="L21:L26">SUM(E21:K21)</f>
        <v>232359</v>
      </c>
      <c r="M21" s="405">
        <f>M22+M23</f>
        <v>0</v>
      </c>
      <c r="N21" s="405"/>
      <c r="O21" s="405">
        <f>O22+O23</f>
        <v>0</v>
      </c>
      <c r="P21" s="405">
        <f>P22+P23</f>
        <v>0</v>
      </c>
      <c r="Q21" s="403">
        <f t="shared" si="4"/>
        <v>232359</v>
      </c>
      <c r="R21" s="407">
        <f>R22+R23</f>
        <v>40.599999999999994</v>
      </c>
    </row>
    <row r="22" spans="1:18" s="80" customFormat="1" ht="11.25" customHeight="1">
      <c r="A22" s="115"/>
      <c r="B22" s="131"/>
      <c r="C22" s="85" t="s">
        <v>145</v>
      </c>
      <c r="D22" s="536" t="s">
        <v>156</v>
      </c>
      <c r="E22" s="519">
        <f>73283+3096+3628+298+49+6+80+100+393+1000+900+496+500+1089+873</f>
        <v>85791</v>
      </c>
      <c r="F22" s="519">
        <f>836+19787+103+1253+510+134+135+1000+294+236</f>
        <v>24288</v>
      </c>
      <c r="G22" s="519">
        <f>1500+24000+2000</f>
        <v>27500</v>
      </c>
      <c r="H22" s="519"/>
      <c r="I22" s="519"/>
      <c r="J22" s="519">
        <f>28062+1000</f>
        <v>29062</v>
      </c>
      <c r="K22" s="519"/>
      <c r="L22" s="409">
        <f t="shared" si="8"/>
        <v>166641</v>
      </c>
      <c r="M22" s="519">
        <f>3000-3000</f>
        <v>0</v>
      </c>
      <c r="N22" s="519"/>
      <c r="O22" s="519"/>
      <c r="P22" s="519"/>
      <c r="Q22" s="409">
        <f>SUM(L22:P22)</f>
        <v>166641</v>
      </c>
      <c r="R22" s="410">
        <f>25.4+1+2</f>
        <v>28.4</v>
      </c>
    </row>
    <row r="23" spans="1:18" s="80" customFormat="1" ht="11.25" customHeight="1">
      <c r="A23" s="115"/>
      <c r="B23" s="131"/>
      <c r="C23" s="85" t="s">
        <v>178</v>
      </c>
      <c r="D23" s="536" t="s">
        <v>173</v>
      </c>
      <c r="E23" s="519">
        <f>41521+1963+27+100+1000+505+85</f>
        <v>45201</v>
      </c>
      <c r="F23" s="519">
        <f>11211+677+270+136+23</f>
        <v>12317</v>
      </c>
      <c r="G23" s="519">
        <f>6200+2000</f>
        <v>8200</v>
      </c>
      <c r="H23" s="519"/>
      <c r="I23" s="519"/>
      <c r="J23" s="519"/>
      <c r="K23" s="519"/>
      <c r="L23" s="409">
        <f t="shared" si="8"/>
        <v>65718</v>
      </c>
      <c r="M23" s="519"/>
      <c r="N23" s="519"/>
      <c r="O23" s="519"/>
      <c r="P23" s="519"/>
      <c r="Q23" s="409">
        <f>SUM(L23:P23)</f>
        <v>65718</v>
      </c>
      <c r="R23" s="410">
        <v>12.2</v>
      </c>
    </row>
    <row r="24" spans="1:18" ht="11.25" customHeight="1">
      <c r="A24" s="68"/>
      <c r="B24" s="130">
        <v>1.2</v>
      </c>
      <c r="C24" s="82" t="s">
        <v>145</v>
      </c>
      <c r="D24" s="534" t="s">
        <v>179</v>
      </c>
      <c r="E24" s="405">
        <f>1329+30</f>
        <v>1359</v>
      </c>
      <c r="F24" s="405">
        <f>359+11</f>
        <v>370</v>
      </c>
      <c r="G24" s="405">
        <v>0</v>
      </c>
      <c r="H24" s="405"/>
      <c r="I24" s="405"/>
      <c r="J24" s="405"/>
      <c r="K24" s="405"/>
      <c r="L24" s="403">
        <f t="shared" si="8"/>
        <v>1729</v>
      </c>
      <c r="M24" s="405"/>
      <c r="N24" s="405"/>
      <c r="O24" s="405"/>
      <c r="P24" s="405"/>
      <c r="Q24" s="403">
        <f>SUM(L24:P24)</f>
        <v>1729</v>
      </c>
      <c r="R24" s="407">
        <v>0.2</v>
      </c>
    </row>
    <row r="25" spans="1:18" ht="11.25" customHeight="1">
      <c r="A25" s="68"/>
      <c r="B25" s="130">
        <v>1.3</v>
      </c>
      <c r="C25" s="82" t="s">
        <v>146</v>
      </c>
      <c r="D25" s="534" t="s">
        <v>89</v>
      </c>
      <c r="E25" s="405">
        <f>10953+625+9+331+437</f>
        <v>12355</v>
      </c>
      <c r="F25" s="405">
        <f>2958+216+89+118</f>
        <v>3381</v>
      </c>
      <c r="G25" s="405">
        <v>1000</v>
      </c>
      <c r="H25" s="405"/>
      <c r="I25" s="405"/>
      <c r="J25" s="405"/>
      <c r="K25" s="405"/>
      <c r="L25" s="403">
        <f t="shared" si="8"/>
        <v>16736</v>
      </c>
      <c r="M25" s="405"/>
      <c r="N25" s="405"/>
      <c r="O25" s="405"/>
      <c r="P25" s="405"/>
      <c r="Q25" s="403">
        <f t="shared" si="4"/>
        <v>16736</v>
      </c>
      <c r="R25" s="407">
        <v>4.2</v>
      </c>
    </row>
    <row r="26" spans="1:18" ht="11.25" customHeight="1">
      <c r="A26" s="127"/>
      <c r="B26" s="133">
        <v>1.4</v>
      </c>
      <c r="C26" s="90" t="s">
        <v>145</v>
      </c>
      <c r="D26" s="537" t="s">
        <v>206</v>
      </c>
      <c r="E26" s="401">
        <v>2040</v>
      </c>
      <c r="F26" s="401">
        <v>551</v>
      </c>
      <c r="G26" s="401"/>
      <c r="H26" s="401"/>
      <c r="I26" s="401"/>
      <c r="J26" s="401"/>
      <c r="K26" s="401"/>
      <c r="L26" s="403">
        <f t="shared" si="8"/>
        <v>2591</v>
      </c>
      <c r="M26" s="401"/>
      <c r="N26" s="401"/>
      <c r="O26" s="401"/>
      <c r="P26" s="401"/>
      <c r="Q26" s="403">
        <f t="shared" si="4"/>
        <v>2591</v>
      </c>
      <c r="R26" s="404"/>
    </row>
    <row r="27" spans="1:18" ht="21" customHeight="1">
      <c r="A27" s="127"/>
      <c r="B27" s="133">
        <v>1.5</v>
      </c>
      <c r="C27" s="90" t="s">
        <v>146</v>
      </c>
      <c r="D27" s="686" t="s">
        <v>442</v>
      </c>
      <c r="E27" s="401">
        <v>275</v>
      </c>
      <c r="F27" s="401">
        <v>215</v>
      </c>
      <c r="G27" s="401"/>
      <c r="H27" s="401"/>
      <c r="I27" s="401"/>
      <c r="J27" s="401"/>
      <c r="K27" s="401"/>
      <c r="L27" s="426">
        <f>SUM(E27:K27)</f>
        <v>490</v>
      </c>
      <c r="M27" s="401"/>
      <c r="N27" s="401"/>
      <c r="O27" s="401"/>
      <c r="P27" s="401"/>
      <c r="Q27" s="426">
        <f t="shared" si="4"/>
        <v>490</v>
      </c>
      <c r="R27" s="404"/>
    </row>
    <row r="28" spans="1:18" ht="11.25" customHeight="1">
      <c r="A28" s="127"/>
      <c r="B28" s="133">
        <v>1.6</v>
      </c>
      <c r="C28" s="90" t="s">
        <v>145</v>
      </c>
      <c r="D28" s="686" t="s">
        <v>492</v>
      </c>
      <c r="E28" s="401">
        <v>1621</v>
      </c>
      <c r="F28" s="401">
        <v>475</v>
      </c>
      <c r="G28" s="401">
        <v>404</v>
      </c>
      <c r="H28" s="401"/>
      <c r="I28" s="401"/>
      <c r="J28" s="401"/>
      <c r="K28" s="401"/>
      <c r="L28" s="426">
        <f>SUM(E28:K28)</f>
        <v>2500</v>
      </c>
      <c r="M28" s="401"/>
      <c r="N28" s="401"/>
      <c r="O28" s="401"/>
      <c r="P28" s="401"/>
      <c r="Q28" s="426">
        <f t="shared" si="4"/>
        <v>2500</v>
      </c>
      <c r="R28" s="404"/>
    </row>
    <row r="29" spans="1:18" s="53" customFormat="1" ht="11.25" customHeight="1">
      <c r="A29" s="128"/>
      <c r="B29" s="132" t="s">
        <v>19</v>
      </c>
      <c r="C29" s="129"/>
      <c r="D29" s="602" t="s">
        <v>199</v>
      </c>
      <c r="E29" s="426">
        <f aca="true" t="shared" si="9" ref="E29:L29">SUM(E30:E31)</f>
        <v>0</v>
      </c>
      <c r="F29" s="426">
        <f t="shared" si="9"/>
        <v>0</v>
      </c>
      <c r="G29" s="426">
        <f t="shared" si="9"/>
        <v>0</v>
      </c>
      <c r="H29" s="426">
        <f t="shared" si="9"/>
        <v>700</v>
      </c>
      <c r="I29" s="426">
        <f t="shared" si="9"/>
        <v>0</v>
      </c>
      <c r="J29" s="426">
        <f t="shared" si="9"/>
        <v>0</v>
      </c>
      <c r="K29" s="426">
        <f t="shared" si="9"/>
        <v>0</v>
      </c>
      <c r="L29" s="426">
        <f t="shared" si="9"/>
        <v>700</v>
      </c>
      <c r="M29" s="426"/>
      <c r="N29" s="426"/>
      <c r="O29" s="426"/>
      <c r="P29" s="426"/>
      <c r="Q29" s="426">
        <f>SUM(Q30:Q31)</f>
        <v>700</v>
      </c>
      <c r="R29" s="404"/>
    </row>
    <row r="30" spans="1:18" ht="11.25" customHeight="1">
      <c r="A30" s="127"/>
      <c r="B30" s="133">
        <v>2.1</v>
      </c>
      <c r="C30" s="90" t="s">
        <v>145</v>
      </c>
      <c r="D30" s="47" t="s">
        <v>207</v>
      </c>
      <c r="E30" s="405"/>
      <c r="F30" s="405"/>
      <c r="G30" s="48"/>
      <c r="H30" s="48">
        <v>600</v>
      </c>
      <c r="I30" s="405">
        <v>0</v>
      </c>
      <c r="J30" s="405">
        <v>0</v>
      </c>
      <c r="K30" s="401"/>
      <c r="L30" s="426">
        <f>SUM(E30:K30)</f>
        <v>600</v>
      </c>
      <c r="M30" s="401"/>
      <c r="N30" s="401"/>
      <c r="O30" s="401"/>
      <c r="P30" s="401"/>
      <c r="Q30" s="426">
        <f>L30</f>
        <v>600</v>
      </c>
      <c r="R30" s="404"/>
    </row>
    <row r="31" spans="1:18" ht="11.25" customHeight="1">
      <c r="A31" s="127"/>
      <c r="B31" s="133">
        <v>2.2</v>
      </c>
      <c r="C31" s="90" t="s">
        <v>145</v>
      </c>
      <c r="D31" s="59" t="s">
        <v>78</v>
      </c>
      <c r="E31" s="408"/>
      <c r="F31" s="408"/>
      <c r="G31" s="51">
        <v>0</v>
      </c>
      <c r="H31" s="51">
        <v>100</v>
      </c>
      <c r="I31" s="408">
        <v>0</v>
      </c>
      <c r="J31" s="408">
        <v>0</v>
      </c>
      <c r="K31" s="401"/>
      <c r="L31" s="426">
        <f>SUM(E31:K31)</f>
        <v>100</v>
      </c>
      <c r="M31" s="401"/>
      <c r="N31" s="401"/>
      <c r="O31" s="401"/>
      <c r="P31" s="401"/>
      <c r="Q31" s="426">
        <f>L31</f>
        <v>100</v>
      </c>
      <c r="R31" s="404"/>
    </row>
    <row r="32" spans="1:18" s="53" customFormat="1" ht="11.25" customHeight="1">
      <c r="A32" s="128"/>
      <c r="B32" s="132" t="s">
        <v>20</v>
      </c>
      <c r="C32" s="129"/>
      <c r="D32" s="538" t="s">
        <v>88</v>
      </c>
      <c r="E32" s="403">
        <f>E34+E33</f>
        <v>0</v>
      </c>
      <c r="F32" s="403">
        <f aca="true" t="shared" si="10" ref="F32:K32">F34+F33</f>
        <v>0</v>
      </c>
      <c r="G32" s="403">
        <f t="shared" si="10"/>
        <v>8300</v>
      </c>
      <c r="H32" s="403">
        <f t="shared" si="10"/>
        <v>0</v>
      </c>
      <c r="I32" s="403">
        <f t="shared" si="10"/>
        <v>0</v>
      </c>
      <c r="J32" s="403">
        <f t="shared" si="10"/>
        <v>0</v>
      </c>
      <c r="K32" s="403">
        <f t="shared" si="10"/>
        <v>0</v>
      </c>
      <c r="L32" s="426">
        <f>G32+F32+E32</f>
        <v>8300</v>
      </c>
      <c r="M32" s="426"/>
      <c r="N32" s="426"/>
      <c r="O32" s="426"/>
      <c r="P32" s="426"/>
      <c r="Q32" s="426">
        <f>L32</f>
        <v>8300</v>
      </c>
      <c r="R32" s="404"/>
    </row>
    <row r="33" spans="1:18" ht="11.25" customHeight="1">
      <c r="A33" s="127"/>
      <c r="B33" s="133">
        <v>3.1</v>
      </c>
      <c r="C33" s="90" t="s">
        <v>145</v>
      </c>
      <c r="D33" s="51" t="s">
        <v>200</v>
      </c>
      <c r="E33" s="405"/>
      <c r="F33" s="405"/>
      <c r="G33" s="48">
        <v>8000</v>
      </c>
      <c r="H33" s="48"/>
      <c r="I33" s="405"/>
      <c r="J33" s="405"/>
      <c r="K33" s="401"/>
      <c r="L33" s="426">
        <f>G33</f>
        <v>8000</v>
      </c>
      <c r="M33" s="401"/>
      <c r="N33" s="401"/>
      <c r="O33" s="401"/>
      <c r="P33" s="401"/>
      <c r="Q33" s="426">
        <f>L33</f>
        <v>8000</v>
      </c>
      <c r="R33" s="404"/>
    </row>
    <row r="34" spans="1:18" ht="11.25" customHeight="1" thickBot="1">
      <c r="A34" s="127"/>
      <c r="B34" s="133">
        <v>3.2</v>
      </c>
      <c r="C34" s="90" t="s">
        <v>145</v>
      </c>
      <c r="D34" s="48" t="s">
        <v>86</v>
      </c>
      <c r="E34" s="405"/>
      <c r="F34" s="405"/>
      <c r="G34" s="48">
        <v>300</v>
      </c>
      <c r="H34" s="48"/>
      <c r="I34" s="405"/>
      <c r="J34" s="405"/>
      <c r="K34" s="401"/>
      <c r="L34" s="426">
        <f>G34</f>
        <v>300</v>
      </c>
      <c r="M34" s="401"/>
      <c r="N34" s="401"/>
      <c r="O34" s="401"/>
      <c r="P34" s="401"/>
      <c r="Q34" s="426">
        <f>L34</f>
        <v>300</v>
      </c>
      <c r="R34" s="404"/>
    </row>
    <row r="35" spans="1:18" ht="14.25" customHeight="1">
      <c r="A35" s="930" t="s">
        <v>387</v>
      </c>
      <c r="B35" s="931"/>
      <c r="C35" s="931"/>
      <c r="D35" s="931"/>
      <c r="E35" s="421">
        <f aca="true" t="shared" si="11" ref="E35:K35">E20+E29+E32</f>
        <v>148642</v>
      </c>
      <c r="F35" s="421">
        <f t="shared" si="11"/>
        <v>41597</v>
      </c>
      <c r="G35" s="421">
        <f t="shared" si="11"/>
        <v>45404</v>
      </c>
      <c r="H35" s="421">
        <f t="shared" si="11"/>
        <v>700</v>
      </c>
      <c r="I35" s="421">
        <f t="shared" si="11"/>
        <v>0</v>
      </c>
      <c r="J35" s="421">
        <f t="shared" si="11"/>
        <v>29062</v>
      </c>
      <c r="K35" s="421">
        <f t="shared" si="11"/>
        <v>0</v>
      </c>
      <c r="L35" s="421">
        <f>SUM(E35:K35)</f>
        <v>265405</v>
      </c>
      <c r="M35" s="421">
        <f>M20</f>
        <v>0</v>
      </c>
      <c r="N35" s="421"/>
      <c r="O35" s="421">
        <f>O20</f>
        <v>0</v>
      </c>
      <c r="P35" s="421">
        <f>P20</f>
        <v>0</v>
      </c>
      <c r="Q35" s="34">
        <f>SUM(L35:P35)</f>
        <v>265405</v>
      </c>
      <c r="R35" s="429">
        <f>R20</f>
        <v>45</v>
      </c>
    </row>
    <row r="36" spans="1:18" s="80" customFormat="1" ht="10.5" customHeight="1">
      <c r="A36" s="932" t="s">
        <v>156</v>
      </c>
      <c r="B36" s="933"/>
      <c r="C36" s="933"/>
      <c r="D36" s="934"/>
      <c r="E36" s="519">
        <f>E22+E24+E26+E30+E31+E33+E34+E28</f>
        <v>90811</v>
      </c>
      <c r="F36" s="519">
        <f>F22+F24+F26+F30+F31+F33+F34+F28</f>
        <v>25684</v>
      </c>
      <c r="G36" s="519">
        <f>G22+G24+G26+G30+G31+G33+G34+G28</f>
        <v>36204</v>
      </c>
      <c r="H36" s="519">
        <f>H22+H24+H26+H30+H31+H33+H34</f>
        <v>700</v>
      </c>
      <c r="I36" s="519">
        <f>I22+I24+I26+I30+I31+I33+I34</f>
        <v>0</v>
      </c>
      <c r="J36" s="519">
        <f>J22+J24+J26+J30+J31+J33+J34</f>
        <v>29062</v>
      </c>
      <c r="K36" s="519">
        <f>K22+K24+K26+K30+K31+K33+K34</f>
        <v>0</v>
      </c>
      <c r="L36" s="409">
        <f>SUM(E36:K36)</f>
        <v>182461</v>
      </c>
      <c r="M36" s="519">
        <f>M22+M24+M31</f>
        <v>0</v>
      </c>
      <c r="N36" s="519"/>
      <c r="O36" s="519">
        <f>O22+O24+O31</f>
        <v>0</v>
      </c>
      <c r="P36" s="519">
        <f>P22+P24+P31</f>
        <v>0</v>
      </c>
      <c r="Q36" s="438">
        <f>SUM(L36:P36)</f>
        <v>182461</v>
      </c>
      <c r="R36" s="435">
        <f>R22+R24+R31</f>
        <v>28.599999999999998</v>
      </c>
    </row>
    <row r="37" spans="1:18" s="80" customFormat="1" ht="10.5" customHeight="1">
      <c r="A37" s="932" t="s">
        <v>173</v>
      </c>
      <c r="B37" s="933"/>
      <c r="C37" s="933"/>
      <c r="D37" s="934"/>
      <c r="E37" s="519">
        <f aca="true" t="shared" si="12" ref="E37:K37">E23</f>
        <v>45201</v>
      </c>
      <c r="F37" s="519">
        <f t="shared" si="12"/>
        <v>12317</v>
      </c>
      <c r="G37" s="519">
        <f t="shared" si="12"/>
        <v>8200</v>
      </c>
      <c r="H37" s="519">
        <f t="shared" si="12"/>
        <v>0</v>
      </c>
      <c r="I37" s="519">
        <f t="shared" si="12"/>
        <v>0</v>
      </c>
      <c r="J37" s="519">
        <f t="shared" si="12"/>
        <v>0</v>
      </c>
      <c r="K37" s="519">
        <f t="shared" si="12"/>
        <v>0</v>
      </c>
      <c r="L37" s="409">
        <f>SUM(E37:K37)</f>
        <v>65718</v>
      </c>
      <c r="M37" s="519">
        <v>0</v>
      </c>
      <c r="N37" s="519"/>
      <c r="O37" s="519">
        <f>O23+O25</f>
        <v>0</v>
      </c>
      <c r="P37" s="519">
        <f>P23+P25</f>
        <v>0</v>
      </c>
      <c r="Q37" s="438">
        <f>SUM(L37:P37)</f>
        <v>65718</v>
      </c>
      <c r="R37" s="435">
        <f>R23</f>
        <v>12.2</v>
      </c>
    </row>
    <row r="38" spans="1:18" s="80" customFormat="1" ht="10.5" customHeight="1" thickBot="1">
      <c r="A38" s="955" t="s">
        <v>157</v>
      </c>
      <c r="B38" s="956"/>
      <c r="C38" s="956"/>
      <c r="D38" s="957"/>
      <c r="E38" s="520">
        <f>E25+E27</f>
        <v>12630</v>
      </c>
      <c r="F38" s="520">
        <f>F25+F27</f>
        <v>3596</v>
      </c>
      <c r="G38" s="520">
        <f>G25</f>
        <v>1000</v>
      </c>
      <c r="H38" s="520">
        <f>H25</f>
        <v>0</v>
      </c>
      <c r="I38" s="520">
        <f>I25</f>
        <v>0</v>
      </c>
      <c r="J38" s="520">
        <f>J25</f>
        <v>0</v>
      </c>
      <c r="K38" s="520">
        <f>K25</f>
        <v>0</v>
      </c>
      <c r="L38" s="436">
        <f>SUM(E38:K38)</f>
        <v>17226</v>
      </c>
      <c r="M38" s="520">
        <f>M25</f>
        <v>0</v>
      </c>
      <c r="N38" s="520"/>
      <c r="O38" s="520">
        <f>O25</f>
        <v>0</v>
      </c>
      <c r="P38" s="520">
        <f>P25</f>
        <v>0</v>
      </c>
      <c r="Q38" s="443">
        <f>SUM(L38:P38)</f>
        <v>17226</v>
      </c>
      <c r="R38" s="444">
        <f>R25</f>
        <v>4.2</v>
      </c>
    </row>
    <row r="39" spans="1:18" s="53" customFormat="1" ht="12.75" customHeight="1" thickBot="1">
      <c r="A39" s="60" t="s">
        <v>23</v>
      </c>
      <c r="B39" s="111" t="s">
        <v>18</v>
      </c>
      <c r="C39" s="112" t="s">
        <v>145</v>
      </c>
      <c r="D39" s="62" t="s">
        <v>91</v>
      </c>
      <c r="E39" s="411">
        <v>0</v>
      </c>
      <c r="F39" s="411">
        <v>0</v>
      </c>
      <c r="G39" s="411">
        <f>2000</f>
        <v>2000</v>
      </c>
      <c r="H39" s="411"/>
      <c r="I39" s="411">
        <v>0</v>
      </c>
      <c r="J39" s="411">
        <f>1305-612</f>
        <v>693</v>
      </c>
      <c r="K39" s="411">
        <v>0</v>
      </c>
      <c r="L39" s="411">
        <f>SUM(E39:K39)</f>
        <v>2693</v>
      </c>
      <c r="M39" s="411"/>
      <c r="N39" s="411"/>
      <c r="O39" s="411">
        <f>'6.mell'!D73</f>
        <v>6923</v>
      </c>
      <c r="P39" s="411">
        <v>0</v>
      </c>
      <c r="Q39" s="62">
        <f>SUM(L39:P39)</f>
        <v>9616</v>
      </c>
      <c r="R39" s="145"/>
    </row>
    <row r="40" spans="1:18" s="53" customFormat="1" ht="11.25" customHeight="1" thickBot="1">
      <c r="A40" s="58" t="s">
        <v>24</v>
      </c>
      <c r="B40" s="109" t="s">
        <v>18</v>
      </c>
      <c r="C40" s="110" t="s">
        <v>145</v>
      </c>
      <c r="D40" s="542" t="s">
        <v>115</v>
      </c>
      <c r="E40" s="416"/>
      <c r="F40" s="416"/>
      <c r="G40" s="416">
        <f>200+250+400</f>
        <v>850</v>
      </c>
      <c r="H40" s="416"/>
      <c r="I40" s="416"/>
      <c r="J40" s="416">
        <v>0</v>
      </c>
      <c r="K40" s="416"/>
      <c r="L40" s="416">
        <f>G40</f>
        <v>850</v>
      </c>
      <c r="M40" s="416">
        <f>'6.mell'!D15</f>
        <v>5000</v>
      </c>
      <c r="N40" s="416"/>
      <c r="O40" s="416"/>
      <c r="P40" s="416"/>
      <c r="Q40" s="42">
        <f>L40+M40</f>
        <v>5850</v>
      </c>
      <c r="R40" s="417"/>
    </row>
    <row r="41" spans="1:18" s="53" customFormat="1" ht="10.5" customHeight="1" thickBot="1">
      <c r="A41" s="58" t="s">
        <v>25</v>
      </c>
      <c r="B41" s="109" t="s">
        <v>18</v>
      </c>
      <c r="C41" s="110" t="s">
        <v>145</v>
      </c>
      <c r="D41" s="542" t="s">
        <v>116</v>
      </c>
      <c r="E41" s="416"/>
      <c r="F41" s="416"/>
      <c r="G41" s="416">
        <f>400+2540</f>
        <v>2940</v>
      </c>
      <c r="H41" s="416"/>
      <c r="I41" s="416"/>
      <c r="J41" s="416">
        <v>0</v>
      </c>
      <c r="K41" s="416"/>
      <c r="L41" s="416">
        <f>G41</f>
        <v>2940</v>
      </c>
      <c r="M41" s="416">
        <f>'6.mell'!D27+'6.mell'!D50</f>
        <v>168234</v>
      </c>
      <c r="N41" s="416"/>
      <c r="O41" s="416">
        <v>0</v>
      </c>
      <c r="P41" s="416"/>
      <c r="Q41" s="42">
        <f>M41+L41</f>
        <v>171174</v>
      </c>
      <c r="R41" s="144"/>
    </row>
    <row r="42" spans="1:18" ht="12.75" customHeight="1">
      <c r="A42" s="32" t="s">
        <v>26</v>
      </c>
      <c r="B42" s="33"/>
      <c r="C42" s="86"/>
      <c r="D42" s="34" t="s">
        <v>369</v>
      </c>
      <c r="E42" s="421">
        <f aca="true" t="shared" si="13" ref="E42:K42">E43+E44+E45+E47+E48+E51+E54+E55+E56+E57+E58+E59</f>
        <v>300</v>
      </c>
      <c r="F42" s="421">
        <f t="shared" si="13"/>
        <v>83</v>
      </c>
      <c r="G42" s="421">
        <f>G43+G44+G45+G47+G48+G51+G54+G55+G56+G57+G58+G59+G46</f>
        <v>228132</v>
      </c>
      <c r="H42" s="421">
        <f t="shared" si="13"/>
        <v>0</v>
      </c>
      <c r="I42" s="421">
        <f t="shared" si="13"/>
        <v>95923</v>
      </c>
      <c r="J42" s="421">
        <f t="shared" si="13"/>
        <v>300</v>
      </c>
      <c r="K42" s="421">
        <f t="shared" si="13"/>
        <v>0</v>
      </c>
      <c r="L42" s="421">
        <f>SUM(E42:K42)</f>
        <v>324738</v>
      </c>
      <c r="M42" s="421">
        <f>M43+M44+M45+M47+M48+M51+M54+M55+M56+M57+M58+M59</f>
        <v>580455</v>
      </c>
      <c r="N42" s="421">
        <f>N43+N44+N45+N47+N48+N51+N54+N55+N56+N57+N58+N59</f>
        <v>4513</v>
      </c>
      <c r="O42" s="421">
        <f>O43+O44+O45+O47+O48+O51+O54+O55+O56+O57+O58+O59</f>
        <v>0</v>
      </c>
      <c r="P42" s="421">
        <f>P43+P44+P45+P47+P48+P51+P54+P55+P56+P57+P58+P59</f>
        <v>0</v>
      </c>
      <c r="Q42" s="34">
        <f>SUM(L42:P42)</f>
        <v>909706</v>
      </c>
      <c r="R42" s="147"/>
    </row>
    <row r="43" spans="1:18" ht="12.75" customHeight="1">
      <c r="A43" s="39"/>
      <c r="B43" s="908" t="s">
        <v>18</v>
      </c>
      <c r="C43" s="81" t="s">
        <v>145</v>
      </c>
      <c r="D43" s="978" t="s">
        <v>94</v>
      </c>
      <c r="E43" s="405"/>
      <c r="F43" s="405">
        <v>0</v>
      </c>
      <c r="G43" s="48">
        <f>55000+3886-140+82+60+84+50+57-4957+2500-5000-2310-4519-100-311</f>
        <v>44382</v>
      </c>
      <c r="H43" s="48"/>
      <c r="I43" s="405">
        <f>2000+1100+570-570</f>
        <v>3100</v>
      </c>
      <c r="J43" s="405">
        <v>0</v>
      </c>
      <c r="K43" s="415"/>
      <c r="L43" s="403">
        <f>SUM(E43:K43)</f>
        <v>47482</v>
      </c>
      <c r="M43" s="405">
        <f>'6.mell'!D49-3000+'6.mell'!D17+'6.mell'!D18+'6.mell'!D19+'6.mell'!D20+'6.mell'!D21+'6.mell'!D14-2000-35-545+'6.mell'!D58-595+'6.mell'!D59+35+545-255-150</f>
        <v>28873</v>
      </c>
      <c r="N43" s="403"/>
      <c r="O43" s="403"/>
      <c r="P43" s="403"/>
      <c r="Q43" s="406">
        <f>SUM(L43:P43)</f>
        <v>76355</v>
      </c>
      <c r="R43" s="148"/>
    </row>
    <row r="44" spans="1:18" ht="12.75" customHeight="1">
      <c r="A44" s="45"/>
      <c r="B44" s="909"/>
      <c r="C44" s="81" t="s">
        <v>146</v>
      </c>
      <c r="D44" s="979"/>
      <c r="E44" s="405"/>
      <c r="F44" s="405"/>
      <c r="G44" s="48">
        <f>10000+4000</f>
        <v>14000</v>
      </c>
      <c r="H44" s="48"/>
      <c r="I44" s="405"/>
      <c r="J44" s="405"/>
      <c r="K44" s="403"/>
      <c r="L44" s="415">
        <f>SUM(E44:K44)</f>
        <v>14000</v>
      </c>
      <c r="M44" s="401">
        <f>300+595+3000+2000+255+100+150</f>
        <v>6400</v>
      </c>
      <c r="N44" s="426"/>
      <c r="O44" s="426"/>
      <c r="P44" s="426"/>
      <c r="Q44" s="41">
        <f aca="true" t="shared" si="14" ref="Q44:Q50">SUM(L44:P44)</f>
        <v>20400</v>
      </c>
      <c r="R44" s="146"/>
    </row>
    <row r="45" spans="1:18" ht="15" customHeight="1">
      <c r="A45" s="45"/>
      <c r="B45" s="908" t="s">
        <v>19</v>
      </c>
      <c r="C45" s="82" t="s">
        <v>146</v>
      </c>
      <c r="D45" s="980" t="s">
        <v>407</v>
      </c>
      <c r="E45" s="405"/>
      <c r="F45" s="405"/>
      <c r="G45" s="48">
        <f>15000-5613</f>
        <v>9387</v>
      </c>
      <c r="H45" s="48"/>
      <c r="I45" s="405"/>
      <c r="J45" s="405">
        <v>0</v>
      </c>
      <c r="K45" s="403"/>
      <c r="L45" s="403">
        <f aca="true" t="shared" si="15" ref="L45:L60">SUM(E45:K45)</f>
        <v>9387</v>
      </c>
      <c r="M45" s="403"/>
      <c r="N45" s="403"/>
      <c r="O45" s="403"/>
      <c r="P45" s="403"/>
      <c r="Q45" s="406">
        <f t="shared" si="14"/>
        <v>9387</v>
      </c>
      <c r="R45" s="146"/>
    </row>
    <row r="46" spans="1:18" ht="13.5" customHeight="1">
      <c r="A46" s="45"/>
      <c r="B46" s="909"/>
      <c r="C46" s="82" t="s">
        <v>145</v>
      </c>
      <c r="D46" s="981"/>
      <c r="E46" s="405"/>
      <c r="F46" s="405"/>
      <c r="G46" s="48">
        <f>5613+1515</f>
        <v>7128</v>
      </c>
      <c r="H46" s="48"/>
      <c r="I46" s="405"/>
      <c r="J46" s="405"/>
      <c r="K46" s="403"/>
      <c r="L46" s="403">
        <f t="shared" si="15"/>
        <v>7128</v>
      </c>
      <c r="M46" s="403"/>
      <c r="N46" s="403"/>
      <c r="O46" s="403"/>
      <c r="P46" s="403"/>
      <c r="Q46" s="406">
        <f t="shared" si="14"/>
        <v>7128</v>
      </c>
      <c r="R46" s="146"/>
    </row>
    <row r="47" spans="1:18" ht="46.5" customHeight="1">
      <c r="A47" s="45"/>
      <c r="B47" s="56" t="s">
        <v>20</v>
      </c>
      <c r="C47" s="82" t="s">
        <v>145</v>
      </c>
      <c r="D47" s="607" t="s">
        <v>352</v>
      </c>
      <c r="E47" s="632"/>
      <c r="F47" s="405"/>
      <c r="G47" s="48">
        <v>10000</v>
      </c>
      <c r="H47" s="48"/>
      <c r="I47" s="405"/>
      <c r="J47" s="405">
        <v>0</v>
      </c>
      <c r="K47" s="403"/>
      <c r="L47" s="403">
        <f t="shared" si="15"/>
        <v>10000</v>
      </c>
      <c r="M47" s="403"/>
      <c r="N47" s="403"/>
      <c r="O47" s="403"/>
      <c r="P47" s="403"/>
      <c r="Q47" s="406">
        <f t="shared" si="14"/>
        <v>10000</v>
      </c>
      <c r="R47" s="407"/>
    </row>
    <row r="48" spans="1:18" ht="12.75" customHeight="1">
      <c r="A48" s="45"/>
      <c r="B48" s="908" t="s">
        <v>21</v>
      </c>
      <c r="C48" s="82"/>
      <c r="D48" s="71" t="s">
        <v>0</v>
      </c>
      <c r="E48" s="405"/>
      <c r="F48" s="405"/>
      <c r="G48" s="48">
        <f>G49+G50</f>
        <v>15200</v>
      </c>
      <c r="H48" s="48"/>
      <c r="I48" s="405"/>
      <c r="J48" s="405">
        <v>0</v>
      </c>
      <c r="K48" s="403"/>
      <c r="L48" s="403">
        <f t="shared" si="15"/>
        <v>15200</v>
      </c>
      <c r="M48" s="403"/>
      <c r="N48" s="403"/>
      <c r="O48" s="403"/>
      <c r="P48" s="403"/>
      <c r="Q48" s="406">
        <f t="shared" si="14"/>
        <v>15200</v>
      </c>
      <c r="R48" s="407"/>
    </row>
    <row r="49" spans="1:18" ht="12.75" customHeight="1">
      <c r="A49" s="45"/>
      <c r="B49" s="928"/>
      <c r="C49" s="85" t="s">
        <v>145</v>
      </c>
      <c r="D49" s="500" t="s">
        <v>158</v>
      </c>
      <c r="E49" s="519"/>
      <c r="F49" s="519"/>
      <c r="G49" s="586">
        <v>12000</v>
      </c>
      <c r="H49" s="586"/>
      <c r="I49" s="519"/>
      <c r="J49" s="519">
        <v>0</v>
      </c>
      <c r="K49" s="403"/>
      <c r="L49" s="403">
        <f t="shared" si="15"/>
        <v>12000</v>
      </c>
      <c r="M49" s="403"/>
      <c r="N49" s="403"/>
      <c r="O49" s="403"/>
      <c r="P49" s="403"/>
      <c r="Q49" s="406">
        <f t="shared" si="14"/>
        <v>12000</v>
      </c>
      <c r="R49" s="407"/>
    </row>
    <row r="50" spans="1:18" ht="12.75" customHeight="1">
      <c r="A50" s="45"/>
      <c r="B50" s="909"/>
      <c r="C50" s="85" t="s">
        <v>146</v>
      </c>
      <c r="D50" s="500" t="s">
        <v>159</v>
      </c>
      <c r="E50" s="519"/>
      <c r="F50" s="519"/>
      <c r="G50" s="586">
        <f>1200+2000</f>
        <v>3200</v>
      </c>
      <c r="H50" s="586"/>
      <c r="I50" s="519"/>
      <c r="J50" s="519">
        <v>0</v>
      </c>
      <c r="K50" s="403"/>
      <c r="L50" s="403">
        <f t="shared" si="15"/>
        <v>3200</v>
      </c>
      <c r="M50" s="403"/>
      <c r="N50" s="403"/>
      <c r="O50" s="403"/>
      <c r="P50" s="403"/>
      <c r="Q50" s="406">
        <f t="shared" si="14"/>
        <v>3200</v>
      </c>
      <c r="R50" s="407"/>
    </row>
    <row r="51" spans="1:18" ht="11.25" customHeight="1">
      <c r="A51" s="45"/>
      <c r="B51" s="912">
        <v>5</v>
      </c>
      <c r="C51" s="113"/>
      <c r="D51" s="71" t="s">
        <v>92</v>
      </c>
      <c r="E51" s="405">
        <f aca="true" t="shared" si="16" ref="E51:K51">E52+E53</f>
        <v>0</v>
      </c>
      <c r="F51" s="405">
        <f t="shared" si="16"/>
        <v>0</v>
      </c>
      <c r="G51" s="405">
        <f t="shared" si="16"/>
        <v>0</v>
      </c>
      <c r="H51" s="405"/>
      <c r="I51" s="405">
        <f t="shared" si="16"/>
        <v>0</v>
      </c>
      <c r="J51" s="405">
        <f t="shared" si="16"/>
        <v>0</v>
      </c>
      <c r="K51" s="405">
        <f t="shared" si="16"/>
        <v>0</v>
      </c>
      <c r="L51" s="403">
        <f t="shared" si="15"/>
        <v>0</v>
      </c>
      <c r="M51" s="405">
        <f>M52+M53</f>
        <v>450392</v>
      </c>
      <c r="N51" s="405">
        <f>N52+N53</f>
        <v>4513</v>
      </c>
      <c r="O51" s="405">
        <f>O52+O53</f>
        <v>0</v>
      </c>
      <c r="P51" s="405">
        <f>P52+P53</f>
        <v>0</v>
      </c>
      <c r="Q51" s="406">
        <f>SUM(L51:P51)</f>
        <v>454905</v>
      </c>
      <c r="R51" s="146"/>
    </row>
    <row r="52" spans="1:18" s="80" customFormat="1" ht="11.25" customHeight="1">
      <c r="A52" s="92"/>
      <c r="B52" s="913"/>
      <c r="C52" s="100" t="s">
        <v>145</v>
      </c>
      <c r="D52" s="500" t="s">
        <v>156</v>
      </c>
      <c r="E52" s="499"/>
      <c r="F52" s="499"/>
      <c r="G52" s="595"/>
      <c r="H52" s="595"/>
      <c r="I52" s="499"/>
      <c r="J52" s="499"/>
      <c r="K52" s="499"/>
      <c r="L52" s="625">
        <f t="shared" si="15"/>
        <v>0</v>
      </c>
      <c r="M52" s="499">
        <f>'6.mell'!D57+'6.mell'!D30+'6.mell'!D31+'6.mell'!D52+'6.mell'!D53+'6.mell'!D54+'6.mell'!D33+'6.mell'!D34+'6.mell'!D36+'6.mell'!D38+'6.mell'!D39+'6.mell'!D40+'6.mell'!D64</f>
        <v>347092</v>
      </c>
      <c r="N52" s="499"/>
      <c r="O52" s="499"/>
      <c r="P52" s="499"/>
      <c r="Q52" s="448">
        <f>SUM(L52:P52)</f>
        <v>347092</v>
      </c>
      <c r="R52" s="149"/>
    </row>
    <row r="53" spans="1:18" s="80" customFormat="1" ht="11.25" customHeight="1">
      <c r="A53" s="92"/>
      <c r="B53" s="914"/>
      <c r="C53" s="100" t="s">
        <v>146</v>
      </c>
      <c r="D53" s="623" t="s">
        <v>157</v>
      </c>
      <c r="E53" s="499"/>
      <c r="F53" s="499"/>
      <c r="G53" s="595"/>
      <c r="H53" s="595"/>
      <c r="I53" s="499"/>
      <c r="J53" s="499"/>
      <c r="K53" s="499"/>
      <c r="L53" s="625">
        <f t="shared" si="15"/>
        <v>0</v>
      </c>
      <c r="M53" s="499">
        <f>'6.mell'!D10</f>
        <v>103300</v>
      </c>
      <c r="N53" s="499">
        <f>'6.mell'!D69</f>
        <v>4513</v>
      </c>
      <c r="O53" s="499"/>
      <c r="P53" s="499"/>
      <c r="Q53" s="448">
        <f>SUM(L53:P53)</f>
        <v>107813</v>
      </c>
      <c r="R53" s="149"/>
    </row>
    <row r="54" spans="1:18" ht="11.25" customHeight="1">
      <c r="A54" s="135"/>
      <c r="B54" s="50">
        <v>6</v>
      </c>
      <c r="C54" s="136" t="s">
        <v>146</v>
      </c>
      <c r="D54" s="59" t="s">
        <v>201</v>
      </c>
      <c r="E54" s="408">
        <f>400-100</f>
        <v>300</v>
      </c>
      <c r="F54" s="408">
        <f>110-27</f>
        <v>83</v>
      </c>
      <c r="G54" s="51">
        <f>700+350+200</f>
        <v>1250</v>
      </c>
      <c r="H54" s="51"/>
      <c r="I54" s="408"/>
      <c r="J54" s="408"/>
      <c r="K54" s="408"/>
      <c r="L54" s="413">
        <f>G54+F54+E54</f>
        <v>1633</v>
      </c>
      <c r="M54" s="408"/>
      <c r="N54" s="408"/>
      <c r="O54" s="408"/>
      <c r="P54" s="408"/>
      <c r="Q54" s="414">
        <f>L54</f>
        <v>1633</v>
      </c>
      <c r="R54" s="469"/>
    </row>
    <row r="55" spans="1:18" ht="11.25" customHeight="1">
      <c r="A55" s="135"/>
      <c r="B55" s="912">
        <v>7</v>
      </c>
      <c r="C55" s="136" t="s">
        <v>145</v>
      </c>
      <c r="D55" s="59" t="s">
        <v>380</v>
      </c>
      <c r="E55" s="408"/>
      <c r="F55" s="408"/>
      <c r="G55" s="51">
        <v>103851</v>
      </c>
      <c r="H55" s="51"/>
      <c r="I55" s="408"/>
      <c r="J55" s="408">
        <v>300</v>
      </c>
      <c r="K55" s="408"/>
      <c r="L55" s="413">
        <f>G55+J55</f>
        <v>104151</v>
      </c>
      <c r="M55" s="408">
        <f>'6.mell'!D12+'6.mell'!D23+'6.mell'!D55-3302+3302</f>
        <v>28856</v>
      </c>
      <c r="N55" s="408"/>
      <c r="O55" s="408"/>
      <c r="P55" s="408"/>
      <c r="Q55" s="414">
        <f>L55+M55</f>
        <v>133007</v>
      </c>
      <c r="R55" s="150"/>
    </row>
    <row r="56" spans="1:18" ht="11.25" customHeight="1">
      <c r="A56" s="135"/>
      <c r="B56" s="913"/>
      <c r="C56" s="136" t="s">
        <v>145</v>
      </c>
      <c r="D56" s="47" t="s">
        <v>379</v>
      </c>
      <c r="E56" s="408"/>
      <c r="F56" s="408"/>
      <c r="G56" s="51">
        <v>3265</v>
      </c>
      <c r="H56" s="51"/>
      <c r="I56" s="408"/>
      <c r="J56" s="408"/>
      <c r="K56" s="408"/>
      <c r="L56" s="413">
        <f>SUM(E56:K56)</f>
        <v>3265</v>
      </c>
      <c r="M56" s="408"/>
      <c r="N56" s="408"/>
      <c r="O56" s="408"/>
      <c r="P56" s="408"/>
      <c r="Q56" s="414">
        <f>SUM(L56:P56)</f>
        <v>3265</v>
      </c>
      <c r="R56" s="150"/>
    </row>
    <row r="57" spans="1:18" ht="11.25" customHeight="1">
      <c r="A57" s="135"/>
      <c r="B57" s="914"/>
      <c r="C57" s="136" t="s">
        <v>146</v>
      </c>
      <c r="D57" s="40" t="s">
        <v>381</v>
      </c>
      <c r="E57" s="408"/>
      <c r="F57" s="408"/>
      <c r="G57" s="51">
        <f>14669</f>
        <v>14669</v>
      </c>
      <c r="H57" s="51"/>
      <c r="I57" s="408"/>
      <c r="J57" s="408"/>
      <c r="K57" s="408"/>
      <c r="L57" s="413">
        <f>SUM(E57:K57)</f>
        <v>14669</v>
      </c>
      <c r="M57" s="408"/>
      <c r="N57" s="408"/>
      <c r="O57" s="408"/>
      <c r="P57" s="408"/>
      <c r="Q57" s="414">
        <f>SUM(L57:P57)</f>
        <v>14669</v>
      </c>
      <c r="R57" s="469"/>
    </row>
    <row r="58" spans="1:18" ht="14.25" customHeight="1">
      <c r="A58" s="135"/>
      <c r="B58" s="50">
        <v>8</v>
      </c>
      <c r="C58" s="136" t="s">
        <v>145</v>
      </c>
      <c r="D58" s="498" t="s">
        <v>393</v>
      </c>
      <c r="E58" s="408">
        <v>0</v>
      </c>
      <c r="F58" s="408">
        <v>0</v>
      </c>
      <c r="G58" s="51">
        <v>5000</v>
      </c>
      <c r="H58" s="51"/>
      <c r="I58" s="408"/>
      <c r="J58" s="408"/>
      <c r="K58" s="408"/>
      <c r="L58" s="413">
        <f>SUM(E58:K58)</f>
        <v>5000</v>
      </c>
      <c r="M58" s="408">
        <f>'6.mell'!D9+'6.mell'!D51</f>
        <v>65934</v>
      </c>
      <c r="N58" s="408"/>
      <c r="O58" s="408"/>
      <c r="P58" s="408"/>
      <c r="Q58" s="414">
        <f>SUM(L58:P58)</f>
        <v>70934</v>
      </c>
      <c r="R58" s="469"/>
    </row>
    <row r="59" spans="1:18" ht="12.75" customHeight="1" thickBot="1">
      <c r="A59" s="55"/>
      <c r="B59" s="44">
        <v>9</v>
      </c>
      <c r="C59" s="134" t="s">
        <v>145</v>
      </c>
      <c r="D59" s="97" t="s">
        <v>365</v>
      </c>
      <c r="E59" s="423"/>
      <c r="F59" s="423"/>
      <c r="G59" s="422"/>
      <c r="H59" s="422"/>
      <c r="I59" s="423">
        <f>92823</f>
        <v>92823</v>
      </c>
      <c r="J59" s="423"/>
      <c r="K59" s="423"/>
      <c r="L59" s="424">
        <f>SUM(E59:K59)</f>
        <v>92823</v>
      </c>
      <c r="M59" s="423"/>
      <c r="N59" s="423"/>
      <c r="O59" s="423"/>
      <c r="P59" s="423"/>
      <c r="Q59" s="425">
        <f>SUM(L59:P59)</f>
        <v>92823</v>
      </c>
      <c r="R59" s="447"/>
    </row>
    <row r="60" spans="1:18" s="53" customFormat="1" ht="11.25" customHeight="1">
      <c r="A60" s="60" t="s">
        <v>27</v>
      </c>
      <c r="B60" s="61" t="s">
        <v>75</v>
      </c>
      <c r="C60" s="93"/>
      <c r="D60" s="575" t="s">
        <v>166</v>
      </c>
      <c r="E60" s="411">
        <f>E61+E62</f>
        <v>0</v>
      </c>
      <c r="F60" s="411">
        <f aca="true" t="shared" si="17" ref="F60:K60">F61+F62</f>
        <v>0</v>
      </c>
      <c r="G60" s="411">
        <f>G61+G62</f>
        <v>39290</v>
      </c>
      <c r="H60" s="411">
        <f t="shared" si="17"/>
        <v>0</v>
      </c>
      <c r="I60" s="411">
        <f t="shared" si="17"/>
        <v>0</v>
      </c>
      <c r="J60" s="411">
        <f t="shared" si="17"/>
        <v>0</v>
      </c>
      <c r="K60" s="411">
        <f t="shared" si="17"/>
        <v>0</v>
      </c>
      <c r="L60" s="411">
        <f t="shared" si="15"/>
        <v>39290</v>
      </c>
      <c r="M60" s="411">
        <f>M61+M62</f>
        <v>140616</v>
      </c>
      <c r="N60" s="411">
        <f>N61+N62</f>
        <v>0</v>
      </c>
      <c r="O60" s="411">
        <f>O61+O62</f>
        <v>0</v>
      </c>
      <c r="P60" s="411">
        <f>P61+P62</f>
        <v>0</v>
      </c>
      <c r="Q60" s="62">
        <f>SUM(L60:P60)</f>
        <v>179906</v>
      </c>
      <c r="R60" s="147"/>
    </row>
    <row r="61" spans="1:18" ht="11.25" customHeight="1">
      <c r="A61" s="54"/>
      <c r="B61" s="46" t="s">
        <v>18</v>
      </c>
      <c r="C61" s="82" t="s">
        <v>145</v>
      </c>
      <c r="D61" s="47" t="s">
        <v>93</v>
      </c>
      <c r="E61" s="405"/>
      <c r="F61" s="405"/>
      <c r="G61" s="405">
        <f>30500+2900+8890-5000-3000</f>
        <v>34290</v>
      </c>
      <c r="H61" s="405"/>
      <c r="I61" s="405"/>
      <c r="J61" s="405">
        <v>0</v>
      </c>
      <c r="K61" s="405"/>
      <c r="L61" s="403">
        <f>G61</f>
        <v>34290</v>
      </c>
      <c r="M61" s="405">
        <v>0</v>
      </c>
      <c r="N61" s="405"/>
      <c r="O61" s="405"/>
      <c r="P61" s="405"/>
      <c r="Q61" s="406">
        <f>L61+M61</f>
        <v>34290</v>
      </c>
      <c r="R61" s="407"/>
    </row>
    <row r="62" spans="1:18" ht="11.25" customHeight="1" thickBot="1">
      <c r="A62" s="55"/>
      <c r="B62" s="44" t="s">
        <v>19</v>
      </c>
      <c r="C62" s="84" t="s">
        <v>145</v>
      </c>
      <c r="D62" s="489" t="s">
        <v>2</v>
      </c>
      <c r="E62" s="423"/>
      <c r="F62" s="423"/>
      <c r="G62" s="423">
        <v>5000</v>
      </c>
      <c r="H62" s="423"/>
      <c r="I62" s="423"/>
      <c r="J62" s="423">
        <v>0</v>
      </c>
      <c r="K62" s="423"/>
      <c r="L62" s="424">
        <f>G62</f>
        <v>5000</v>
      </c>
      <c r="M62" s="423">
        <f>'6.mell'!D13+'6.mell'!D24+'6.mell'!D25+'6.mell'!D26+'6.mell'!D56-3441-5080+'6.mell'!D62+3441+5080+'6.mell'!D63</f>
        <v>140616</v>
      </c>
      <c r="N62" s="423"/>
      <c r="O62" s="423">
        <v>0</v>
      </c>
      <c r="P62" s="423"/>
      <c r="Q62" s="425">
        <f>M62+L62+O62</f>
        <v>145616</v>
      </c>
      <c r="R62" s="151"/>
    </row>
    <row r="63" spans="1:18" ht="11.25" customHeight="1" thickBot="1">
      <c r="A63" s="66" t="s">
        <v>28</v>
      </c>
      <c r="B63" s="102" t="s">
        <v>18</v>
      </c>
      <c r="C63" s="96" t="s">
        <v>145</v>
      </c>
      <c r="D63" s="72" t="s">
        <v>95</v>
      </c>
      <c r="E63" s="544"/>
      <c r="F63" s="544"/>
      <c r="G63" s="72">
        <f>7300+1500+4000+5000</f>
        <v>17800</v>
      </c>
      <c r="H63" s="72"/>
      <c r="I63" s="544"/>
      <c r="J63" s="544">
        <v>0</v>
      </c>
      <c r="K63" s="544"/>
      <c r="L63" s="545">
        <f aca="true" t="shared" si="18" ref="L63:L70">SUM(E63:K63)</f>
        <v>17800</v>
      </c>
      <c r="M63" s="544"/>
      <c r="N63" s="544"/>
      <c r="O63" s="544"/>
      <c r="P63" s="544"/>
      <c r="Q63" s="72">
        <f>SUM(L63:P63)</f>
        <v>17800</v>
      </c>
      <c r="R63" s="119"/>
    </row>
    <row r="64" spans="1:18" s="53" customFormat="1" ht="11.25" customHeight="1">
      <c r="A64" s="60" t="s">
        <v>48</v>
      </c>
      <c r="B64" s="61"/>
      <c r="C64" s="78"/>
      <c r="D64" s="596" t="s">
        <v>87</v>
      </c>
      <c r="E64" s="411">
        <f>E65+E68+E69+E70+E71+E72+E73+E74+E75+E76+E77+E78</f>
        <v>31334</v>
      </c>
      <c r="F64" s="411">
        <f aca="true" t="shared" si="19" ref="F64:K64">F65+F68+F69+F70+F71+F72+F73+F74+F75+F76+F77+F78</f>
        <v>9332</v>
      </c>
      <c r="G64" s="411">
        <f t="shared" si="19"/>
        <v>94475</v>
      </c>
      <c r="H64" s="411">
        <f t="shared" si="19"/>
        <v>0</v>
      </c>
      <c r="I64" s="411">
        <f t="shared" si="19"/>
        <v>0</v>
      </c>
      <c r="J64" s="411">
        <f t="shared" si="19"/>
        <v>1305</v>
      </c>
      <c r="K64" s="411">
        <f t="shared" si="19"/>
        <v>333070</v>
      </c>
      <c r="L64" s="411">
        <f>SUM(E64:K64)</f>
        <v>469516</v>
      </c>
      <c r="M64" s="411">
        <f>M65+M68+M69+M70+M71+M72+M73+M74+M75+M76+M77+M78</f>
        <v>8128</v>
      </c>
      <c r="N64" s="411">
        <f>N65+N68+N69+N70+N71+N72+N73+N74+N75+N76+N77+N78</f>
        <v>0</v>
      </c>
      <c r="O64" s="411">
        <f>O65+O68+O69+O70+O71+O72+O73+O74+O75+O76+O77+O78</f>
        <v>0</v>
      </c>
      <c r="P64" s="411">
        <f>P65+P68+P69+P70+P71+P72+P73+P74+P75+P76+P77+P78</f>
        <v>0</v>
      </c>
      <c r="Q64" s="62">
        <f aca="true" t="shared" si="20" ref="Q64:Q72">SUM(L64:P64)</f>
        <v>477644</v>
      </c>
      <c r="R64" s="439">
        <f>R66</f>
        <v>1</v>
      </c>
    </row>
    <row r="65" spans="1:18" ht="10.5" customHeight="1">
      <c r="A65" s="45"/>
      <c r="B65" s="912" t="s">
        <v>18</v>
      </c>
      <c r="C65" s="82"/>
      <c r="D65" s="47" t="s">
        <v>96</v>
      </c>
      <c r="E65" s="408">
        <f>E66+E67</f>
        <v>31334</v>
      </c>
      <c r="F65" s="408">
        <f>F66+F67</f>
        <v>9332</v>
      </c>
      <c r="G65" s="408">
        <f>G66+G67</f>
        <v>4300</v>
      </c>
      <c r="H65" s="408"/>
      <c r="I65" s="405"/>
      <c r="J65" s="405">
        <v>0</v>
      </c>
      <c r="K65" s="405">
        <v>0</v>
      </c>
      <c r="L65" s="403">
        <f t="shared" si="18"/>
        <v>44966</v>
      </c>
      <c r="M65" s="405"/>
      <c r="N65" s="405"/>
      <c r="O65" s="405"/>
      <c r="P65" s="405">
        <v>0</v>
      </c>
      <c r="Q65" s="406">
        <f t="shared" si="20"/>
        <v>44966</v>
      </c>
      <c r="R65" s="407"/>
    </row>
    <row r="66" spans="1:18" ht="12.75" customHeight="1">
      <c r="A66" s="45"/>
      <c r="B66" s="913"/>
      <c r="C66" s="85" t="s">
        <v>145</v>
      </c>
      <c r="D66" s="500" t="s">
        <v>156</v>
      </c>
      <c r="E66" s="499">
        <f>10379</f>
        <v>10379</v>
      </c>
      <c r="F66" s="499">
        <f>2853</f>
        <v>2853</v>
      </c>
      <c r="G66" s="499">
        <f>1000</f>
        <v>1000</v>
      </c>
      <c r="H66" s="499"/>
      <c r="I66" s="405"/>
      <c r="J66" s="405"/>
      <c r="K66" s="405"/>
      <c r="L66" s="403">
        <f t="shared" si="18"/>
        <v>14232</v>
      </c>
      <c r="M66" s="405"/>
      <c r="N66" s="405"/>
      <c r="O66" s="405"/>
      <c r="P66" s="405"/>
      <c r="Q66" s="406">
        <f t="shared" si="20"/>
        <v>14232</v>
      </c>
      <c r="R66" s="407">
        <v>1</v>
      </c>
    </row>
    <row r="67" spans="1:18" ht="12.75" customHeight="1">
      <c r="A67" s="45"/>
      <c r="B67" s="914"/>
      <c r="C67" s="85" t="s">
        <v>146</v>
      </c>
      <c r="D67" s="500" t="s">
        <v>157</v>
      </c>
      <c r="E67" s="499">
        <f>16332+1623+1000+2000</f>
        <v>20955</v>
      </c>
      <c r="F67" s="499">
        <f>4410+439+510+620+500</f>
        <v>6479</v>
      </c>
      <c r="G67" s="499">
        <f>2000+1300</f>
        <v>3300</v>
      </c>
      <c r="H67" s="499"/>
      <c r="I67" s="405"/>
      <c r="J67" s="405"/>
      <c r="K67" s="405"/>
      <c r="L67" s="403">
        <f t="shared" si="18"/>
        <v>30734</v>
      </c>
      <c r="M67" s="405"/>
      <c r="N67" s="405"/>
      <c r="O67" s="405"/>
      <c r="P67" s="405"/>
      <c r="Q67" s="406">
        <f t="shared" si="20"/>
        <v>30734</v>
      </c>
      <c r="R67" s="407"/>
    </row>
    <row r="68" spans="1:18" ht="12.75" customHeight="1">
      <c r="A68" s="45"/>
      <c r="B68" s="46" t="s">
        <v>19</v>
      </c>
      <c r="C68" s="82" t="s">
        <v>145</v>
      </c>
      <c r="D68" s="47" t="s">
        <v>117</v>
      </c>
      <c r="E68" s="405"/>
      <c r="F68" s="405"/>
      <c r="G68" s="405">
        <v>1400</v>
      </c>
      <c r="H68" s="405"/>
      <c r="I68" s="405"/>
      <c r="J68" s="405"/>
      <c r="K68" s="405"/>
      <c r="L68" s="403">
        <f t="shared" si="18"/>
        <v>1400</v>
      </c>
      <c r="M68" s="405"/>
      <c r="N68" s="405"/>
      <c r="O68" s="405"/>
      <c r="P68" s="405"/>
      <c r="Q68" s="406">
        <f t="shared" si="20"/>
        <v>1400</v>
      </c>
      <c r="R68" s="407"/>
    </row>
    <row r="69" spans="1:18" ht="11.25" customHeight="1">
      <c r="A69" s="45"/>
      <c r="B69" s="908" t="s">
        <v>20</v>
      </c>
      <c r="C69" s="82" t="s">
        <v>145</v>
      </c>
      <c r="D69" s="924" t="s">
        <v>97</v>
      </c>
      <c r="E69" s="483"/>
      <c r="F69" s="483"/>
      <c r="G69" s="474"/>
      <c r="H69" s="474"/>
      <c r="I69" s="483"/>
      <c r="J69" s="405">
        <v>0</v>
      </c>
      <c r="K69" s="405">
        <f>5000+320000</f>
        <v>325000</v>
      </c>
      <c r="L69" s="403">
        <f t="shared" si="18"/>
        <v>325000</v>
      </c>
      <c r="M69" s="405"/>
      <c r="N69" s="405"/>
      <c r="O69" s="405"/>
      <c r="P69" s="405"/>
      <c r="Q69" s="406">
        <f t="shared" si="20"/>
        <v>325000</v>
      </c>
      <c r="R69" s="407"/>
    </row>
    <row r="70" spans="1:18" ht="11.25" customHeight="1">
      <c r="A70" s="45"/>
      <c r="B70" s="909"/>
      <c r="C70" s="82" t="s">
        <v>146</v>
      </c>
      <c r="D70" s="925"/>
      <c r="E70" s="405"/>
      <c r="F70" s="405"/>
      <c r="G70" s="48"/>
      <c r="H70" s="48"/>
      <c r="I70" s="405"/>
      <c r="J70" s="405"/>
      <c r="K70" s="405">
        <f>12320-50-200-300-400-2500-20-50-100-330-200-100</f>
        <v>8070</v>
      </c>
      <c r="L70" s="403">
        <f t="shared" si="18"/>
        <v>8070</v>
      </c>
      <c r="M70" s="405"/>
      <c r="N70" s="405"/>
      <c r="O70" s="405"/>
      <c r="P70" s="405"/>
      <c r="Q70" s="406">
        <f t="shared" si="20"/>
        <v>8070</v>
      </c>
      <c r="R70" s="407"/>
    </row>
    <row r="71" spans="1:18" ht="11.25" customHeight="1">
      <c r="A71" s="45"/>
      <c r="B71" s="908" t="s">
        <v>21</v>
      </c>
      <c r="C71" s="82" t="s">
        <v>146</v>
      </c>
      <c r="D71" s="919" t="s">
        <v>421</v>
      </c>
      <c r="E71" s="405"/>
      <c r="F71" s="405"/>
      <c r="G71" s="48">
        <f>4156+3760-4156-3760</f>
        <v>0</v>
      </c>
      <c r="H71" s="48"/>
      <c r="I71" s="405">
        <f>250-250</f>
        <v>0</v>
      </c>
      <c r="J71" s="405">
        <v>0</v>
      </c>
      <c r="K71" s="405"/>
      <c r="L71" s="403">
        <f>SUM(E71:K71)</f>
        <v>0</v>
      </c>
      <c r="M71" s="405">
        <v>0</v>
      </c>
      <c r="N71" s="405"/>
      <c r="O71" s="405"/>
      <c r="P71" s="405">
        <v>0</v>
      </c>
      <c r="Q71" s="406">
        <f t="shared" si="20"/>
        <v>0</v>
      </c>
      <c r="R71" s="407"/>
    </row>
    <row r="72" spans="1:18" ht="11.25" customHeight="1">
      <c r="A72" s="49"/>
      <c r="B72" s="909"/>
      <c r="C72" s="81" t="s">
        <v>145</v>
      </c>
      <c r="D72" s="920"/>
      <c r="E72" s="408"/>
      <c r="F72" s="408"/>
      <c r="G72" s="51">
        <f>8890+82+60+84+50+57+900+316+3175+3672+351-8890-82-60-84-50-57-900-316-3175-3672-351</f>
        <v>0</v>
      </c>
      <c r="H72" s="51"/>
      <c r="I72" s="408"/>
      <c r="J72" s="408"/>
      <c r="K72" s="408">
        <f>320000-320000</f>
        <v>0</v>
      </c>
      <c r="L72" s="403">
        <f>SUM(E72:K72)</f>
        <v>0</v>
      </c>
      <c r="M72" s="408">
        <f>3302+35+545+3441+5080-3302-35-545-3441-5080</f>
        <v>0</v>
      </c>
      <c r="N72" s="408"/>
      <c r="O72" s="408"/>
      <c r="P72" s="408"/>
      <c r="Q72" s="406">
        <f t="shared" si="20"/>
        <v>0</v>
      </c>
      <c r="R72" s="418"/>
    </row>
    <row r="73" spans="1:18" ht="11.25" customHeight="1">
      <c r="A73" s="49"/>
      <c r="B73" s="57" t="s">
        <v>22</v>
      </c>
      <c r="C73" s="81" t="s">
        <v>146</v>
      </c>
      <c r="D73" s="498" t="s">
        <v>161</v>
      </c>
      <c r="E73" s="408"/>
      <c r="F73" s="408"/>
      <c r="G73" s="51"/>
      <c r="H73" s="51"/>
      <c r="I73" s="408"/>
      <c r="J73" s="408">
        <f>849+456</f>
        <v>1305</v>
      </c>
      <c r="K73" s="408">
        <v>0</v>
      </c>
      <c r="L73" s="413">
        <f>K73+J73</f>
        <v>1305</v>
      </c>
      <c r="M73" s="408"/>
      <c r="N73" s="408"/>
      <c r="O73" s="408"/>
      <c r="P73" s="408"/>
      <c r="Q73" s="414">
        <f>L73+O73</f>
        <v>1305</v>
      </c>
      <c r="R73" s="418"/>
    </row>
    <row r="74" spans="1:18" ht="11.25" customHeight="1">
      <c r="A74" s="49"/>
      <c r="B74" s="908" t="s">
        <v>23</v>
      </c>
      <c r="C74" s="81" t="s">
        <v>145</v>
      </c>
      <c r="D74" s="919" t="s">
        <v>88</v>
      </c>
      <c r="E74" s="408">
        <v>0</v>
      </c>
      <c r="F74" s="408">
        <v>0</v>
      </c>
      <c r="G74" s="51">
        <f>14000-2867+2000+900+316+1</f>
        <v>14350</v>
      </c>
      <c r="H74" s="51"/>
      <c r="I74" s="408"/>
      <c r="J74" s="408">
        <v>0</v>
      </c>
      <c r="K74" s="408">
        <v>0</v>
      </c>
      <c r="L74" s="413">
        <f>SUM(E74:K74)</f>
        <v>14350</v>
      </c>
      <c r="M74" s="408">
        <v>0</v>
      </c>
      <c r="N74" s="408"/>
      <c r="O74" s="408">
        <f>2000-2000</f>
        <v>0</v>
      </c>
      <c r="P74" s="408"/>
      <c r="Q74" s="414">
        <f>SUM(L74:P74)</f>
        <v>14350</v>
      </c>
      <c r="R74" s="418"/>
    </row>
    <row r="75" spans="1:18" ht="11.25" customHeight="1">
      <c r="A75" s="49"/>
      <c r="B75" s="909"/>
      <c r="C75" s="81" t="s">
        <v>146</v>
      </c>
      <c r="D75" s="920"/>
      <c r="E75" s="408"/>
      <c r="F75" s="408"/>
      <c r="G75" s="51">
        <f>5000+3000</f>
        <v>8000</v>
      </c>
      <c r="H75" s="51"/>
      <c r="I75" s="408"/>
      <c r="J75" s="408"/>
      <c r="K75" s="408"/>
      <c r="L75" s="413">
        <f>SUM(E75:K75)</f>
        <v>8000</v>
      </c>
      <c r="M75" s="408"/>
      <c r="N75" s="408"/>
      <c r="O75" s="408"/>
      <c r="P75" s="408"/>
      <c r="Q75" s="414">
        <f>SUM(L75:P75)</f>
        <v>8000</v>
      </c>
      <c r="R75" s="418"/>
    </row>
    <row r="76" spans="1:18" ht="11.25" customHeight="1">
      <c r="A76" s="49"/>
      <c r="B76" s="57" t="s">
        <v>24</v>
      </c>
      <c r="C76" s="81" t="s">
        <v>145</v>
      </c>
      <c r="D76" s="594" t="s">
        <v>281</v>
      </c>
      <c r="E76" s="408"/>
      <c r="F76" s="408"/>
      <c r="G76" s="51">
        <f>12000+50650</f>
        <v>62650</v>
      </c>
      <c r="H76" s="51"/>
      <c r="I76" s="408"/>
      <c r="J76" s="408"/>
      <c r="K76" s="408"/>
      <c r="L76" s="413">
        <f>G76</f>
        <v>62650</v>
      </c>
      <c r="M76" s="408"/>
      <c r="N76" s="408"/>
      <c r="O76" s="408"/>
      <c r="P76" s="408"/>
      <c r="Q76" s="414">
        <f>L76</f>
        <v>62650</v>
      </c>
      <c r="R76" s="418"/>
    </row>
    <row r="77" spans="1:18" ht="11.25" customHeight="1">
      <c r="A77" s="49"/>
      <c r="B77" s="57" t="s">
        <v>25</v>
      </c>
      <c r="C77" s="81" t="s">
        <v>145</v>
      </c>
      <c r="D77" s="594" t="s">
        <v>209</v>
      </c>
      <c r="E77" s="484"/>
      <c r="F77" s="484"/>
      <c r="G77" s="51">
        <v>3000</v>
      </c>
      <c r="H77" s="475"/>
      <c r="I77" s="484"/>
      <c r="J77" s="484"/>
      <c r="K77" s="484"/>
      <c r="L77" s="413">
        <f>SUM(E77:K77)</f>
        <v>3000</v>
      </c>
      <c r="M77" s="408">
        <f>'6.mell'!D46</f>
        <v>8128</v>
      </c>
      <c r="N77" s="408"/>
      <c r="O77" s="408"/>
      <c r="P77" s="408"/>
      <c r="Q77" s="414">
        <f>SUM(L77:P77)</f>
        <v>11128</v>
      </c>
      <c r="R77" s="418"/>
    </row>
    <row r="78" spans="1:18" ht="11.25" customHeight="1" thickBot="1">
      <c r="A78" s="43"/>
      <c r="B78" s="680" t="s">
        <v>26</v>
      </c>
      <c r="C78" s="84" t="s">
        <v>146</v>
      </c>
      <c r="D78" s="681" t="s">
        <v>423</v>
      </c>
      <c r="E78" s="682"/>
      <c r="F78" s="682"/>
      <c r="G78" s="422">
        <f>464+311</f>
        <v>775</v>
      </c>
      <c r="H78" s="683"/>
      <c r="I78" s="682"/>
      <c r="J78" s="682"/>
      <c r="K78" s="682"/>
      <c r="L78" s="424">
        <f>SUM(E78:K78)</f>
        <v>775</v>
      </c>
      <c r="M78" s="423"/>
      <c r="N78" s="423"/>
      <c r="O78" s="423"/>
      <c r="P78" s="423"/>
      <c r="Q78" s="425">
        <f>SUM(L78:P78)</f>
        <v>775</v>
      </c>
      <c r="R78" s="430"/>
    </row>
    <row r="79" spans="1:18" s="53" customFormat="1" ht="11.25" customHeight="1" thickBot="1">
      <c r="A79" s="32" t="s">
        <v>49</v>
      </c>
      <c r="B79" s="104" t="s">
        <v>18</v>
      </c>
      <c r="C79" s="86" t="s">
        <v>146</v>
      </c>
      <c r="D79" s="73" t="s">
        <v>160</v>
      </c>
      <c r="E79" s="421">
        <v>1000</v>
      </c>
      <c r="F79" s="421">
        <v>510</v>
      </c>
      <c r="G79" s="421">
        <f>5490+250+100</f>
        <v>5840</v>
      </c>
      <c r="H79" s="421"/>
      <c r="I79" s="421">
        <v>0</v>
      </c>
      <c r="J79" s="421">
        <v>0</v>
      </c>
      <c r="K79" s="421">
        <v>0</v>
      </c>
      <c r="L79" s="421">
        <f>SUM(E79:K79)</f>
        <v>7350</v>
      </c>
      <c r="M79" s="421">
        <v>0</v>
      </c>
      <c r="N79" s="421"/>
      <c r="O79" s="421">
        <v>0</v>
      </c>
      <c r="P79" s="421">
        <v>0</v>
      </c>
      <c r="Q79" s="34">
        <f>SUM(L79:P79)</f>
        <v>7350</v>
      </c>
      <c r="R79" s="147"/>
    </row>
    <row r="80" spans="1:18" s="53" customFormat="1" ht="11.25" customHeight="1">
      <c r="A80" s="32" t="s">
        <v>50</v>
      </c>
      <c r="B80" s="103"/>
      <c r="C80" s="120"/>
      <c r="D80" s="34" t="s">
        <v>118</v>
      </c>
      <c r="E80" s="421">
        <f>E81+E82+E84+E83</f>
        <v>1952</v>
      </c>
      <c r="F80" s="421">
        <f>F81+F82+F84+F83</f>
        <v>540</v>
      </c>
      <c r="G80" s="421">
        <f>G81+G82+G84+G83</f>
        <v>7855</v>
      </c>
      <c r="H80" s="421"/>
      <c r="I80" s="421">
        <f>I81+I82+I84+I83</f>
        <v>100</v>
      </c>
      <c r="J80" s="421">
        <f>J81+J82+J84+J83</f>
        <v>2200</v>
      </c>
      <c r="K80" s="421">
        <f>K81+K82+K84+K83</f>
        <v>0</v>
      </c>
      <c r="L80" s="421">
        <f>L81+L82+L84+L83</f>
        <v>12647</v>
      </c>
      <c r="M80" s="421">
        <f>M81+M82+M84</f>
        <v>0</v>
      </c>
      <c r="N80" s="421"/>
      <c r="O80" s="421">
        <f>O81+O82+O84</f>
        <v>0</v>
      </c>
      <c r="P80" s="421">
        <f>P81+P82+P84</f>
        <v>0</v>
      </c>
      <c r="Q80" s="34">
        <f>SUM(L80:P80)</f>
        <v>12647</v>
      </c>
      <c r="R80" s="429">
        <f>SUM(R81:R82)</f>
        <v>1</v>
      </c>
    </row>
    <row r="81" spans="1:18" ht="11.25" customHeight="1">
      <c r="A81" s="45"/>
      <c r="B81" s="65" t="s">
        <v>18</v>
      </c>
      <c r="C81" s="82" t="s">
        <v>146</v>
      </c>
      <c r="D81" s="48" t="s">
        <v>98</v>
      </c>
      <c r="E81" s="405">
        <f>1740+148+2+62</f>
        <v>1952</v>
      </c>
      <c r="F81" s="405">
        <f>470+53+17</f>
        <v>540</v>
      </c>
      <c r="G81" s="48">
        <f>2950</f>
        <v>2950</v>
      </c>
      <c r="H81" s="48"/>
      <c r="I81" s="405"/>
      <c r="J81" s="405">
        <v>0</v>
      </c>
      <c r="K81" s="405"/>
      <c r="L81" s="403">
        <f>SUM(E81:K81)</f>
        <v>5442</v>
      </c>
      <c r="M81" s="405">
        <v>0</v>
      </c>
      <c r="N81" s="405"/>
      <c r="O81" s="405"/>
      <c r="P81" s="405"/>
      <c r="Q81" s="406">
        <f>SUM(L81:P81)</f>
        <v>5442</v>
      </c>
      <c r="R81" s="407">
        <v>1</v>
      </c>
    </row>
    <row r="82" spans="1:18" ht="11.25" customHeight="1">
      <c r="A82" s="49"/>
      <c r="B82" s="99" t="s">
        <v>19</v>
      </c>
      <c r="C82" s="81" t="s">
        <v>145</v>
      </c>
      <c r="D82" s="51" t="s">
        <v>90</v>
      </c>
      <c r="E82" s="408">
        <v>0</v>
      </c>
      <c r="F82" s="408">
        <v>0</v>
      </c>
      <c r="G82" s="51">
        <v>600</v>
      </c>
      <c r="H82" s="51"/>
      <c r="I82" s="408"/>
      <c r="J82" s="408">
        <v>2200</v>
      </c>
      <c r="K82" s="408">
        <v>0</v>
      </c>
      <c r="L82" s="413">
        <f>SUM(E82:K82)</f>
        <v>2800</v>
      </c>
      <c r="M82" s="408"/>
      <c r="N82" s="408"/>
      <c r="O82" s="408">
        <v>0</v>
      </c>
      <c r="P82" s="408"/>
      <c r="Q82" s="414">
        <f aca="true" t="shared" si="21" ref="Q82:Q99">SUM(L82:P82)</f>
        <v>2800</v>
      </c>
      <c r="R82" s="418"/>
    </row>
    <row r="83" spans="1:18" ht="11.25" customHeight="1">
      <c r="A83" s="45"/>
      <c r="B83" s="65" t="s">
        <v>20</v>
      </c>
      <c r="C83" s="82" t="s">
        <v>146</v>
      </c>
      <c r="D83" s="47" t="s">
        <v>187</v>
      </c>
      <c r="E83" s="405"/>
      <c r="F83" s="405"/>
      <c r="G83" s="48"/>
      <c r="H83" s="48"/>
      <c r="I83" s="405">
        <v>100</v>
      </c>
      <c r="J83" s="405">
        <v>0</v>
      </c>
      <c r="K83" s="405"/>
      <c r="L83" s="403">
        <f aca="true" t="shared" si="22" ref="L83:L102">SUM(E83:K83)</f>
        <v>100</v>
      </c>
      <c r="M83" s="405"/>
      <c r="N83" s="405"/>
      <c r="O83" s="405"/>
      <c r="P83" s="405"/>
      <c r="Q83" s="406">
        <f>SUM(L83:P83)</f>
        <v>100</v>
      </c>
      <c r="R83" s="407"/>
    </row>
    <row r="84" spans="1:18" ht="11.25" customHeight="1" thickBot="1">
      <c r="A84" s="43"/>
      <c r="B84" s="63" t="s">
        <v>21</v>
      </c>
      <c r="C84" s="84" t="s">
        <v>146</v>
      </c>
      <c r="D84" s="489" t="s">
        <v>189</v>
      </c>
      <c r="E84" s="423"/>
      <c r="F84" s="423"/>
      <c r="G84" s="422">
        <f>2400+1905</f>
        <v>4305</v>
      </c>
      <c r="H84" s="422"/>
      <c r="I84" s="423"/>
      <c r="J84" s="423"/>
      <c r="K84" s="423"/>
      <c r="L84" s="424">
        <f>SUM(E84:K84)</f>
        <v>4305</v>
      </c>
      <c r="M84" s="423"/>
      <c r="N84" s="423"/>
      <c r="O84" s="423"/>
      <c r="P84" s="423"/>
      <c r="Q84" s="425">
        <f>SUM(L84:P84)</f>
        <v>4305</v>
      </c>
      <c r="R84" s="430"/>
    </row>
    <row r="85" spans="1:18" s="53" customFormat="1" ht="11.25" customHeight="1">
      <c r="A85" s="39" t="s">
        <v>51</v>
      </c>
      <c r="B85" s="52" t="s">
        <v>75</v>
      </c>
      <c r="C85" s="83"/>
      <c r="D85" s="41" t="s">
        <v>119</v>
      </c>
      <c r="E85" s="415">
        <f aca="true" t="shared" si="23" ref="E85:K85">E86+E87</f>
        <v>0</v>
      </c>
      <c r="F85" s="415">
        <f t="shared" si="23"/>
        <v>0</v>
      </c>
      <c r="G85" s="415">
        <f t="shared" si="23"/>
        <v>38825</v>
      </c>
      <c r="H85" s="415"/>
      <c r="I85" s="415">
        <f t="shared" si="23"/>
        <v>0</v>
      </c>
      <c r="J85" s="415">
        <f t="shared" si="23"/>
        <v>0</v>
      </c>
      <c r="K85" s="415">
        <f t="shared" si="23"/>
        <v>0</v>
      </c>
      <c r="L85" s="415">
        <f t="shared" si="22"/>
        <v>38825</v>
      </c>
      <c r="M85" s="415"/>
      <c r="N85" s="415"/>
      <c r="O85" s="415"/>
      <c r="P85" s="415"/>
      <c r="Q85" s="41">
        <f t="shared" si="21"/>
        <v>38825</v>
      </c>
      <c r="R85" s="439"/>
    </row>
    <row r="86" spans="1:18" ht="11.25" customHeight="1">
      <c r="A86" s="54"/>
      <c r="B86" s="46" t="s">
        <v>18</v>
      </c>
      <c r="C86" s="82" t="s">
        <v>145</v>
      </c>
      <c r="D86" s="47" t="s">
        <v>73</v>
      </c>
      <c r="E86" s="405"/>
      <c r="F86" s="405"/>
      <c r="G86" s="48">
        <f>35430+3000-2905</f>
        <v>35525</v>
      </c>
      <c r="H86" s="48"/>
      <c r="I86" s="405"/>
      <c r="J86" s="405">
        <v>0</v>
      </c>
      <c r="K86" s="405"/>
      <c r="L86" s="403">
        <f t="shared" si="22"/>
        <v>35525</v>
      </c>
      <c r="M86" s="405"/>
      <c r="N86" s="405"/>
      <c r="O86" s="405"/>
      <c r="P86" s="405"/>
      <c r="Q86" s="406">
        <f t="shared" si="21"/>
        <v>35525</v>
      </c>
      <c r="R86" s="407"/>
    </row>
    <row r="87" spans="1:18" ht="11.25" customHeight="1" thickBot="1">
      <c r="A87" s="55"/>
      <c r="B87" s="44" t="s">
        <v>19</v>
      </c>
      <c r="C87" s="84" t="s">
        <v>146</v>
      </c>
      <c r="D87" s="489" t="s">
        <v>126</v>
      </c>
      <c r="E87" s="423"/>
      <c r="F87" s="423"/>
      <c r="G87" s="422">
        <v>3300</v>
      </c>
      <c r="H87" s="422"/>
      <c r="I87" s="423"/>
      <c r="J87" s="423">
        <v>0</v>
      </c>
      <c r="K87" s="423"/>
      <c r="L87" s="424">
        <f t="shared" si="22"/>
        <v>3300</v>
      </c>
      <c r="M87" s="423"/>
      <c r="N87" s="423"/>
      <c r="O87" s="423"/>
      <c r="P87" s="423"/>
      <c r="Q87" s="425">
        <f t="shared" si="21"/>
        <v>3300</v>
      </c>
      <c r="R87" s="430"/>
    </row>
    <row r="88" spans="1:18" s="53" customFormat="1" ht="11.25" customHeight="1">
      <c r="A88" s="32" t="s">
        <v>52</v>
      </c>
      <c r="B88" s="103" t="s">
        <v>75</v>
      </c>
      <c r="C88" s="120"/>
      <c r="D88" s="34" t="s">
        <v>72</v>
      </c>
      <c r="E88" s="421">
        <f>E89+E90+E91</f>
        <v>0</v>
      </c>
      <c r="F88" s="421">
        <f aca="true" t="shared" si="24" ref="F88:K88">F89+F90+F91</f>
        <v>0</v>
      </c>
      <c r="G88" s="421">
        <f t="shared" si="24"/>
        <v>10324</v>
      </c>
      <c r="H88" s="421">
        <f t="shared" si="24"/>
        <v>0</v>
      </c>
      <c r="I88" s="421">
        <f t="shared" si="24"/>
        <v>40293</v>
      </c>
      <c r="J88" s="421">
        <f t="shared" si="24"/>
        <v>1198</v>
      </c>
      <c r="K88" s="421">
        <f t="shared" si="24"/>
        <v>0</v>
      </c>
      <c r="L88" s="421">
        <f t="shared" si="22"/>
        <v>51815</v>
      </c>
      <c r="M88" s="421">
        <f>SUM(M89:M91)</f>
        <v>0</v>
      </c>
      <c r="N88" s="421">
        <f>SUM(N89:N91)</f>
        <v>0</v>
      </c>
      <c r="O88" s="421">
        <f>SUM(O89:O91)</f>
        <v>0</v>
      </c>
      <c r="P88" s="421">
        <f>SUM(P89:P91)</f>
        <v>0</v>
      </c>
      <c r="Q88" s="34">
        <f>SUM(L88:P88)</f>
        <v>51815</v>
      </c>
      <c r="R88" s="429"/>
    </row>
    <row r="89" spans="1:18" ht="11.25" customHeight="1">
      <c r="A89" s="45"/>
      <c r="B89" s="46">
        <v>1</v>
      </c>
      <c r="C89" s="82" t="s">
        <v>145</v>
      </c>
      <c r="D89" s="47" t="s">
        <v>125</v>
      </c>
      <c r="E89" s="405"/>
      <c r="F89" s="405"/>
      <c r="G89" s="405">
        <f>5700</f>
        <v>5700</v>
      </c>
      <c r="H89" s="405"/>
      <c r="I89" s="405"/>
      <c r="J89" s="405">
        <v>1198</v>
      </c>
      <c r="K89" s="405"/>
      <c r="L89" s="403">
        <f t="shared" si="22"/>
        <v>6898</v>
      </c>
      <c r="M89" s="405"/>
      <c r="N89" s="405"/>
      <c r="O89" s="405"/>
      <c r="P89" s="405"/>
      <c r="Q89" s="406">
        <f>SUM(L89:P89)</f>
        <v>6898</v>
      </c>
      <c r="R89" s="407"/>
    </row>
    <row r="90" spans="1:18" ht="11.25" customHeight="1">
      <c r="A90" s="39"/>
      <c r="B90" s="52">
        <v>2</v>
      </c>
      <c r="C90" s="83" t="s">
        <v>145</v>
      </c>
      <c r="D90" s="59" t="s">
        <v>127</v>
      </c>
      <c r="E90" s="515"/>
      <c r="F90" s="515"/>
      <c r="G90" s="515">
        <v>4624</v>
      </c>
      <c r="H90" s="515"/>
      <c r="I90" s="515"/>
      <c r="J90" s="515">
        <v>0</v>
      </c>
      <c r="K90" s="515"/>
      <c r="L90" s="413">
        <f t="shared" si="22"/>
        <v>4624</v>
      </c>
      <c r="M90" s="515"/>
      <c r="N90" s="515"/>
      <c r="O90" s="515"/>
      <c r="P90" s="515"/>
      <c r="Q90" s="414">
        <f>SUM(L90:P90)</f>
        <v>4624</v>
      </c>
      <c r="R90" s="439"/>
    </row>
    <row r="91" spans="1:18" ht="11.25" customHeight="1" thickBot="1">
      <c r="A91" s="43"/>
      <c r="B91" s="44">
        <v>3</v>
      </c>
      <c r="C91" s="84" t="s">
        <v>145</v>
      </c>
      <c r="D91" s="489" t="s">
        <v>366</v>
      </c>
      <c r="E91" s="423"/>
      <c r="F91" s="423"/>
      <c r="G91" s="423"/>
      <c r="H91" s="423"/>
      <c r="I91" s="423">
        <f>40293</f>
        <v>40293</v>
      </c>
      <c r="J91" s="423"/>
      <c r="K91" s="423"/>
      <c r="L91" s="424">
        <f>SUM(E91:K91)</f>
        <v>40293</v>
      </c>
      <c r="M91" s="423"/>
      <c r="N91" s="423"/>
      <c r="O91" s="423"/>
      <c r="P91" s="423"/>
      <c r="Q91" s="425">
        <f>SUM(L91:P91)</f>
        <v>40293</v>
      </c>
      <c r="R91" s="430"/>
    </row>
    <row r="92" spans="1:18" s="53" customFormat="1" ht="11.25" customHeight="1" thickBot="1">
      <c r="A92" s="58" t="s">
        <v>53</v>
      </c>
      <c r="B92" s="105" t="s">
        <v>18</v>
      </c>
      <c r="C92" s="94" t="s">
        <v>145</v>
      </c>
      <c r="D92" s="42" t="s">
        <v>99</v>
      </c>
      <c r="E92" s="416"/>
      <c r="F92" s="416"/>
      <c r="G92" s="42">
        <v>3000</v>
      </c>
      <c r="H92" s="42"/>
      <c r="I92" s="416"/>
      <c r="J92" s="416">
        <f>2000+10055</f>
        <v>12055</v>
      </c>
      <c r="K92" s="416">
        <v>0</v>
      </c>
      <c r="L92" s="416">
        <f t="shared" si="22"/>
        <v>15055</v>
      </c>
      <c r="M92" s="416"/>
      <c r="N92" s="416"/>
      <c r="O92" s="416"/>
      <c r="P92" s="416"/>
      <c r="Q92" s="42">
        <f t="shared" si="21"/>
        <v>15055</v>
      </c>
      <c r="R92" s="417"/>
    </row>
    <row r="93" spans="1:18" s="53" customFormat="1" ht="12.75" customHeight="1" thickBot="1">
      <c r="A93" s="39" t="s">
        <v>54</v>
      </c>
      <c r="B93" s="52" t="s">
        <v>18</v>
      </c>
      <c r="C93" s="83" t="s">
        <v>146</v>
      </c>
      <c r="D93" s="41" t="s">
        <v>100</v>
      </c>
      <c r="E93" s="415">
        <v>500</v>
      </c>
      <c r="F93" s="415">
        <v>255</v>
      </c>
      <c r="G93" s="41">
        <v>745</v>
      </c>
      <c r="H93" s="41"/>
      <c r="I93" s="415"/>
      <c r="J93" s="415">
        <v>0</v>
      </c>
      <c r="K93" s="415"/>
      <c r="L93" s="416">
        <f aca="true" t="shared" si="25" ref="L93:L98">SUM(E93:K93)</f>
        <v>1500</v>
      </c>
      <c r="M93" s="415"/>
      <c r="N93" s="415"/>
      <c r="O93" s="415"/>
      <c r="P93" s="415"/>
      <c r="Q93" s="42">
        <f t="shared" si="21"/>
        <v>1500</v>
      </c>
      <c r="R93" s="144"/>
    </row>
    <row r="94" spans="1:18" s="53" customFormat="1" ht="12.75" customHeight="1" thickBot="1">
      <c r="A94" s="58" t="s">
        <v>55</v>
      </c>
      <c r="B94" s="105" t="s">
        <v>18</v>
      </c>
      <c r="C94" s="91" t="s">
        <v>146</v>
      </c>
      <c r="D94" s="42" t="s">
        <v>101</v>
      </c>
      <c r="E94" s="416">
        <f>2375+148+2+69+64</f>
        <v>2658</v>
      </c>
      <c r="F94" s="416">
        <f>642+53+19+18</f>
        <v>732</v>
      </c>
      <c r="G94" s="42">
        <v>480</v>
      </c>
      <c r="H94" s="42"/>
      <c r="I94" s="416"/>
      <c r="J94" s="416">
        <v>0</v>
      </c>
      <c r="K94" s="416"/>
      <c r="L94" s="416">
        <f t="shared" si="25"/>
        <v>3870</v>
      </c>
      <c r="M94" s="416"/>
      <c r="N94" s="416"/>
      <c r="O94" s="416"/>
      <c r="P94" s="416"/>
      <c r="Q94" s="42">
        <f>SUM(L94:P94)</f>
        <v>3870</v>
      </c>
      <c r="R94" s="417">
        <v>1</v>
      </c>
    </row>
    <row r="95" spans="1:18" s="53" customFormat="1" ht="12.75" customHeight="1">
      <c r="A95" s="35" t="s">
        <v>132</v>
      </c>
      <c r="B95" s="64"/>
      <c r="C95" s="90"/>
      <c r="D95" s="38" t="s">
        <v>102</v>
      </c>
      <c r="E95" s="426">
        <f>SUM(E96:E99)</f>
        <v>70</v>
      </c>
      <c r="F95" s="426">
        <f>SUM(F96:F99)</f>
        <v>50</v>
      </c>
      <c r="G95" s="426">
        <f>SUM(G96:G99)</f>
        <v>5040</v>
      </c>
      <c r="H95" s="426"/>
      <c r="I95" s="426">
        <f>SUM(I96:I99)</f>
        <v>500</v>
      </c>
      <c r="J95" s="426">
        <f>SUM(J96:J99)</f>
        <v>500</v>
      </c>
      <c r="K95" s="426">
        <f>SUM(K96:K99)</f>
        <v>0</v>
      </c>
      <c r="L95" s="426">
        <f t="shared" si="25"/>
        <v>6160</v>
      </c>
      <c r="M95" s="426">
        <f>SUM(M96:M99)</f>
        <v>0</v>
      </c>
      <c r="N95" s="426"/>
      <c r="O95" s="426">
        <f>SUM(O96:O99)</f>
        <v>0</v>
      </c>
      <c r="P95" s="426">
        <f>SUM(P96:P99)</f>
        <v>0</v>
      </c>
      <c r="Q95" s="38">
        <f t="shared" si="21"/>
        <v>6160</v>
      </c>
      <c r="R95" s="404"/>
    </row>
    <row r="96" spans="1:18" ht="11.25" customHeight="1">
      <c r="A96" s="45"/>
      <c r="B96" s="65" t="s">
        <v>18</v>
      </c>
      <c r="C96" s="82" t="s">
        <v>146</v>
      </c>
      <c r="D96" s="48" t="s">
        <v>120</v>
      </c>
      <c r="E96" s="405"/>
      <c r="F96" s="405"/>
      <c r="G96" s="48">
        <v>4400</v>
      </c>
      <c r="H96" s="48"/>
      <c r="I96" s="405"/>
      <c r="J96" s="405">
        <v>0</v>
      </c>
      <c r="K96" s="405">
        <v>0</v>
      </c>
      <c r="L96" s="403">
        <f t="shared" si="25"/>
        <v>4400</v>
      </c>
      <c r="M96" s="405">
        <v>0</v>
      </c>
      <c r="N96" s="405"/>
      <c r="O96" s="405"/>
      <c r="P96" s="405"/>
      <c r="Q96" s="406">
        <f t="shared" si="21"/>
        <v>4400</v>
      </c>
      <c r="R96" s="407"/>
    </row>
    <row r="97" spans="1:18" ht="11.25" customHeight="1">
      <c r="A97" s="45"/>
      <c r="B97" s="46" t="s">
        <v>19</v>
      </c>
      <c r="C97" s="90" t="s">
        <v>146</v>
      </c>
      <c r="D97" s="37" t="s">
        <v>103</v>
      </c>
      <c r="E97" s="405"/>
      <c r="F97" s="405"/>
      <c r="G97" s="48">
        <f>150+10</f>
        <v>160</v>
      </c>
      <c r="H97" s="48"/>
      <c r="I97" s="405">
        <v>500</v>
      </c>
      <c r="J97" s="405">
        <v>0</v>
      </c>
      <c r="K97" s="405"/>
      <c r="L97" s="403">
        <f t="shared" si="25"/>
        <v>660</v>
      </c>
      <c r="M97" s="405"/>
      <c r="N97" s="405"/>
      <c r="O97" s="405"/>
      <c r="P97" s="405"/>
      <c r="Q97" s="406">
        <f t="shared" si="21"/>
        <v>660</v>
      </c>
      <c r="R97" s="407"/>
    </row>
    <row r="98" spans="1:18" ht="11.25" customHeight="1">
      <c r="A98" s="49"/>
      <c r="B98" s="50" t="s">
        <v>20</v>
      </c>
      <c r="C98" s="83" t="s">
        <v>146</v>
      </c>
      <c r="D98" s="37" t="s">
        <v>292</v>
      </c>
      <c r="E98" s="408">
        <v>0</v>
      </c>
      <c r="F98" s="408">
        <v>0</v>
      </c>
      <c r="G98" s="51">
        <f>21-21</f>
        <v>0</v>
      </c>
      <c r="H98" s="51"/>
      <c r="I98" s="408"/>
      <c r="J98" s="408">
        <v>500</v>
      </c>
      <c r="K98" s="408"/>
      <c r="L98" s="403">
        <f t="shared" si="25"/>
        <v>500</v>
      </c>
      <c r="M98" s="408"/>
      <c r="N98" s="408"/>
      <c r="O98" s="408"/>
      <c r="P98" s="408"/>
      <c r="Q98" s="406">
        <f t="shared" si="21"/>
        <v>500</v>
      </c>
      <c r="R98" s="418"/>
    </row>
    <row r="99" spans="1:18" ht="11.25" customHeight="1" thickBot="1">
      <c r="A99" s="49"/>
      <c r="B99" s="50" t="s">
        <v>21</v>
      </c>
      <c r="C99" s="81" t="s">
        <v>145</v>
      </c>
      <c r="D99" s="47" t="s">
        <v>353</v>
      </c>
      <c r="E99" s="408">
        <v>70</v>
      </c>
      <c r="F99" s="408">
        <v>50</v>
      </c>
      <c r="G99" s="51">
        <f>600-70-50</f>
        <v>480</v>
      </c>
      <c r="H99" s="51"/>
      <c r="I99" s="408"/>
      <c r="J99" s="408">
        <v>0</v>
      </c>
      <c r="K99" s="408"/>
      <c r="L99" s="403">
        <f t="shared" si="22"/>
        <v>600</v>
      </c>
      <c r="M99" s="408"/>
      <c r="N99" s="408"/>
      <c r="O99" s="408"/>
      <c r="P99" s="408"/>
      <c r="Q99" s="406">
        <f t="shared" si="21"/>
        <v>600</v>
      </c>
      <c r="R99" s="418"/>
    </row>
    <row r="100" spans="1:18" s="53" customFormat="1" ht="12.75" customHeight="1" thickBot="1">
      <c r="A100" s="58" t="s">
        <v>56</v>
      </c>
      <c r="B100" s="105" t="s">
        <v>18</v>
      </c>
      <c r="C100" s="91" t="s">
        <v>145</v>
      </c>
      <c r="D100" s="42" t="s">
        <v>104</v>
      </c>
      <c r="E100" s="416"/>
      <c r="F100" s="416"/>
      <c r="G100" s="42">
        <f>17000+2900+3175+3672</f>
        <v>26747</v>
      </c>
      <c r="H100" s="42"/>
      <c r="I100" s="416"/>
      <c r="J100" s="416">
        <v>0</v>
      </c>
      <c r="K100" s="416"/>
      <c r="L100" s="416">
        <f t="shared" si="22"/>
        <v>26747</v>
      </c>
      <c r="M100" s="416">
        <f>'6.mell'!D35+'6.mell'!D61+'6.mell'!D37+'6.mell'!D41</f>
        <v>57876</v>
      </c>
      <c r="N100" s="416"/>
      <c r="O100" s="416">
        <v>0</v>
      </c>
      <c r="P100" s="416"/>
      <c r="Q100" s="42">
        <f aca="true" t="shared" si="26" ref="Q100:Q108">SUM(L100:P100)</f>
        <v>84623</v>
      </c>
      <c r="R100" s="417"/>
    </row>
    <row r="101" spans="1:18" ht="12.75" customHeight="1">
      <c r="A101" s="39" t="s">
        <v>133</v>
      </c>
      <c r="B101" s="52"/>
      <c r="C101" s="83"/>
      <c r="D101" s="41" t="s">
        <v>121</v>
      </c>
      <c r="E101" s="415">
        <f>SUM(E102:E106)</f>
        <v>0</v>
      </c>
      <c r="F101" s="415">
        <f aca="true" t="shared" si="27" ref="F101:K101">SUM(F102:F106)</f>
        <v>0</v>
      </c>
      <c r="G101" s="415">
        <f t="shared" si="27"/>
        <v>58340</v>
      </c>
      <c r="H101" s="415">
        <f t="shared" si="27"/>
        <v>0</v>
      </c>
      <c r="I101" s="415">
        <f t="shared" si="27"/>
        <v>0</v>
      </c>
      <c r="J101" s="415">
        <f t="shared" si="27"/>
        <v>1367</v>
      </c>
      <c r="K101" s="415">
        <f t="shared" si="27"/>
        <v>0</v>
      </c>
      <c r="L101" s="415">
        <f>SUM(E101:K101)</f>
        <v>59707</v>
      </c>
      <c r="M101" s="415">
        <f>SUM(M102:M106)</f>
        <v>116716</v>
      </c>
      <c r="N101" s="415">
        <f>SUM(N102:N106)</f>
        <v>9754</v>
      </c>
      <c r="O101" s="415">
        <f>SUM(O102:O106)</f>
        <v>0</v>
      </c>
      <c r="P101" s="415">
        <f>SUM(P102:P106)</f>
        <v>0</v>
      </c>
      <c r="Q101" s="41">
        <f>SUM(L101:P101)</f>
        <v>186177</v>
      </c>
      <c r="R101" s="148"/>
    </row>
    <row r="102" spans="1:18" ht="11.25" customHeight="1">
      <c r="A102" s="45"/>
      <c r="B102" s="46">
        <v>1</v>
      </c>
      <c r="C102" s="82" t="s">
        <v>146</v>
      </c>
      <c r="D102" s="47" t="s">
        <v>122</v>
      </c>
      <c r="E102" s="405"/>
      <c r="F102" s="405"/>
      <c r="G102" s="48"/>
      <c r="H102" s="48"/>
      <c r="I102" s="405"/>
      <c r="J102" s="405">
        <v>700</v>
      </c>
      <c r="K102" s="405">
        <v>0</v>
      </c>
      <c r="L102" s="403">
        <f t="shared" si="22"/>
        <v>700</v>
      </c>
      <c r="M102" s="405"/>
      <c r="N102" s="405"/>
      <c r="O102" s="405"/>
      <c r="P102" s="405"/>
      <c r="Q102" s="406">
        <f t="shared" si="26"/>
        <v>700</v>
      </c>
      <c r="R102" s="407"/>
    </row>
    <row r="103" spans="1:18" ht="11.25" customHeight="1">
      <c r="A103" s="49"/>
      <c r="B103" s="50">
        <v>2</v>
      </c>
      <c r="C103" s="81" t="s">
        <v>146</v>
      </c>
      <c r="D103" s="51" t="s">
        <v>388</v>
      </c>
      <c r="E103" s="408"/>
      <c r="F103" s="408"/>
      <c r="G103" s="51">
        <f>53340</f>
        <v>53340</v>
      </c>
      <c r="H103" s="51"/>
      <c r="I103" s="408"/>
      <c r="J103" s="408">
        <v>0</v>
      </c>
      <c r="K103" s="408"/>
      <c r="L103" s="413">
        <f>SUM(E103:K103)</f>
        <v>53340</v>
      </c>
      <c r="M103" s="408">
        <v>0</v>
      </c>
      <c r="N103" s="408"/>
      <c r="O103" s="408"/>
      <c r="P103" s="408"/>
      <c r="Q103" s="414">
        <f>SUM(L103:P103)</f>
        <v>53340</v>
      </c>
      <c r="R103" s="418"/>
    </row>
    <row r="104" spans="1:18" ht="11.25" customHeight="1">
      <c r="A104" s="49"/>
      <c r="B104" s="50">
        <v>3</v>
      </c>
      <c r="C104" s="81" t="s">
        <v>145</v>
      </c>
      <c r="D104" s="679" t="s">
        <v>405</v>
      </c>
      <c r="E104" s="408"/>
      <c r="F104" s="408"/>
      <c r="G104" s="51">
        <v>5000</v>
      </c>
      <c r="H104" s="51"/>
      <c r="I104" s="408"/>
      <c r="J104" s="408"/>
      <c r="K104" s="408"/>
      <c r="L104" s="413">
        <f>SUM(E104:K104)</f>
        <v>5000</v>
      </c>
      <c r="M104" s="408">
        <f>'6.mell'!D32</f>
        <v>70000</v>
      </c>
      <c r="N104" s="408"/>
      <c r="O104" s="408"/>
      <c r="P104" s="408"/>
      <c r="Q104" s="414">
        <f>SUM(L104:P104)</f>
        <v>75000</v>
      </c>
      <c r="R104" s="418"/>
    </row>
    <row r="105" spans="1:18" ht="12.75" customHeight="1">
      <c r="A105" s="45"/>
      <c r="B105" s="46">
        <v>4</v>
      </c>
      <c r="C105" s="82" t="s">
        <v>145</v>
      </c>
      <c r="D105" s="669" t="s">
        <v>471</v>
      </c>
      <c r="E105" s="632"/>
      <c r="F105" s="405"/>
      <c r="G105" s="48">
        <v>0</v>
      </c>
      <c r="H105" s="48"/>
      <c r="I105" s="405"/>
      <c r="J105" s="405"/>
      <c r="K105" s="405"/>
      <c r="L105" s="413">
        <f>SUM(E105:K105)</f>
        <v>0</v>
      </c>
      <c r="M105" s="408">
        <f>'6.mell'!D29+'6.mell'!D44</f>
        <v>46716</v>
      </c>
      <c r="N105" s="408">
        <f>'6.mell'!D71</f>
        <v>9754</v>
      </c>
      <c r="O105" s="408"/>
      <c r="P105" s="408"/>
      <c r="Q105" s="414">
        <f>SUM(L105:P105)</f>
        <v>56470</v>
      </c>
      <c r="R105" s="407"/>
    </row>
    <row r="106" spans="1:18" ht="12.75" customHeight="1" thickBot="1">
      <c r="A106" s="39"/>
      <c r="B106" s="52">
        <v>5</v>
      </c>
      <c r="C106" s="83" t="s">
        <v>145</v>
      </c>
      <c r="D106" s="704" t="s">
        <v>460</v>
      </c>
      <c r="E106" s="703"/>
      <c r="F106" s="515"/>
      <c r="G106" s="516"/>
      <c r="H106" s="516"/>
      <c r="I106" s="515"/>
      <c r="J106" s="515">
        <v>667</v>
      </c>
      <c r="K106" s="515"/>
      <c r="L106" s="424">
        <f>SUM(E106:K106)</f>
        <v>667</v>
      </c>
      <c r="M106" s="423"/>
      <c r="N106" s="423"/>
      <c r="O106" s="423"/>
      <c r="P106" s="423"/>
      <c r="Q106" s="425">
        <f>SUM(M106:P106)</f>
        <v>0</v>
      </c>
      <c r="R106" s="439"/>
    </row>
    <row r="107" spans="1:18" s="53" customFormat="1" ht="10.5" customHeight="1" thickBot="1">
      <c r="A107" s="58" t="s">
        <v>129</v>
      </c>
      <c r="B107" s="105" t="s">
        <v>18</v>
      </c>
      <c r="C107" s="87" t="s">
        <v>145</v>
      </c>
      <c r="D107" s="497" t="s">
        <v>180</v>
      </c>
      <c r="E107" s="416"/>
      <c r="F107" s="416"/>
      <c r="G107" s="42"/>
      <c r="H107" s="42"/>
      <c r="I107" s="416"/>
      <c r="J107" s="416">
        <v>8036</v>
      </c>
      <c r="K107" s="416">
        <v>0</v>
      </c>
      <c r="L107" s="416">
        <f aca="true" t="shared" si="28" ref="L107:L114">SUM(E107:K107)</f>
        <v>8036</v>
      </c>
      <c r="M107" s="416"/>
      <c r="N107" s="416"/>
      <c r="O107" s="416"/>
      <c r="P107" s="416"/>
      <c r="Q107" s="42">
        <f t="shared" si="26"/>
        <v>8036</v>
      </c>
      <c r="R107" s="417"/>
    </row>
    <row r="108" spans="1:18" ht="12.75" customHeight="1">
      <c r="A108" s="32" t="s">
        <v>134</v>
      </c>
      <c r="B108" s="33"/>
      <c r="C108" s="120"/>
      <c r="D108" s="34" t="s">
        <v>323</v>
      </c>
      <c r="E108" s="421">
        <f>SUM(E109:E111)</f>
        <v>0</v>
      </c>
      <c r="F108" s="421">
        <f aca="true" t="shared" si="29" ref="F108:K108">SUM(F109:F111)</f>
        <v>0</v>
      </c>
      <c r="G108" s="421">
        <f t="shared" si="29"/>
        <v>130</v>
      </c>
      <c r="H108" s="421">
        <f t="shared" si="29"/>
        <v>7600</v>
      </c>
      <c r="I108" s="421">
        <f t="shared" si="29"/>
        <v>0</v>
      </c>
      <c r="J108" s="421">
        <f t="shared" si="29"/>
        <v>0</v>
      </c>
      <c r="K108" s="421">
        <f t="shared" si="29"/>
        <v>0</v>
      </c>
      <c r="L108" s="421">
        <f t="shared" si="28"/>
        <v>7730</v>
      </c>
      <c r="M108" s="421">
        <f>SUM(M109:M111)</f>
        <v>0</v>
      </c>
      <c r="N108" s="421">
        <f>SUM(N109:N111)</f>
        <v>0</v>
      </c>
      <c r="O108" s="421">
        <f>SUM(O109:O111)</f>
        <v>0</v>
      </c>
      <c r="P108" s="421">
        <f>SUM(P109:P111)</f>
        <v>0</v>
      </c>
      <c r="Q108" s="34">
        <f t="shared" si="26"/>
        <v>7730</v>
      </c>
      <c r="R108" s="429"/>
    </row>
    <row r="109" spans="1:18" ht="11.25" customHeight="1">
      <c r="A109" s="49"/>
      <c r="B109" s="50" t="s">
        <v>18</v>
      </c>
      <c r="C109" s="81" t="s">
        <v>146</v>
      </c>
      <c r="D109" s="59" t="s">
        <v>280</v>
      </c>
      <c r="E109" s="408"/>
      <c r="F109" s="408"/>
      <c r="G109" s="51">
        <v>130</v>
      </c>
      <c r="H109" s="51"/>
      <c r="I109" s="408"/>
      <c r="J109" s="408"/>
      <c r="K109" s="408"/>
      <c r="L109" s="403">
        <f t="shared" si="28"/>
        <v>130</v>
      </c>
      <c r="M109" s="408"/>
      <c r="N109" s="408"/>
      <c r="O109" s="408"/>
      <c r="P109" s="408"/>
      <c r="Q109" s="406">
        <f>L109</f>
        <v>130</v>
      </c>
      <c r="R109" s="418"/>
    </row>
    <row r="110" spans="1:18" ht="11.25" customHeight="1">
      <c r="A110" s="49"/>
      <c r="B110" s="50" t="s">
        <v>19</v>
      </c>
      <c r="C110" s="81" t="s">
        <v>145</v>
      </c>
      <c r="D110" s="59" t="s">
        <v>79</v>
      </c>
      <c r="E110" s="408"/>
      <c r="F110" s="408"/>
      <c r="G110" s="51">
        <v>0</v>
      </c>
      <c r="H110" s="51">
        <v>600</v>
      </c>
      <c r="I110" s="408">
        <v>0</v>
      </c>
      <c r="J110" s="408">
        <v>0</v>
      </c>
      <c r="K110" s="408"/>
      <c r="L110" s="413">
        <f t="shared" si="28"/>
        <v>600</v>
      </c>
      <c r="M110" s="408"/>
      <c r="N110" s="408"/>
      <c r="O110" s="408"/>
      <c r="P110" s="408"/>
      <c r="Q110" s="414">
        <f aca="true" t="shared" si="30" ref="Q110:Q115">SUM(L110:P110)</f>
        <v>600</v>
      </c>
      <c r="R110" s="418"/>
    </row>
    <row r="111" spans="1:18" ht="11.25" customHeight="1" thickBot="1">
      <c r="A111" s="43"/>
      <c r="B111" s="44" t="s">
        <v>20</v>
      </c>
      <c r="C111" s="84" t="s">
        <v>145</v>
      </c>
      <c r="D111" s="489" t="s">
        <v>328</v>
      </c>
      <c r="E111" s="423"/>
      <c r="F111" s="423"/>
      <c r="G111" s="422"/>
      <c r="H111" s="422">
        <f>2000+5000</f>
        <v>7000</v>
      </c>
      <c r="I111" s="423"/>
      <c r="J111" s="423"/>
      <c r="K111" s="423"/>
      <c r="L111" s="424">
        <f>SUM(E111:K111)</f>
        <v>7000</v>
      </c>
      <c r="M111" s="423"/>
      <c r="N111" s="423"/>
      <c r="O111" s="423"/>
      <c r="P111" s="423"/>
      <c r="Q111" s="425">
        <f t="shared" si="30"/>
        <v>7000</v>
      </c>
      <c r="R111" s="430"/>
    </row>
    <row r="112" spans="1:18" ht="12.75" customHeight="1">
      <c r="A112" s="35" t="s">
        <v>135</v>
      </c>
      <c r="B112" s="64"/>
      <c r="C112" s="90"/>
      <c r="D112" s="38" t="s">
        <v>105</v>
      </c>
      <c r="E112" s="426">
        <f aca="true" t="shared" si="31" ref="E112:K112">SUM(E113:E115)</f>
        <v>5580</v>
      </c>
      <c r="F112" s="426">
        <f t="shared" si="31"/>
        <v>1507</v>
      </c>
      <c r="G112" s="426">
        <f t="shared" si="31"/>
        <v>18875</v>
      </c>
      <c r="H112" s="426">
        <f t="shared" si="31"/>
        <v>0</v>
      </c>
      <c r="I112" s="426">
        <f>SUM(I113:I116)</f>
        <v>5900</v>
      </c>
      <c r="J112" s="426">
        <f t="shared" si="31"/>
        <v>0</v>
      </c>
      <c r="K112" s="426">
        <f t="shared" si="31"/>
        <v>0</v>
      </c>
      <c r="L112" s="426">
        <f>SUM(E112:K112)</f>
        <v>31862</v>
      </c>
      <c r="M112" s="426">
        <f>SUM(M113:M116)</f>
        <v>2000</v>
      </c>
      <c r="N112" s="426">
        <f>SUM(N113:N115)</f>
        <v>0</v>
      </c>
      <c r="O112" s="426">
        <f>SUM(O113:O115)</f>
        <v>0</v>
      </c>
      <c r="P112" s="426">
        <f>SUM(P113:P115)</f>
        <v>0</v>
      </c>
      <c r="Q112" s="38">
        <f t="shared" si="30"/>
        <v>33862</v>
      </c>
      <c r="R112" s="404">
        <f>R113</f>
        <v>2</v>
      </c>
    </row>
    <row r="113" spans="1:18" ht="12" customHeight="1">
      <c r="A113" s="45"/>
      <c r="B113" s="46" t="s">
        <v>18</v>
      </c>
      <c r="C113" s="82" t="s">
        <v>146</v>
      </c>
      <c r="D113" s="71" t="s">
        <v>372</v>
      </c>
      <c r="E113" s="405">
        <f>4980+600</f>
        <v>5580</v>
      </c>
      <c r="F113" s="405">
        <f>1345+162</f>
        <v>1507</v>
      </c>
      <c r="G113" s="48">
        <v>18875</v>
      </c>
      <c r="H113" s="48"/>
      <c r="I113" s="405">
        <v>0</v>
      </c>
      <c r="J113" s="405">
        <v>0</v>
      </c>
      <c r="K113" s="405"/>
      <c r="L113" s="426">
        <f>SUM(E113:K113)</f>
        <v>25962</v>
      </c>
      <c r="M113" s="405">
        <v>0</v>
      </c>
      <c r="N113" s="405"/>
      <c r="O113" s="405"/>
      <c r="P113" s="405"/>
      <c r="Q113" s="38">
        <f t="shared" si="30"/>
        <v>25962</v>
      </c>
      <c r="R113" s="407">
        <v>2</v>
      </c>
    </row>
    <row r="114" spans="1:18" ht="21.75" customHeight="1">
      <c r="A114" s="45"/>
      <c r="B114" s="46" t="s">
        <v>19</v>
      </c>
      <c r="C114" s="82" t="s">
        <v>145</v>
      </c>
      <c r="D114" s="71" t="s">
        <v>123</v>
      </c>
      <c r="E114" s="405"/>
      <c r="F114" s="405"/>
      <c r="G114" s="48"/>
      <c r="H114" s="48"/>
      <c r="I114" s="405">
        <v>500</v>
      </c>
      <c r="J114" s="405">
        <v>0</v>
      </c>
      <c r="K114" s="405"/>
      <c r="L114" s="426">
        <f t="shared" si="28"/>
        <v>500</v>
      </c>
      <c r="M114" s="405"/>
      <c r="N114" s="405"/>
      <c r="O114" s="48"/>
      <c r="P114" s="48"/>
      <c r="Q114" s="38">
        <f t="shared" si="30"/>
        <v>500</v>
      </c>
      <c r="R114" s="407"/>
    </row>
    <row r="115" spans="1:18" ht="22.5" customHeight="1">
      <c r="A115" s="45"/>
      <c r="B115" s="46" t="s">
        <v>20</v>
      </c>
      <c r="C115" s="82" t="s">
        <v>145</v>
      </c>
      <c r="D115" s="71" t="s">
        <v>378</v>
      </c>
      <c r="E115" s="405"/>
      <c r="F115" s="405"/>
      <c r="G115" s="48"/>
      <c r="H115" s="48"/>
      <c r="I115" s="405">
        <v>5400</v>
      </c>
      <c r="J115" s="405"/>
      <c r="K115" s="405"/>
      <c r="L115" s="403">
        <f>I115</f>
        <v>5400</v>
      </c>
      <c r="M115" s="405"/>
      <c r="N115" s="405"/>
      <c r="O115" s="48"/>
      <c r="P115" s="48"/>
      <c r="Q115" s="406">
        <f t="shared" si="30"/>
        <v>5400</v>
      </c>
      <c r="R115" s="146"/>
    </row>
    <row r="116" spans="1:18" ht="10.5" customHeight="1" thickBot="1">
      <c r="A116" s="43"/>
      <c r="B116" s="44" t="s">
        <v>21</v>
      </c>
      <c r="C116" s="84" t="s">
        <v>145</v>
      </c>
      <c r="D116" s="97" t="s">
        <v>377</v>
      </c>
      <c r="E116" s="423"/>
      <c r="F116" s="423"/>
      <c r="G116" s="422"/>
      <c r="H116" s="422"/>
      <c r="I116" s="423"/>
      <c r="J116" s="423"/>
      <c r="K116" s="423"/>
      <c r="L116" s="424">
        <v>0</v>
      </c>
      <c r="M116" s="423">
        <v>2000</v>
      </c>
      <c r="N116" s="423"/>
      <c r="O116" s="422"/>
      <c r="P116" s="422"/>
      <c r="Q116" s="425">
        <f>M116</f>
        <v>2000</v>
      </c>
      <c r="R116" s="151"/>
    </row>
    <row r="117" spans="1:18" ht="11.25" customHeight="1" thickBot="1">
      <c r="A117" s="39" t="s">
        <v>136</v>
      </c>
      <c r="B117" s="52" t="s">
        <v>18</v>
      </c>
      <c r="C117" s="83" t="s">
        <v>146</v>
      </c>
      <c r="D117" s="517" t="s">
        <v>171</v>
      </c>
      <c r="E117" s="515"/>
      <c r="F117" s="515"/>
      <c r="G117" s="516"/>
      <c r="H117" s="516"/>
      <c r="I117" s="515">
        <v>650</v>
      </c>
      <c r="J117" s="515">
        <v>0</v>
      </c>
      <c r="K117" s="515"/>
      <c r="L117" s="415">
        <f aca="true" t="shared" si="32" ref="L117:L124">SUM(E117:K117)</f>
        <v>650</v>
      </c>
      <c r="M117" s="515"/>
      <c r="N117" s="515"/>
      <c r="O117" s="516"/>
      <c r="P117" s="516"/>
      <c r="Q117" s="41">
        <f aca="true" t="shared" si="33" ref="Q117:Q123">SUM(L117:P117)</f>
        <v>650</v>
      </c>
      <c r="R117" s="439"/>
    </row>
    <row r="118" spans="1:18" s="53" customFormat="1" ht="12.75" customHeight="1" thickBot="1">
      <c r="A118" s="58" t="s">
        <v>162</v>
      </c>
      <c r="B118" s="105" t="s">
        <v>18</v>
      </c>
      <c r="C118" s="91" t="s">
        <v>145</v>
      </c>
      <c r="D118" s="42" t="s">
        <v>1</v>
      </c>
      <c r="E118" s="416">
        <f>66050</f>
        <v>66050</v>
      </c>
      <c r="F118" s="416">
        <f>8920</f>
        <v>8920</v>
      </c>
      <c r="G118" s="416">
        <f>6300+15000+3700+351+1226</f>
        <v>26577</v>
      </c>
      <c r="H118" s="416"/>
      <c r="I118" s="416"/>
      <c r="J118" s="416"/>
      <c r="K118" s="416"/>
      <c r="L118" s="416">
        <f t="shared" si="32"/>
        <v>101547</v>
      </c>
      <c r="M118" s="416">
        <f>'6.mell'!D11</f>
        <v>5000</v>
      </c>
      <c r="N118" s="416"/>
      <c r="O118" s="416"/>
      <c r="P118" s="416"/>
      <c r="Q118" s="42">
        <f t="shared" si="33"/>
        <v>106547</v>
      </c>
      <c r="R118" s="417">
        <f>15+15+10+60</f>
        <v>100</v>
      </c>
    </row>
    <row r="119" spans="1:18" s="53" customFormat="1" ht="12.75" customHeight="1">
      <c r="A119" s="32" t="s">
        <v>137</v>
      </c>
      <c r="B119" s="103"/>
      <c r="C119" s="120"/>
      <c r="D119" s="34" t="s">
        <v>106</v>
      </c>
      <c r="E119" s="421">
        <f>SUM(E120:E125)</f>
        <v>679</v>
      </c>
      <c r="F119" s="421">
        <f aca="true" t="shared" si="34" ref="F119:K119">SUM(F120:F125)</f>
        <v>368</v>
      </c>
      <c r="G119" s="421">
        <f>SUM(G120:G125)</f>
        <v>34841</v>
      </c>
      <c r="H119" s="421">
        <f t="shared" si="34"/>
        <v>0</v>
      </c>
      <c r="I119" s="421">
        <f t="shared" si="34"/>
        <v>1750</v>
      </c>
      <c r="J119" s="421">
        <f t="shared" si="34"/>
        <v>0</v>
      </c>
      <c r="K119" s="421">
        <f t="shared" si="34"/>
        <v>0</v>
      </c>
      <c r="L119" s="421">
        <f t="shared" si="32"/>
        <v>37638</v>
      </c>
      <c r="M119" s="421">
        <f>SUM(M120:M125)</f>
        <v>6000</v>
      </c>
      <c r="N119" s="421">
        <f>SUM(N120:N124)</f>
        <v>0</v>
      </c>
      <c r="O119" s="421">
        <f>SUM(O120:O124)</f>
        <v>0</v>
      </c>
      <c r="P119" s="421">
        <f>SUM(P120:P124)</f>
        <v>0</v>
      </c>
      <c r="Q119" s="34">
        <f t="shared" si="33"/>
        <v>43638</v>
      </c>
      <c r="R119" s="429"/>
    </row>
    <row r="120" spans="1:18" ht="10.5" customHeight="1">
      <c r="A120" s="35"/>
      <c r="B120" s="67" t="s">
        <v>18</v>
      </c>
      <c r="C120" s="90" t="s">
        <v>146</v>
      </c>
      <c r="D120" s="48" t="s">
        <v>107</v>
      </c>
      <c r="E120" s="401">
        <v>400</v>
      </c>
      <c r="F120" s="401">
        <v>204</v>
      </c>
      <c r="G120" s="402">
        <f>15000-2903</f>
        <v>12097</v>
      </c>
      <c r="H120" s="402"/>
      <c r="I120" s="402"/>
      <c r="J120" s="401">
        <v>0</v>
      </c>
      <c r="K120" s="401"/>
      <c r="L120" s="403">
        <f t="shared" si="32"/>
        <v>12701</v>
      </c>
      <c r="M120" s="402"/>
      <c r="N120" s="402"/>
      <c r="O120" s="402"/>
      <c r="P120" s="402"/>
      <c r="Q120" s="406">
        <f t="shared" si="33"/>
        <v>12701</v>
      </c>
      <c r="R120" s="143"/>
    </row>
    <row r="121" spans="1:18" ht="10.5" customHeight="1">
      <c r="A121" s="45"/>
      <c r="B121" s="65" t="s">
        <v>19</v>
      </c>
      <c r="C121" s="82" t="s">
        <v>146</v>
      </c>
      <c r="D121" s="47" t="s">
        <v>181</v>
      </c>
      <c r="E121" s="405">
        <v>200</v>
      </c>
      <c r="F121" s="405">
        <v>99</v>
      </c>
      <c r="G121" s="48">
        <f>10000+1225+2000</f>
        <v>13225</v>
      </c>
      <c r="H121" s="48"/>
      <c r="I121" s="48"/>
      <c r="J121" s="405">
        <v>0</v>
      </c>
      <c r="K121" s="405">
        <f>100-100</f>
        <v>0</v>
      </c>
      <c r="L121" s="403">
        <f t="shared" si="32"/>
        <v>13524</v>
      </c>
      <c r="M121" s="48"/>
      <c r="N121" s="48"/>
      <c r="O121" s="48"/>
      <c r="P121" s="48"/>
      <c r="Q121" s="406">
        <f t="shared" si="33"/>
        <v>13524</v>
      </c>
      <c r="R121" s="146"/>
    </row>
    <row r="122" spans="1:18" ht="10.5" customHeight="1">
      <c r="A122" s="35"/>
      <c r="B122" s="67" t="s">
        <v>20</v>
      </c>
      <c r="C122" s="90" t="s">
        <v>146</v>
      </c>
      <c r="D122" s="37" t="s">
        <v>182</v>
      </c>
      <c r="E122" s="401"/>
      <c r="F122" s="401"/>
      <c r="G122" s="402">
        <v>2000</v>
      </c>
      <c r="H122" s="402"/>
      <c r="I122" s="402"/>
      <c r="J122" s="401"/>
      <c r="K122" s="401"/>
      <c r="L122" s="403">
        <f t="shared" si="32"/>
        <v>2000</v>
      </c>
      <c r="M122" s="402"/>
      <c r="N122" s="402"/>
      <c r="O122" s="402"/>
      <c r="P122" s="402"/>
      <c r="Q122" s="406">
        <f t="shared" si="33"/>
        <v>2000</v>
      </c>
      <c r="R122" s="143"/>
    </row>
    <row r="123" spans="1:18" ht="10.5" customHeight="1">
      <c r="A123" s="35"/>
      <c r="B123" s="67" t="s">
        <v>21</v>
      </c>
      <c r="C123" s="90" t="s">
        <v>146</v>
      </c>
      <c r="D123" s="37" t="s">
        <v>188</v>
      </c>
      <c r="E123" s="401"/>
      <c r="F123" s="401"/>
      <c r="G123" s="402">
        <v>0</v>
      </c>
      <c r="H123" s="402"/>
      <c r="I123" s="402">
        <f>800+250</f>
        <v>1050</v>
      </c>
      <c r="J123" s="401">
        <v>0</v>
      </c>
      <c r="K123" s="401"/>
      <c r="L123" s="403">
        <f t="shared" si="32"/>
        <v>1050</v>
      </c>
      <c r="M123" s="402"/>
      <c r="N123" s="402"/>
      <c r="O123" s="402"/>
      <c r="P123" s="402"/>
      <c r="Q123" s="406">
        <f t="shared" si="33"/>
        <v>1050</v>
      </c>
      <c r="R123" s="143"/>
    </row>
    <row r="124" spans="1:18" ht="10.5" customHeight="1">
      <c r="A124" s="49"/>
      <c r="B124" s="99" t="s">
        <v>22</v>
      </c>
      <c r="C124" s="81" t="s">
        <v>146</v>
      </c>
      <c r="D124" s="59" t="s">
        <v>170</v>
      </c>
      <c r="E124" s="408"/>
      <c r="F124" s="408"/>
      <c r="G124" s="51"/>
      <c r="H124" s="51"/>
      <c r="I124" s="51">
        <f>500+200</f>
        <v>700</v>
      </c>
      <c r="J124" s="408">
        <v>0</v>
      </c>
      <c r="K124" s="408"/>
      <c r="L124" s="413">
        <f t="shared" si="32"/>
        <v>700</v>
      </c>
      <c r="M124" s="51"/>
      <c r="N124" s="51"/>
      <c r="O124" s="51"/>
      <c r="P124" s="51"/>
      <c r="Q124" s="414">
        <f>SUM(L124:P124)</f>
        <v>700</v>
      </c>
      <c r="R124" s="152"/>
    </row>
    <row r="125" spans="1:18" ht="20.25" customHeight="1" thickBot="1">
      <c r="A125" s="43"/>
      <c r="B125" s="684" t="s">
        <v>23</v>
      </c>
      <c r="C125" s="84" t="s">
        <v>146</v>
      </c>
      <c r="D125" s="97" t="s">
        <v>317</v>
      </c>
      <c r="E125" s="423">
        <v>79</v>
      </c>
      <c r="F125" s="423">
        <v>65</v>
      </c>
      <c r="G125" s="422">
        <v>7519</v>
      </c>
      <c r="H125" s="422"/>
      <c r="I125" s="422"/>
      <c r="J125" s="423"/>
      <c r="K125" s="423"/>
      <c r="L125" s="424">
        <f>SUM(E125:K125)</f>
        <v>7663</v>
      </c>
      <c r="M125" s="422">
        <f>'6.mell'!D43</f>
        <v>6000</v>
      </c>
      <c r="N125" s="422"/>
      <c r="O125" s="422"/>
      <c r="P125" s="422"/>
      <c r="Q125" s="425">
        <f>SUM(L125:P125)</f>
        <v>13663</v>
      </c>
      <c r="R125" s="151"/>
    </row>
    <row r="126" spans="1:18" s="53" customFormat="1" ht="12.75" customHeight="1">
      <c r="A126" s="32" t="s">
        <v>138</v>
      </c>
      <c r="B126" s="103"/>
      <c r="C126" s="120"/>
      <c r="D126" s="34" t="s">
        <v>108</v>
      </c>
      <c r="E126" s="421">
        <f>E127</f>
        <v>0</v>
      </c>
      <c r="F126" s="421">
        <f aca="true" t="shared" si="35" ref="F126:K126">F127</f>
        <v>0</v>
      </c>
      <c r="G126" s="421">
        <f>G127+G128</f>
        <v>61900</v>
      </c>
      <c r="H126" s="421">
        <f t="shared" si="35"/>
        <v>0</v>
      </c>
      <c r="I126" s="421">
        <f t="shared" si="35"/>
        <v>0</v>
      </c>
      <c r="J126" s="421">
        <f t="shared" si="35"/>
        <v>0</v>
      </c>
      <c r="K126" s="421">
        <f t="shared" si="35"/>
        <v>0</v>
      </c>
      <c r="L126" s="421">
        <f aca="true" t="shared" si="36" ref="L126:L143">SUM(E126:K126)</f>
        <v>61900</v>
      </c>
      <c r="M126" s="421">
        <f>M127+M128</f>
        <v>5800</v>
      </c>
      <c r="N126" s="421">
        <f>N127</f>
        <v>0</v>
      </c>
      <c r="O126" s="421">
        <f>O127</f>
        <v>0</v>
      </c>
      <c r="P126" s="421">
        <f>P127</f>
        <v>0</v>
      </c>
      <c r="Q126" s="34">
        <f>SUM(L126:P126)</f>
        <v>67700</v>
      </c>
      <c r="R126" s="429"/>
    </row>
    <row r="127" spans="1:18" ht="15.75" customHeight="1">
      <c r="A127" s="45"/>
      <c r="B127" s="912" t="s">
        <v>18</v>
      </c>
      <c r="C127" s="82" t="s">
        <v>146</v>
      </c>
      <c r="D127" s="942" t="s">
        <v>452</v>
      </c>
      <c r="E127" s="405"/>
      <c r="F127" s="405"/>
      <c r="G127" s="48">
        <f>34000+4000+140+3760+15000+5000-20000</f>
        <v>41900</v>
      </c>
      <c r="H127" s="48"/>
      <c r="I127" s="405"/>
      <c r="J127" s="405">
        <v>0</v>
      </c>
      <c r="K127" s="405"/>
      <c r="L127" s="403">
        <f t="shared" si="36"/>
        <v>41900</v>
      </c>
      <c r="M127" s="405">
        <f>'6.mell'!D60+'6.mell'!D45</f>
        <v>4800</v>
      </c>
      <c r="N127" s="405"/>
      <c r="O127" s="405"/>
      <c r="P127" s="405"/>
      <c r="Q127" s="406">
        <f>SUM(L127:P127)</f>
        <v>46700</v>
      </c>
      <c r="R127" s="407"/>
    </row>
    <row r="128" spans="1:18" ht="17.25" customHeight="1" thickBot="1">
      <c r="A128" s="43"/>
      <c r="B128" s="929"/>
      <c r="C128" s="84" t="s">
        <v>145</v>
      </c>
      <c r="D128" s="943"/>
      <c r="E128" s="423"/>
      <c r="F128" s="423"/>
      <c r="G128" s="422">
        <v>20000</v>
      </c>
      <c r="H128" s="422"/>
      <c r="I128" s="423"/>
      <c r="J128" s="423"/>
      <c r="K128" s="423"/>
      <c r="L128" s="424">
        <f>SUM(G128:K128)</f>
        <v>20000</v>
      </c>
      <c r="M128" s="423">
        <f>'6.mell'!D42</f>
        <v>1000</v>
      </c>
      <c r="N128" s="423"/>
      <c r="O128" s="423"/>
      <c r="P128" s="423"/>
      <c r="Q128" s="425">
        <f>SUM(L128:P128)</f>
        <v>21000</v>
      </c>
      <c r="R128" s="430"/>
    </row>
    <row r="129" spans="1:18" ht="12" customHeight="1">
      <c r="A129" s="39" t="s">
        <v>139</v>
      </c>
      <c r="B129" s="52"/>
      <c r="C129" s="83"/>
      <c r="D129" s="585" t="s">
        <v>183</v>
      </c>
      <c r="E129" s="415">
        <f>E130+E131+E132+E133+E134+E135</f>
        <v>0</v>
      </c>
      <c r="F129" s="415">
        <f aca="true" t="shared" si="37" ref="F129:K129">F130+F131+F132+F133+F134+F135</f>
        <v>0</v>
      </c>
      <c r="G129" s="415">
        <f t="shared" si="37"/>
        <v>0</v>
      </c>
      <c r="H129" s="415">
        <f t="shared" si="37"/>
        <v>0</v>
      </c>
      <c r="I129" s="415">
        <f t="shared" si="37"/>
        <v>39200</v>
      </c>
      <c r="J129" s="415">
        <f t="shared" si="37"/>
        <v>0</v>
      </c>
      <c r="K129" s="415">
        <f t="shared" si="37"/>
        <v>0</v>
      </c>
      <c r="L129" s="415">
        <f t="shared" si="36"/>
        <v>39200</v>
      </c>
      <c r="M129" s="415">
        <f>SUM(M130:M135)</f>
        <v>0</v>
      </c>
      <c r="N129" s="415">
        <f>SUM(N130:N135)</f>
        <v>27231</v>
      </c>
      <c r="O129" s="415">
        <f>SUM(O130:O135)</f>
        <v>0</v>
      </c>
      <c r="P129" s="415">
        <f>SUM(P130:P135)</f>
        <v>0</v>
      </c>
      <c r="Q129" s="41">
        <f aca="true" t="shared" si="38" ref="Q129:Q134">SUM(L129:P129)</f>
        <v>66431</v>
      </c>
      <c r="R129" s="148"/>
    </row>
    <row r="130" spans="1:18" ht="12" customHeight="1">
      <c r="A130" s="45"/>
      <c r="B130" s="46" t="s">
        <v>18</v>
      </c>
      <c r="C130" s="82" t="s">
        <v>146</v>
      </c>
      <c r="D130" s="47" t="s">
        <v>184</v>
      </c>
      <c r="E130" s="405"/>
      <c r="F130" s="405"/>
      <c r="G130" s="48"/>
      <c r="H130" s="48"/>
      <c r="I130" s="405">
        <f>530+530</f>
        <v>1060</v>
      </c>
      <c r="J130" s="405"/>
      <c r="K130" s="405"/>
      <c r="L130" s="403">
        <f t="shared" si="36"/>
        <v>1060</v>
      </c>
      <c r="M130" s="405"/>
      <c r="N130" s="405">
        <f>'6.mell'!D74</f>
        <v>22231</v>
      </c>
      <c r="O130" s="405"/>
      <c r="P130" s="405"/>
      <c r="Q130" s="406">
        <f t="shared" si="38"/>
        <v>23291</v>
      </c>
      <c r="R130" s="407"/>
    </row>
    <row r="131" spans="1:18" ht="12" customHeight="1">
      <c r="A131" s="45"/>
      <c r="B131" s="46" t="s">
        <v>19</v>
      </c>
      <c r="C131" s="82" t="s">
        <v>146</v>
      </c>
      <c r="D131" s="47" t="s">
        <v>185</v>
      </c>
      <c r="E131" s="405"/>
      <c r="F131" s="405"/>
      <c r="G131" s="48"/>
      <c r="H131" s="48"/>
      <c r="I131" s="405">
        <f>530</f>
        <v>530</v>
      </c>
      <c r="J131" s="405"/>
      <c r="K131" s="405"/>
      <c r="L131" s="403">
        <f t="shared" si="36"/>
        <v>530</v>
      </c>
      <c r="M131" s="405"/>
      <c r="N131" s="405"/>
      <c r="O131" s="405"/>
      <c r="P131" s="405"/>
      <c r="Q131" s="406">
        <f t="shared" si="38"/>
        <v>530</v>
      </c>
      <c r="R131" s="407"/>
    </row>
    <row r="132" spans="1:18" ht="12" customHeight="1">
      <c r="A132" s="39"/>
      <c r="B132" s="52" t="s">
        <v>20</v>
      </c>
      <c r="C132" s="83" t="s">
        <v>146</v>
      </c>
      <c r="D132" s="40" t="s">
        <v>186</v>
      </c>
      <c r="E132" s="515"/>
      <c r="F132" s="515"/>
      <c r="G132" s="516"/>
      <c r="H132" s="516"/>
      <c r="I132" s="515">
        <f>400</f>
        <v>400</v>
      </c>
      <c r="J132" s="515"/>
      <c r="K132" s="515"/>
      <c r="L132" s="415">
        <f t="shared" si="36"/>
        <v>400</v>
      </c>
      <c r="M132" s="515"/>
      <c r="N132" s="515">
        <f>'6.mell'!D70</f>
        <v>5000</v>
      </c>
      <c r="O132" s="515"/>
      <c r="P132" s="515"/>
      <c r="Q132" s="41">
        <f t="shared" si="38"/>
        <v>5400</v>
      </c>
      <c r="R132" s="439"/>
    </row>
    <row r="133" spans="1:18" ht="12" customHeight="1">
      <c r="A133" s="45"/>
      <c r="B133" s="46" t="s">
        <v>21</v>
      </c>
      <c r="C133" s="82" t="s">
        <v>146</v>
      </c>
      <c r="D133" s="47" t="s">
        <v>203</v>
      </c>
      <c r="E133" s="405"/>
      <c r="F133" s="405"/>
      <c r="G133" s="48"/>
      <c r="H133" s="48"/>
      <c r="I133" s="405">
        <f>690</f>
        <v>690</v>
      </c>
      <c r="J133" s="405"/>
      <c r="K133" s="405"/>
      <c r="L133" s="403">
        <f>I133</f>
        <v>690</v>
      </c>
      <c r="M133" s="405"/>
      <c r="N133" s="405"/>
      <c r="O133" s="405"/>
      <c r="P133" s="405"/>
      <c r="Q133" s="406">
        <f t="shared" si="38"/>
        <v>690</v>
      </c>
      <c r="R133" s="407"/>
    </row>
    <row r="134" spans="1:18" ht="12" customHeight="1">
      <c r="A134" s="39"/>
      <c r="B134" s="52" t="s">
        <v>22</v>
      </c>
      <c r="C134" s="83" t="s">
        <v>146</v>
      </c>
      <c r="D134" s="40" t="s">
        <v>204</v>
      </c>
      <c r="E134" s="515"/>
      <c r="F134" s="515"/>
      <c r="G134" s="516"/>
      <c r="H134" s="516"/>
      <c r="I134" s="515">
        <f>1130</f>
        <v>1130</v>
      </c>
      <c r="J134" s="515"/>
      <c r="K134" s="515"/>
      <c r="L134" s="415">
        <f>I134</f>
        <v>1130</v>
      </c>
      <c r="M134" s="515"/>
      <c r="N134" s="515"/>
      <c r="O134" s="515"/>
      <c r="P134" s="515"/>
      <c r="Q134" s="41">
        <f t="shared" si="38"/>
        <v>1130</v>
      </c>
      <c r="R134" s="439"/>
    </row>
    <row r="135" spans="1:18" ht="12" customHeight="1" thickBot="1">
      <c r="A135" s="43"/>
      <c r="B135" s="44" t="s">
        <v>23</v>
      </c>
      <c r="C135" s="84" t="s">
        <v>145</v>
      </c>
      <c r="D135" s="489" t="s">
        <v>389</v>
      </c>
      <c r="E135" s="423"/>
      <c r="F135" s="423"/>
      <c r="G135" s="422"/>
      <c r="H135" s="422"/>
      <c r="I135" s="423">
        <f>24400+10990</f>
        <v>35390</v>
      </c>
      <c r="J135" s="423"/>
      <c r="K135" s="423"/>
      <c r="L135" s="424">
        <f>SUM(E135:K135)</f>
        <v>35390</v>
      </c>
      <c r="M135" s="423">
        <f>18821-18821</f>
        <v>0</v>
      </c>
      <c r="N135" s="423"/>
      <c r="O135" s="423"/>
      <c r="P135" s="423"/>
      <c r="Q135" s="425">
        <f>SUM(L135:P135)</f>
        <v>35390</v>
      </c>
      <c r="R135" s="430"/>
    </row>
    <row r="136" spans="1:18" ht="12.75" customHeight="1" thickBot="1">
      <c r="A136" s="58" t="s">
        <v>140</v>
      </c>
      <c r="B136" s="106" t="s">
        <v>18</v>
      </c>
      <c r="C136" s="87" t="s">
        <v>146</v>
      </c>
      <c r="D136" s="546" t="s">
        <v>109</v>
      </c>
      <c r="E136" s="416"/>
      <c r="F136" s="416"/>
      <c r="G136" s="416">
        <f>125+4156</f>
        <v>4281</v>
      </c>
      <c r="H136" s="416"/>
      <c r="I136" s="416"/>
      <c r="J136" s="416">
        <v>0</v>
      </c>
      <c r="K136" s="416"/>
      <c r="L136" s="416">
        <f t="shared" si="36"/>
        <v>4281</v>
      </c>
      <c r="M136" s="416">
        <v>0</v>
      </c>
      <c r="N136" s="416"/>
      <c r="O136" s="416"/>
      <c r="P136" s="416"/>
      <c r="Q136" s="42">
        <f>SUM(L136:P136)</f>
        <v>4281</v>
      </c>
      <c r="R136" s="429"/>
    </row>
    <row r="137" spans="1:18" s="53" customFormat="1" ht="12" customHeight="1" thickBot="1">
      <c r="A137" s="58" t="s">
        <v>141</v>
      </c>
      <c r="B137" s="105" t="s">
        <v>18</v>
      </c>
      <c r="C137" s="91" t="s">
        <v>145</v>
      </c>
      <c r="D137" s="546" t="s">
        <v>110</v>
      </c>
      <c r="E137" s="416"/>
      <c r="F137" s="416"/>
      <c r="G137" s="416">
        <f>1900+500</f>
        <v>2400</v>
      </c>
      <c r="H137" s="416"/>
      <c r="I137" s="416"/>
      <c r="J137" s="416">
        <v>0</v>
      </c>
      <c r="K137" s="416"/>
      <c r="L137" s="416">
        <f t="shared" si="36"/>
        <v>2400</v>
      </c>
      <c r="M137" s="416">
        <v>0</v>
      </c>
      <c r="N137" s="416"/>
      <c r="O137" s="416"/>
      <c r="P137" s="416"/>
      <c r="Q137" s="42">
        <f>SUM(L137:P137)</f>
        <v>2400</v>
      </c>
      <c r="R137" s="412"/>
    </row>
    <row r="138" spans="1:18" s="53" customFormat="1" ht="12" customHeight="1">
      <c r="A138" s="32" t="s">
        <v>142</v>
      </c>
      <c r="B138" s="938" t="s">
        <v>18</v>
      </c>
      <c r="C138" s="120" t="s">
        <v>146</v>
      </c>
      <c r="D138" s="949" t="s">
        <v>408</v>
      </c>
      <c r="E138" s="421"/>
      <c r="F138" s="421"/>
      <c r="G138" s="421">
        <v>0</v>
      </c>
      <c r="H138" s="421"/>
      <c r="I138" s="421">
        <f>100+100+200+300+400+20+50+200+100+100</f>
        <v>1570</v>
      </c>
      <c r="J138" s="421">
        <v>0</v>
      </c>
      <c r="K138" s="421"/>
      <c r="L138" s="421">
        <f>SUM(E138:K138)</f>
        <v>1570</v>
      </c>
      <c r="M138" s="421"/>
      <c r="N138" s="421"/>
      <c r="O138" s="421"/>
      <c r="P138" s="421"/>
      <c r="Q138" s="34">
        <f>L138</f>
        <v>1570</v>
      </c>
      <c r="R138" s="429"/>
    </row>
    <row r="139" spans="1:18" s="53" customFormat="1" ht="12" customHeight="1" thickBot="1">
      <c r="A139" s="43"/>
      <c r="B139" s="939"/>
      <c r="C139" s="84" t="s">
        <v>145</v>
      </c>
      <c r="D139" s="950"/>
      <c r="E139" s="424"/>
      <c r="F139" s="424"/>
      <c r="G139" s="424"/>
      <c r="H139" s="424"/>
      <c r="I139" s="424"/>
      <c r="J139" s="424">
        <f>50+330</f>
        <v>380</v>
      </c>
      <c r="K139" s="424"/>
      <c r="L139" s="424">
        <f>SUM(E139:K139)</f>
        <v>380</v>
      </c>
      <c r="M139" s="424"/>
      <c r="N139" s="424"/>
      <c r="O139" s="424"/>
      <c r="P139" s="424"/>
      <c r="Q139" s="425">
        <f>L139</f>
        <v>380</v>
      </c>
      <c r="R139" s="430"/>
    </row>
    <row r="140" spans="1:18" s="53" customFormat="1" ht="12" customHeight="1" thickBot="1">
      <c r="A140" s="915" t="s">
        <v>398</v>
      </c>
      <c r="B140" s="916"/>
      <c r="C140" s="916"/>
      <c r="D140" s="916"/>
      <c r="E140" s="416">
        <f>E39+E40+E41+E42+E60+E63+E64+E79+E80+E85+E88+E92+E93+E94+E95+E100+E101+E107+E108+E112+E117+E118+E119+E126+E129+E136+E137+E138+E139</f>
        <v>110123</v>
      </c>
      <c r="F140" s="416">
        <f aca="true" t="shared" si="39" ref="F140:K140">F39+F40+F41+F42+F60+F63+F64+F79+F80+F85+F88+F92+F93+F94+F95+F100+F101+F107+F108+F112+F117+F118+F119+F126+F129+F136+F137+F138+F139</f>
        <v>22297</v>
      </c>
      <c r="G140" s="416">
        <f t="shared" si="39"/>
        <v>691687</v>
      </c>
      <c r="H140" s="416">
        <f t="shared" si="39"/>
        <v>7600</v>
      </c>
      <c r="I140" s="416">
        <f t="shared" si="39"/>
        <v>185886</v>
      </c>
      <c r="J140" s="416">
        <f>J39+J40+J41+J42+J60+J63+J64+J79+J80+J85+J88+J92+J93+J94+J95+J100+J101+J107+J108+J112+J117+J118+J119+J126+J129+J136+J137+J138+J139</f>
        <v>28034</v>
      </c>
      <c r="K140" s="416">
        <f t="shared" si="39"/>
        <v>333070</v>
      </c>
      <c r="L140" s="416">
        <f>SUM(E140:K140)</f>
        <v>1378697</v>
      </c>
      <c r="M140" s="416">
        <f>M39+M40+M41+M42+M60+M63+M64+M79+M80+M85+M88+M92+M93+M94+M95+M100+M101+M107+M108+M112+M117+M118+M119+M126+M129+M136+M137+M138</f>
        <v>1095825</v>
      </c>
      <c r="N140" s="416">
        <f>N39+N40+N41+N42+N60+N63+N64+N79+N80+N85+N88+N92+N93+N94+N95+N100+N101+N107+N108+N112+N117+N118+N119+N126+N129+N136+N137+N138</f>
        <v>41498</v>
      </c>
      <c r="O140" s="416">
        <f>O39+O40+O41+O42+O60+O63+O64+O79+O80+O85+O88+O92+O93+O94+O95+O100+O101+O107+O108+O112+O117+O118+O119+O126+O129+O136+O137+O138</f>
        <v>6923</v>
      </c>
      <c r="P140" s="416">
        <f>P39+P40+P41+P42+P60+P63+P64+P79+P80+P85+P88+P92+P93+P94+P95+P100+P101+P107+P108+P112+P117+P118+P119+P126+P129+P136+P137+P138</f>
        <v>0</v>
      </c>
      <c r="Q140" s="416">
        <f>SUM(L140:P140)</f>
        <v>2522943</v>
      </c>
      <c r="R140" s="449">
        <f>R39+R40+R41+R42+R60+R63+R64+R79+R80+R85+R88+R92+R93+R94+R95+R100+R101+R107+R108+R112+R118+R119+R126+R136+R137</f>
        <v>105</v>
      </c>
    </row>
    <row r="141" spans="1:18" s="98" customFormat="1" ht="12" customHeight="1">
      <c r="A141" s="935" t="s">
        <v>156</v>
      </c>
      <c r="B141" s="936"/>
      <c r="C141" s="936"/>
      <c r="D141" s="937"/>
      <c r="E141" s="433">
        <f>E39+E40+E41+E43+E47+E49+E52+E55+E58+E59+E61+E62+E63+E66+E68+E69+E72+E74+E76+E82+E86+E89+E90+E91+E92+E99+E100+E105+E106+E107+E110+E114+E115+E137+E77+E118+E111+E135+E56+E116+E104+E46+E128+E139</f>
        <v>76499</v>
      </c>
      <c r="F141" s="433">
        <f aca="true" t="shared" si="40" ref="F141:K141">F39+F40+F41+F43+F47+F49+F52+F55+F58+F59+F61+F62+F63+F66+F68+F69+F72+F74+F76+F82+F86+F89+F90+F91+F92+F99+F100+F105+F106+F107+F110+F114+F115+F137+F77+F118+F111+F135+F56+F116+F104+F46+F128+F139</f>
        <v>11823</v>
      </c>
      <c r="G141" s="433">
        <f t="shared" si="40"/>
        <v>461559</v>
      </c>
      <c r="H141" s="433">
        <f t="shared" si="40"/>
        <v>7600</v>
      </c>
      <c r="I141" s="433">
        <f t="shared" si="40"/>
        <v>177506</v>
      </c>
      <c r="J141" s="433">
        <f t="shared" si="40"/>
        <v>25529</v>
      </c>
      <c r="K141" s="433">
        <f t="shared" si="40"/>
        <v>325000</v>
      </c>
      <c r="L141" s="433">
        <f>SUM(E141:K141)</f>
        <v>1085516</v>
      </c>
      <c r="M141" s="433">
        <f>M39+M40+M41+M43+M47+M49+M52+M55+M58+M59+M61+M62+M63+M66+M68+M69+M72+M74+M76+M82+M86+M89+M90+M91+M92+M99+M100+M105+M106+M107+M110+M114+M115+M137+M77+M118+M111+M135+M56+M116+M104+M46+M128+M139</f>
        <v>975325</v>
      </c>
      <c r="N141" s="433">
        <f>N39+N40+N41+N43+N47+N49+N52+N55+N58+N59+N61+N62+N63+N66+N68+N69+N72+N74+N76+N82+N86+N89+N90+N91+N92+N99+N100+N105+N106+N107+N110+N114+N115+N137+N77+N118+N111+N135+N56+N116+N104+N46+N128+N139</f>
        <v>9754</v>
      </c>
      <c r="O141" s="433">
        <f>O39+O40+O41+O43+O47+O49+O52+O55+O58+O59+O61+O62+O63+O66+O68+O69+O72+O74+O76+O82+O86+O89+O90+O91+O92+O99+O100+O105+O106+O107+O110+O114+O115+O137+O77+O118+O111+O135+O56+O116+O104+O46+O128+O139</f>
        <v>6923</v>
      </c>
      <c r="P141" s="433">
        <f>P39+P40+P41+P43+P47+P49+P52+P55+P58+P59+P61+P62+P63+P66+P68+P69+P72+P74+P76+P82+P86+P89+P90+P91+P92+P99+P100+P105+P106+P107+P110+P114+P115+P137+P77+P118+P111+P135+P56+P116+P104+P46+P128+P139</f>
        <v>0</v>
      </c>
      <c r="Q141" s="433">
        <f>SUM(L141:P141)</f>
        <v>2077518</v>
      </c>
      <c r="R141" s="677">
        <f>R39+R40+R41+R43+R47+R49+R52+R55+R59+R61+R62+R63+R66+R68+R69+R72+R74+R76+R82+R86+R89+R90+R91+R92+R99+R100+R105+R107+R110+R114+R115+R137+R77+R118+R111+R135+R56+R116</f>
        <v>101</v>
      </c>
    </row>
    <row r="142" spans="1:18" s="98" customFormat="1" ht="12" customHeight="1">
      <c r="A142" s="921" t="s">
        <v>173</v>
      </c>
      <c r="B142" s="922"/>
      <c r="C142" s="922"/>
      <c r="D142" s="923"/>
      <c r="E142" s="436">
        <v>0</v>
      </c>
      <c r="F142" s="436">
        <v>0</v>
      </c>
      <c r="G142" s="436">
        <v>0</v>
      </c>
      <c r="H142" s="436">
        <v>0</v>
      </c>
      <c r="I142" s="436">
        <f>+I74</f>
        <v>0</v>
      </c>
      <c r="J142" s="436">
        <f>+J74</f>
        <v>0</v>
      </c>
      <c r="K142" s="436">
        <v>0</v>
      </c>
      <c r="L142" s="436">
        <f t="shared" si="36"/>
        <v>0</v>
      </c>
      <c r="M142" s="436">
        <v>0</v>
      </c>
      <c r="N142" s="436"/>
      <c r="O142" s="436">
        <f>+O707</f>
        <v>0</v>
      </c>
      <c r="P142" s="436">
        <f>+P74</f>
        <v>0</v>
      </c>
      <c r="Q142" s="436">
        <f>SUM(L142:P142)</f>
        <v>0</v>
      </c>
      <c r="R142" s="454">
        <f>+R74</f>
        <v>0</v>
      </c>
    </row>
    <row r="143" spans="1:18" s="98" customFormat="1" ht="12" customHeight="1" thickBot="1">
      <c r="A143" s="946" t="s">
        <v>157</v>
      </c>
      <c r="B143" s="947"/>
      <c r="C143" s="947"/>
      <c r="D143" s="948"/>
      <c r="E143" s="446">
        <f>E45+E50+E53+E54+E57+E67+E71+E73+E75+E79+E81+E83+E84+E87+E93+E94+E96+E97+E98+E102+E103+E113+E117+E119+E127+E129-E135+E136+E138+E109+E44+E70+E78</f>
        <v>33624</v>
      </c>
      <c r="F143" s="446">
        <f aca="true" t="shared" si="41" ref="F143:K143">F45+F50+F53+F54+F57+F67+F71+F73+F75+F79+F81+F83+F84+F87+F93+F94+F96+F97+F98+F102+F103+F113+F117+F119+F127+F129-F135+F136+F138+F109+F44+F70+F78</f>
        <v>10474</v>
      </c>
      <c r="G143" s="446">
        <f>G45+G50+G53+G54+G57+G67+G71+G73+G75+G79+G81+G83+G84+G87+G93+G94+G96+G97+G98+G102+G103+G113+G117+G119+G127+G129-G135+G136+G138+G109+G44+G70+G78</f>
        <v>230128</v>
      </c>
      <c r="H143" s="446">
        <f t="shared" si="41"/>
        <v>0</v>
      </c>
      <c r="I143" s="446">
        <f t="shared" si="41"/>
        <v>8380</v>
      </c>
      <c r="J143" s="446">
        <f t="shared" si="41"/>
        <v>2505</v>
      </c>
      <c r="K143" s="446">
        <f t="shared" si="41"/>
        <v>8070</v>
      </c>
      <c r="L143" s="446">
        <f t="shared" si="36"/>
        <v>293181</v>
      </c>
      <c r="M143" s="446">
        <f>M45+M50+M53+M54+M57+M67+M71+M73+M75+M79+M81+M83+M84+M87+M93+M94+M96+M97+M98+M102+M103+M113+M117+M119+M127+M129-M135+M136+M138+M109+M44+M70+M78</f>
        <v>120500</v>
      </c>
      <c r="N143" s="446">
        <f>N45+N50+N53+N54+N57+N67+N71+N73+N75+N79+N81+N83+N84+N87+N93+N94+N96+N97+N98+N102+N103+N113+N117+N119+N127+N129-N135+N136+N138+N109+N44+N70+N78</f>
        <v>31744</v>
      </c>
      <c r="O143" s="446">
        <f>O45+O50+O53+O54+O57+O67+O71+O73+O75+O79+O81+O83+O84+O87+O93+O94+O96+O97+O98+O102+O103+O113+O117+O119+O127+O129-O135+O136+O138+O109+O44+O70+O78</f>
        <v>0</v>
      </c>
      <c r="P143" s="446">
        <f>P45+P50+P53+P54+P57+P67+P71+P73+P75+P79+P81+P83+P84+P87+P93+P94+P96+P97+P98+P102+P103+P113+P117+P119+P127+P129-P135+P136+P138+P109+P44+P70+P78</f>
        <v>0</v>
      </c>
      <c r="Q143" s="446">
        <f>SUM(L143:P143)</f>
        <v>445425</v>
      </c>
      <c r="R143" s="458">
        <f>R45+R50+R53+R54+R57+R58+R67+R71+R73+R75+R79+R81+R83+R84+R87+R93+R94+R96+R97+R98+R102+R103+R113+R117+R119+R127+R129+R136+R138+R109</f>
        <v>4</v>
      </c>
    </row>
    <row r="144" spans="1:18" s="53" customFormat="1" ht="11.25" customHeight="1">
      <c r="A144" s="910" t="s">
        <v>85</v>
      </c>
      <c r="B144" s="911"/>
      <c r="C144" s="911"/>
      <c r="D144" s="911"/>
      <c r="E144" s="911"/>
      <c r="F144" s="911"/>
      <c r="G144" s="911"/>
      <c r="H144" s="911"/>
      <c r="I144" s="911"/>
      <c r="J144" s="911"/>
      <c r="K144" s="911"/>
      <c r="L144" s="911"/>
      <c r="M144" s="911"/>
      <c r="N144" s="911"/>
      <c r="O144" s="911"/>
      <c r="P144" s="911"/>
      <c r="Q144" s="911"/>
      <c r="R144" s="911"/>
    </row>
    <row r="145" spans="1:18" s="53" customFormat="1" ht="12" customHeight="1">
      <c r="A145" s="49" t="s">
        <v>130</v>
      </c>
      <c r="B145" s="50">
        <v>1</v>
      </c>
      <c r="C145" s="81" t="s">
        <v>145</v>
      </c>
      <c r="D145" s="551" t="s">
        <v>382</v>
      </c>
      <c r="E145" s="413"/>
      <c r="F145" s="413"/>
      <c r="G145" s="408">
        <v>18307</v>
      </c>
      <c r="H145" s="413"/>
      <c r="I145" s="413"/>
      <c r="J145" s="408"/>
      <c r="K145" s="413"/>
      <c r="L145" s="413">
        <f>SUM(E145:K145)</f>
        <v>18307</v>
      </c>
      <c r="M145" s="413"/>
      <c r="N145" s="413"/>
      <c r="O145" s="413">
        <v>0</v>
      </c>
      <c r="P145" s="413"/>
      <c r="Q145" s="414">
        <f>L145+O145+N145</f>
        <v>18307</v>
      </c>
      <c r="R145" s="418">
        <v>0</v>
      </c>
    </row>
    <row r="146" spans="1:18" s="53" customFormat="1" ht="11.25" customHeight="1">
      <c r="A146" s="917" t="s">
        <v>202</v>
      </c>
      <c r="B146" s="50"/>
      <c r="C146" s="81" t="s">
        <v>146</v>
      </c>
      <c r="D146" s="940" t="s">
        <v>490</v>
      </c>
      <c r="E146" s="413"/>
      <c r="F146" s="413"/>
      <c r="G146" s="408">
        <v>2000000</v>
      </c>
      <c r="H146" s="413"/>
      <c r="I146" s="413"/>
      <c r="J146" s="413"/>
      <c r="K146" s="413"/>
      <c r="L146" s="413">
        <f>SUM(E146:K146)</f>
        <v>2000000</v>
      </c>
      <c r="M146" s="413"/>
      <c r="N146" s="413"/>
      <c r="O146" s="413"/>
      <c r="P146" s="413"/>
      <c r="Q146" s="414">
        <f>SUM(L146:P146)</f>
        <v>2000000</v>
      </c>
      <c r="R146" s="418"/>
    </row>
    <row r="147" spans="1:18" s="53" customFormat="1" ht="10.5" customHeight="1" thickBot="1">
      <c r="A147" s="918"/>
      <c r="B147" s="44"/>
      <c r="C147" s="84" t="s">
        <v>145</v>
      </c>
      <c r="D147" s="941"/>
      <c r="E147" s="424"/>
      <c r="F147" s="424"/>
      <c r="G147" s="423">
        <v>3000000</v>
      </c>
      <c r="H147" s="424"/>
      <c r="I147" s="424"/>
      <c r="J147" s="424"/>
      <c r="K147" s="424"/>
      <c r="L147" s="424">
        <f>SUM(E147:K147)</f>
        <v>3000000</v>
      </c>
      <c r="M147" s="424"/>
      <c r="N147" s="424"/>
      <c r="O147" s="424"/>
      <c r="P147" s="424"/>
      <c r="Q147" s="425">
        <f>SUM(L147:P147)</f>
        <v>3000000</v>
      </c>
      <c r="R147" s="430"/>
    </row>
    <row r="148" spans="1:18" ht="23.25" customHeight="1" thickBot="1">
      <c r="A148" s="903" t="s">
        <v>399</v>
      </c>
      <c r="B148" s="904"/>
      <c r="C148" s="904"/>
      <c r="D148" s="905"/>
      <c r="E148" s="416">
        <f>E140+E145+E35</f>
        <v>258765</v>
      </c>
      <c r="F148" s="416">
        <f>F140+F145+F35</f>
        <v>63894</v>
      </c>
      <c r="G148" s="416">
        <f>G140+G35</f>
        <v>737091</v>
      </c>
      <c r="H148" s="416">
        <f>H140+H145+H35</f>
        <v>8300</v>
      </c>
      <c r="I148" s="416">
        <f>I140+I145+I35</f>
        <v>185886</v>
      </c>
      <c r="J148" s="416">
        <f>J140+J145+J35</f>
        <v>57096</v>
      </c>
      <c r="K148" s="416">
        <f>K140+K145+K35</f>
        <v>333070</v>
      </c>
      <c r="L148" s="416">
        <f>SUM(E148:K148)+G147+G146+G145</f>
        <v>6662409</v>
      </c>
      <c r="M148" s="416">
        <f>M140+M145+M35</f>
        <v>1095825</v>
      </c>
      <c r="N148" s="416">
        <f>N140+N145+N35</f>
        <v>41498</v>
      </c>
      <c r="O148" s="416">
        <f>O140+O145+O35</f>
        <v>6923</v>
      </c>
      <c r="P148" s="416">
        <f>P140+P145+P35</f>
        <v>0</v>
      </c>
      <c r="Q148" s="416">
        <f>SUM(L148:P148)</f>
        <v>7806655</v>
      </c>
      <c r="R148" s="417">
        <f>R140+R145+R35</f>
        <v>150</v>
      </c>
    </row>
    <row r="149" spans="1:18" ht="12.75" customHeight="1" thickBot="1">
      <c r="A149" s="906" t="s">
        <v>400</v>
      </c>
      <c r="B149" s="907"/>
      <c r="C149" s="907"/>
      <c r="D149" s="907"/>
      <c r="E149" s="545">
        <f>E16+E148</f>
        <v>601464</v>
      </c>
      <c r="F149" s="545">
        <f aca="true" t="shared" si="42" ref="F149:K149">F16+F148</f>
        <v>161262</v>
      </c>
      <c r="G149" s="545">
        <f t="shared" si="42"/>
        <v>840380</v>
      </c>
      <c r="H149" s="545">
        <f t="shared" si="42"/>
        <v>8480</v>
      </c>
      <c r="I149" s="545">
        <f t="shared" si="42"/>
        <v>185886</v>
      </c>
      <c r="J149" s="545">
        <f t="shared" si="42"/>
        <v>77076</v>
      </c>
      <c r="K149" s="545">
        <f t="shared" si="42"/>
        <v>333070</v>
      </c>
      <c r="L149" s="545">
        <f>SUM(E149:K149)+G147+G146+G145</f>
        <v>7225925</v>
      </c>
      <c r="M149" s="545">
        <f>M16+M148</f>
        <v>1098325</v>
      </c>
      <c r="N149" s="545">
        <f>N16+N148</f>
        <v>41498</v>
      </c>
      <c r="O149" s="545">
        <f>O16+O148</f>
        <v>6923</v>
      </c>
      <c r="P149" s="545">
        <f>P16+P148</f>
        <v>0</v>
      </c>
      <c r="Q149" s="72">
        <f>SUM(L149:P149)</f>
        <v>8372671</v>
      </c>
      <c r="R149" s="417">
        <f>R16+R148</f>
        <v>280.25</v>
      </c>
    </row>
    <row r="150" spans="1:18" s="80" customFormat="1" ht="12.75" customHeight="1">
      <c r="A150" s="944" t="s">
        <v>156</v>
      </c>
      <c r="B150" s="945"/>
      <c r="C150" s="945"/>
      <c r="D150" s="945"/>
      <c r="E150" s="618">
        <f>E9+E11+E15+E22+E24+E26+E28+E30+E31+E33+E34+E39+E40+E41+E43+E47+E49+E52+E55+E58+E59+E61+E62+E63+E66+E68+E69+E72+E74+E76+E82+E86+E89+E90+E91+E92+E99+E100+E105+E106+E107+E114+E115+E137+E77+E110+E118+E111+E135+E56+E116+E104+E46+E128+E139</f>
        <v>424989</v>
      </c>
      <c r="F150" s="618">
        <f>F9+F11+F15+F22+F24+F26+F28+F30+F31+F33+F34+F39+F40+F41+F43+F47+F49+F52+F55+F58+F59+F61+F62+F63+F66+F68+F69+F72+F74+F76+F82+F86+F89+F90+F91+F92+F99+F100+F105+F106+F107+F114+F115+F137+F77+F110+F118+F111+F135+F56+F116+F104+F46+F128+F139</f>
        <v>111095</v>
      </c>
      <c r="G150" s="618">
        <f>G9+G11+G15+G22+G24+G26+G28+G30+G31+G33+G34+G39+G40+G41+G43+G47+G49+G52+G55+G58+G59+G61+G62+G63+G66+G68+G69+G72+G74+G76+G82+G86+G89+G90+G91+G92+G99+G100+G105+G106+G107+G114+G115+G137+G77+G110+G118+G111+G135+G56+G116+G104+G46+G128+G139</f>
        <v>546302</v>
      </c>
      <c r="H150" s="618">
        <f>H9+H11+H15+H22+H24+H26+H30+H31+H33+H34+H39+H40+H41+H43+H47+H49+H52+H55+H58+H59+H61+H62+H63+H66+H68+H69+H72+H74+H76+H82+H86+H89+H90+H91+H92+H99+H100+H105+H106+H107+H114+H115+H137+H77+H110+H118+H111+H135+H56+H116+H104+H46+H128+H139</f>
        <v>8300</v>
      </c>
      <c r="I150" s="618">
        <f>I9+I11+I15+I22+I24+I26+I30+I31+I33+I34+I39+I40+I41+I43+I47+I49+I52+I55+I58+I59+I61+I62+I63+I66+I68+I69+I72+I74+I76+I82+I86+I89+I90+I91+I92+I99+I100+I105+I106+I107+I114+I115+I137+I77+I110+I118+I111+I135+I56+I116+I104+I46+I128+I139</f>
        <v>177506</v>
      </c>
      <c r="J150" s="618">
        <f>J9+J11+J15+J22+J24+J26+J30+J31+J33+J34+J39+J40+J41+J43+J47+J49+J52+J55+J58+J59+J61+J62+J63+J66+J68+J69+J72+J74+J76+J82+J86+J89+J90+J91+J92+J99+J100+J105+J106+J107+J114+J115+J137+J77+J110+J118+J111+J135+J56+J116+J104+J46+J128+J139</f>
        <v>72696</v>
      </c>
      <c r="K150" s="618">
        <f>K9+K11+K15+K22+K24+K26+K30+K31+K33+K34+K39+K40+K41+K43+K47+K49+K52+K55+K58+K59+K61+K62+K63+K66+K68+K69+K72+K74+K76+K82+K86+K89+K90+K91+K92+K99+K100+K105+K106+K107+K114+K115+K137+K77+K110+K118+K111+K135+K56+K116+K104+K46+K128+K139</f>
        <v>325000</v>
      </c>
      <c r="L150" s="450">
        <f>SUM(E150:K150)+G147+G145</f>
        <v>4684195</v>
      </c>
      <c r="M150" s="618">
        <f>M9+M11+M15+M22+M24+M26+M30+M31+M33+M34+M39+M40+M41+M43+M47+M49+M52+M55+M58+M59+M61+M62+M63+M66+M68+M69+M72+M74+M76+M82+M86+M89+M90+M91+M92+M99+M100+M105+M106+M107+M114+M115+M137+M77+M110+M118+M111+M135+M56+M116+M104+M46+M128+M139</f>
        <v>975325</v>
      </c>
      <c r="N150" s="618">
        <f>N9+N11+N15+N22+N24+N26+N30+N31+N33+N34+N39+N40+N41+N43+N47+N49+N52+N55+N58+N59+N61+N62+N63+N66+N68+N69+N72+N74+N76+N82+N86+N89+N90+N91+N92+N99+N100+N105+N106+N107+N114+N115+N137+N77+N110+N118+N111+N135+N56+N116+N104+N46+N128+N139</f>
        <v>9754</v>
      </c>
      <c r="O150" s="618">
        <f>O9+O11+O15+O22+O24+O26+O30+O31+O33+O34+O39+O40+O41+O43+O47+O49+O52+O55+O58+O59+O61+O62+O63+O66+O68+O69+O72+O74+O76+O82+O86+O89+O90+O91+O92+O99+O100+O105+O106+O107+O114+O115+O137+O77+O110+O118+O111+O135+O56+O116+O104+O46+O128+O139</f>
        <v>6923</v>
      </c>
      <c r="P150" s="618">
        <f>P9+P11+P15+P22+P24+P26+P30+P31+P33+P34+P39+P40+P41+P43+P47+P49+P52+P55+P58+P59+P61+P62+P63+P66+P68+P69+P72+P74+P76+P82+P86+P89+P90+P91+P92+P99+P100+P105+P106+P107+P114+P115+P137+P77+P110+P118+P111+P135+P56+P116+P104+P46+P128+P139</f>
        <v>0</v>
      </c>
      <c r="Q150" s="450">
        <f>L150+M150+O150+P150+N150</f>
        <v>5676197</v>
      </c>
      <c r="R150" s="618">
        <f>R9+R11+R15+R22+R24+R26+R30+R31+R33+R34+R39+R40+R41+R43+R47+R49+R52+R55+R59+R61+R62+R63+R66+R68+R69+R72+R74+R76+R82+R86+R89+R90+R91+R92+R99+R100+R105+R107+R114+R115+R137+R77+R110+R118+R111+R135+R56+R116</f>
        <v>225.10000000000002</v>
      </c>
    </row>
    <row r="151" spans="1:18" s="80" customFormat="1" ht="12.75" customHeight="1">
      <c r="A151" s="921" t="s">
        <v>173</v>
      </c>
      <c r="B151" s="922"/>
      <c r="C151" s="922"/>
      <c r="D151" s="923"/>
      <c r="E151" s="619">
        <f>E23</f>
        <v>45201</v>
      </c>
      <c r="F151" s="619">
        <f>F23</f>
        <v>12317</v>
      </c>
      <c r="G151" s="619">
        <f>G23</f>
        <v>8200</v>
      </c>
      <c r="H151" s="619">
        <v>0</v>
      </c>
      <c r="I151" s="619">
        <f>I23</f>
        <v>0</v>
      </c>
      <c r="J151" s="619">
        <f>J23</f>
        <v>0</v>
      </c>
      <c r="K151" s="619">
        <f>K23</f>
        <v>0</v>
      </c>
      <c r="L151" s="443">
        <f>SUM(E151:K151)</f>
        <v>65718</v>
      </c>
      <c r="M151" s="619">
        <f>M23</f>
        <v>0</v>
      </c>
      <c r="N151" s="619">
        <f>N23</f>
        <v>0</v>
      </c>
      <c r="O151" s="619">
        <f>O23</f>
        <v>0</v>
      </c>
      <c r="P151" s="619">
        <f>P23</f>
        <v>0</v>
      </c>
      <c r="Q151" s="443">
        <f>SUM(L151:P151)</f>
        <v>65718</v>
      </c>
      <c r="R151" s="455">
        <f>R23</f>
        <v>12.2</v>
      </c>
    </row>
    <row r="152" spans="1:18" s="80" customFormat="1" ht="12.75" customHeight="1" thickBot="1">
      <c r="A152" s="901" t="s">
        <v>157</v>
      </c>
      <c r="B152" s="902"/>
      <c r="C152" s="902"/>
      <c r="D152" s="902"/>
      <c r="E152" s="620">
        <f>E10+E13+E14+E25+E45+E50+E53+E54+E57+E67+E70+E71+E73+E75+E79+E81+E83+E84+E87+E93+E94+E96+E97+E98+E102+E103+E113+E117+E119+E127+E129-E135+E136+E138+E109+E44+E78+E27</f>
        <v>131274</v>
      </c>
      <c r="F152" s="620">
        <f aca="true" t="shared" si="43" ref="F152:K152">F10+F13+F14+F25+F45+F50+F53+F54+F57+F67+F70+F71+F73+F75+F79+F81+F83+F84+F87+F93+F94+F96+F97+F98+F102+F103+F113+F117+F119+F127+F129-F135+F136+F138+F109+F44+F78+F27</f>
        <v>37850</v>
      </c>
      <c r="G152" s="620">
        <f>G10+G13+G14+G25+G45+G50+G53+G54+G57+G67+G70+G71+G73+G75+G79+G81+G83+G84+G87+G93+G94+G96+G97+G98+G102+G103+G113+G117+G119+G127+G129-G135+G136+G138+G109+G44+G78+G27</f>
        <v>285878</v>
      </c>
      <c r="H152" s="620">
        <f t="shared" si="43"/>
        <v>180</v>
      </c>
      <c r="I152" s="620">
        <f t="shared" si="43"/>
        <v>8380</v>
      </c>
      <c r="J152" s="620">
        <f t="shared" si="43"/>
        <v>4380</v>
      </c>
      <c r="K152" s="620">
        <f t="shared" si="43"/>
        <v>8070</v>
      </c>
      <c r="L152" s="451">
        <f>SUM(E152:K152)+G146</f>
        <v>2476012</v>
      </c>
      <c r="M152" s="620">
        <f>M10+M13+M14+M25+M45+M50+M53+M54+M57+M67+M70+M71+M73+M75+M79+M81+M83+M84+M87+M93+M94+M96+M97+M98+M102+M103+M113+M117+M119+M127+M129-M135+M136+M138+M109+M44+M78+M27</f>
        <v>123000</v>
      </c>
      <c r="N152" s="620">
        <f>N10+N13+N14+N25+N45+N50+N53+N54+N57+N67+N70+N71+N73+N75+N79+N81+N83+N84+N87+N93+N94+N96+N97+N98+N102+N103+N113+N117+N119+N127+N129-N135+N136+N138+N109+N44+N78+N27</f>
        <v>31744</v>
      </c>
      <c r="O152" s="620">
        <f>O10+O13+O14+O25+O45+O50+O53+O54+O57+O67+O70+O71+O73+O75+O79+O81+O83+O84+O87+O93+O94+O96+O97+O98+O102+O103+O113+O117+O119+O127+O129-O135+O136+O138+O109+O44+O78+O27</f>
        <v>0</v>
      </c>
      <c r="P152" s="620">
        <f>P10+P13+P14+P25+P45+P50+P53+P54+P57+P67+P70+P71+P73+P75+P79+P81+P83+P84+P87+P93+P94+P96+P97+P98+P102+P103+P113+P117+P119+P127+P129-P135+P136+P138+P109+P44+P78+P27</f>
        <v>0</v>
      </c>
      <c r="Q152" s="451">
        <f>SUM(L152:P152)</f>
        <v>2630756</v>
      </c>
      <c r="R152" s="459">
        <f>R10+R13+R14+R25+R45+R50+R53+R54+R57+R58+R67+R71+R73+R75+R79+R81+R83+R84+R87+R93+R94+R96+R97+R98+R102+R103+R113+R117+R119+R126+R129+R136+R138+R145+R109</f>
        <v>42.95</v>
      </c>
    </row>
    <row r="153" spans="3:18" ht="12.75" customHeight="1">
      <c r="C153" s="452"/>
      <c r="Q153" s="456"/>
      <c r="R153" s="453"/>
    </row>
    <row r="154" spans="5:18" ht="21" customHeight="1">
      <c r="E154" s="622"/>
      <c r="F154" s="622"/>
      <c r="G154" s="622"/>
      <c r="H154" s="622"/>
      <c r="I154" s="622"/>
      <c r="J154" s="622"/>
      <c r="K154" s="622"/>
      <c r="L154" s="457"/>
      <c r="M154" s="622"/>
      <c r="N154" s="622"/>
      <c r="O154" s="622"/>
      <c r="P154" s="622"/>
      <c r="Q154" s="457"/>
      <c r="R154" s="453"/>
    </row>
    <row r="155" spans="5:18" ht="12.75" customHeight="1">
      <c r="E155" s="622"/>
      <c r="F155" s="622"/>
      <c r="G155" s="622"/>
      <c r="H155" s="622"/>
      <c r="I155" s="622"/>
      <c r="J155" s="622"/>
      <c r="K155" s="622"/>
      <c r="L155" s="457"/>
      <c r="M155" s="622"/>
      <c r="N155" s="622"/>
      <c r="O155" s="622"/>
      <c r="P155" s="622"/>
      <c r="Q155" s="457"/>
      <c r="R155" s="678"/>
    </row>
    <row r="156" spans="5:18" ht="12.75" customHeight="1">
      <c r="E156" s="622"/>
      <c r="F156" s="622"/>
      <c r="G156" s="622"/>
      <c r="H156" s="622"/>
      <c r="I156" s="622"/>
      <c r="J156" s="622"/>
      <c r="K156" s="622"/>
      <c r="L156" s="457"/>
      <c r="M156" s="622"/>
      <c r="N156" s="622"/>
      <c r="O156" s="622"/>
      <c r="P156" s="622"/>
      <c r="Q156" s="457"/>
      <c r="R156" s="678"/>
    </row>
    <row r="157" spans="5:18" ht="12.75" customHeight="1">
      <c r="E157" s="622"/>
      <c r="F157" s="622"/>
      <c r="G157" s="622"/>
      <c r="H157" s="622"/>
      <c r="I157" s="622"/>
      <c r="J157" s="622"/>
      <c r="K157" s="622"/>
      <c r="L157" s="457"/>
      <c r="M157" s="622"/>
      <c r="N157" s="622"/>
      <c r="O157" s="622"/>
      <c r="P157" s="622"/>
      <c r="Q157" s="457"/>
      <c r="R157" s="138"/>
    </row>
    <row r="158" spans="5:18" ht="12.75" customHeight="1">
      <c r="E158" s="622"/>
      <c r="F158" s="622"/>
      <c r="G158" s="622"/>
      <c r="H158" s="622"/>
      <c r="I158" s="622"/>
      <c r="J158" s="622"/>
      <c r="K158" s="622"/>
      <c r="L158" s="457"/>
      <c r="M158" s="622"/>
      <c r="N158" s="622"/>
      <c r="O158" s="622"/>
      <c r="P158" s="622"/>
      <c r="Q158" s="457"/>
      <c r="R158" s="154"/>
    </row>
    <row r="159" spans="5:18" ht="12.75" customHeight="1">
      <c r="E159" s="622"/>
      <c r="F159" s="622"/>
      <c r="G159" s="622"/>
      <c r="H159" s="622"/>
      <c r="I159" s="622"/>
      <c r="J159" s="622"/>
      <c r="K159" s="622"/>
      <c r="L159" s="457"/>
      <c r="M159" s="622"/>
      <c r="N159" s="622"/>
      <c r="O159" s="622"/>
      <c r="P159" s="622"/>
      <c r="Q159" s="457"/>
      <c r="R159" s="138"/>
    </row>
    <row r="160" spans="4:18" ht="12.75" customHeight="1">
      <c r="D160" s="621"/>
      <c r="E160" s="622"/>
      <c r="F160" s="622"/>
      <c r="G160" s="622"/>
      <c r="H160" s="622"/>
      <c r="I160" s="622"/>
      <c r="J160" s="622"/>
      <c r="K160" s="622"/>
      <c r="L160" s="457"/>
      <c r="M160" s="622"/>
      <c r="N160" s="622"/>
      <c r="O160" s="622"/>
      <c r="P160" s="622"/>
      <c r="Q160" s="457"/>
      <c r="R160" s="138"/>
    </row>
    <row r="161" spans="4:18" ht="12.75" customHeight="1">
      <c r="D161" s="621"/>
      <c r="E161" s="622"/>
      <c r="F161" s="622"/>
      <c r="G161" s="622"/>
      <c r="H161" s="622"/>
      <c r="I161" s="622"/>
      <c r="J161" s="622"/>
      <c r="K161" s="622"/>
      <c r="L161" s="457"/>
      <c r="M161" s="622"/>
      <c r="N161" s="622"/>
      <c r="O161" s="622"/>
      <c r="P161" s="622"/>
      <c r="Q161" s="457"/>
      <c r="R161" s="154"/>
    </row>
    <row r="162" spans="4:18" ht="12.75" customHeight="1">
      <c r="D162" s="621"/>
      <c r="E162" s="622"/>
      <c r="F162" s="622"/>
      <c r="G162" s="622"/>
      <c r="H162" s="622"/>
      <c r="I162" s="622"/>
      <c r="J162" s="622"/>
      <c r="K162" s="622"/>
      <c r="L162" s="457"/>
      <c r="M162" s="622"/>
      <c r="N162" s="622"/>
      <c r="O162" s="622"/>
      <c r="P162" s="622"/>
      <c r="Q162" s="457"/>
      <c r="R162" s="138"/>
    </row>
    <row r="163" spans="4:18" ht="12.75" customHeight="1">
      <c r="D163" s="621"/>
      <c r="E163" s="621"/>
      <c r="F163" s="621"/>
      <c r="G163" s="621"/>
      <c r="H163" s="621"/>
      <c r="I163" s="621"/>
      <c r="J163" s="621"/>
      <c r="K163" s="621"/>
      <c r="Q163" s="456"/>
      <c r="R163" s="138"/>
    </row>
    <row r="164" spans="4:18" ht="12.75" customHeight="1">
      <c r="D164" s="621"/>
      <c r="E164" s="621"/>
      <c r="F164" s="621"/>
      <c r="G164" s="621"/>
      <c r="H164" s="621"/>
      <c r="I164" s="621"/>
      <c r="J164" s="621"/>
      <c r="K164" s="621"/>
      <c r="Q164" s="456"/>
      <c r="R164" s="156"/>
    </row>
    <row r="165" spans="5:18" ht="12.75" customHeight="1">
      <c r="E165" s="621"/>
      <c r="F165" s="621"/>
      <c r="G165" s="621"/>
      <c r="H165" s="621"/>
      <c r="I165" s="621"/>
      <c r="J165" s="621"/>
      <c r="K165" s="621"/>
      <c r="Q165" s="456"/>
      <c r="R165" s="138"/>
    </row>
    <row r="166" spans="5:18" ht="12.75" customHeight="1">
      <c r="E166" s="621"/>
      <c r="F166" s="621"/>
      <c r="G166" s="621"/>
      <c r="H166" s="621"/>
      <c r="I166" s="621"/>
      <c r="J166" s="621"/>
      <c r="K166" s="621"/>
      <c r="Q166" s="456"/>
      <c r="R166" s="138"/>
    </row>
    <row r="167" spans="5:18" ht="12.75" customHeight="1">
      <c r="E167" s="621"/>
      <c r="F167" s="621"/>
      <c r="G167" s="621"/>
      <c r="H167" s="621"/>
      <c r="I167" s="621"/>
      <c r="J167" s="621"/>
      <c r="K167" s="621"/>
      <c r="Q167" s="456"/>
      <c r="R167" s="138"/>
    </row>
    <row r="168" spans="5:18" ht="12.75" customHeight="1">
      <c r="E168" s="621"/>
      <c r="F168" s="621"/>
      <c r="G168" s="621"/>
      <c r="H168" s="621"/>
      <c r="I168" s="621"/>
      <c r="J168" s="621"/>
      <c r="K168" s="621"/>
      <c r="Q168" s="456"/>
      <c r="R168" s="156"/>
    </row>
    <row r="169" spans="5:18" ht="12.75" customHeight="1">
      <c r="E169" s="621"/>
      <c r="F169" s="621"/>
      <c r="G169" s="621"/>
      <c r="H169" s="621"/>
      <c r="I169" s="621"/>
      <c r="J169" s="621"/>
      <c r="K169" s="621"/>
      <c r="Q169" s="456"/>
      <c r="R169" s="138"/>
    </row>
    <row r="170" spans="5:18" ht="12.75" customHeight="1">
      <c r="E170" s="621"/>
      <c r="F170" s="621"/>
      <c r="G170" s="621"/>
      <c r="H170" s="621"/>
      <c r="I170" s="621">
        <f>SUM(I140:K140)</f>
        <v>546990</v>
      </c>
      <c r="J170" s="621"/>
      <c r="K170" s="621"/>
      <c r="Q170" s="456"/>
      <c r="R170" s="154"/>
    </row>
    <row r="171" spans="5:18" ht="12.75" customHeight="1">
      <c r="E171" s="621"/>
      <c r="F171" s="621"/>
      <c r="G171" s="621"/>
      <c r="H171" s="621"/>
      <c r="I171" s="621"/>
      <c r="J171" s="621"/>
      <c r="K171" s="621"/>
      <c r="Q171" s="456"/>
      <c r="R171" s="154"/>
    </row>
    <row r="172" spans="5:17" ht="12.75" customHeight="1">
      <c r="E172" s="621"/>
      <c r="F172" s="621"/>
      <c r="G172" s="621"/>
      <c r="H172" s="621"/>
      <c r="I172" s="621" t="e">
        <f>Q145+Q146+Q147+'5.mell'!#REF!</f>
        <v>#REF!</v>
      </c>
      <c r="J172" s="621"/>
      <c r="K172" s="621"/>
      <c r="Q172" s="456"/>
    </row>
    <row r="173" spans="5:17" ht="12.75" customHeight="1">
      <c r="E173" s="621"/>
      <c r="F173" s="621"/>
      <c r="G173" s="621"/>
      <c r="H173" s="621"/>
      <c r="I173" s="621"/>
      <c r="J173" s="621"/>
      <c r="K173" s="621"/>
      <c r="M173" s="621">
        <f>M149-'6.mell'!D66</f>
        <v>0</v>
      </c>
      <c r="Q173" s="456"/>
    </row>
    <row r="174" spans="5:17" ht="12.75" customHeight="1">
      <c r="E174" s="621"/>
      <c r="F174" s="621"/>
      <c r="G174" s="621"/>
      <c r="H174" s="621"/>
      <c r="I174" s="621"/>
      <c r="J174" s="621"/>
      <c r="K174" s="621"/>
      <c r="Q174" s="456"/>
    </row>
    <row r="175" spans="5:17" ht="12.75" customHeight="1">
      <c r="E175" s="621"/>
      <c r="F175" s="621"/>
      <c r="G175" s="621"/>
      <c r="H175" s="621"/>
      <c r="I175" s="621"/>
      <c r="J175" s="621"/>
      <c r="K175" s="621"/>
      <c r="Q175" s="456"/>
    </row>
    <row r="176" spans="5:17" ht="12.75" customHeight="1">
      <c r="E176" s="621"/>
      <c r="F176" s="621"/>
      <c r="G176" s="621"/>
      <c r="H176" s="621"/>
      <c r="I176" s="621"/>
      <c r="J176" s="621"/>
      <c r="K176" s="621"/>
      <c r="Q176" s="456"/>
    </row>
  </sheetData>
  <sheetProtection/>
  <mergeCells count="51">
    <mergeCell ref="B45:B46"/>
    <mergeCell ref="K6:K7"/>
    <mergeCell ref="D43:D44"/>
    <mergeCell ref="B43:B44"/>
    <mergeCell ref="D45:D46"/>
    <mergeCell ref="A38:D38"/>
    <mergeCell ref="A5:B5"/>
    <mergeCell ref="P6:P7"/>
    <mergeCell ref="I6:I7"/>
    <mergeCell ref="O6:O7"/>
    <mergeCell ref="N6:N7"/>
    <mergeCell ref="A36:D36"/>
    <mergeCell ref="N1:R1"/>
    <mergeCell ref="A17:D17"/>
    <mergeCell ref="A19:D19"/>
    <mergeCell ref="A6:B6"/>
    <mergeCell ref="I5:K5"/>
    <mergeCell ref="N5:P5"/>
    <mergeCell ref="A7:B7"/>
    <mergeCell ref="A16:D16"/>
    <mergeCell ref="C5:C7"/>
    <mergeCell ref="A18:D18"/>
    <mergeCell ref="A141:D141"/>
    <mergeCell ref="A151:D151"/>
    <mergeCell ref="B138:B139"/>
    <mergeCell ref="D146:D147"/>
    <mergeCell ref="D71:D72"/>
    <mergeCell ref="D127:D128"/>
    <mergeCell ref="A150:D150"/>
    <mergeCell ref="A143:D143"/>
    <mergeCell ref="D138:D139"/>
    <mergeCell ref="D69:D70"/>
    <mergeCell ref="B69:B70"/>
    <mergeCell ref="J6:J7"/>
    <mergeCell ref="B48:B50"/>
    <mergeCell ref="B71:B72"/>
    <mergeCell ref="B127:B128"/>
    <mergeCell ref="B65:B67"/>
    <mergeCell ref="B51:B53"/>
    <mergeCell ref="A35:D35"/>
    <mergeCell ref="A37:D37"/>
    <mergeCell ref="A152:D152"/>
    <mergeCell ref="A148:D148"/>
    <mergeCell ref="A149:D149"/>
    <mergeCell ref="B74:B75"/>
    <mergeCell ref="A144:R144"/>
    <mergeCell ref="B55:B57"/>
    <mergeCell ref="A140:D140"/>
    <mergeCell ref="A146:A147"/>
    <mergeCell ref="D74:D75"/>
    <mergeCell ref="A142:D1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6" r:id="rId2"/>
  <rowBreaks count="3" manualBreakCount="3">
    <brk id="41" max="15" man="1"/>
    <brk id="79" max="17" man="1"/>
    <brk id="114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tabSelected="1" view="pageBreakPreview" zoomScaleSheetLayoutView="100" workbookViewId="0" topLeftCell="A34">
      <selection activeCell="C58" sqref="C58:D58"/>
    </sheetView>
  </sheetViews>
  <sheetFormatPr defaultColWidth="9.00390625" defaultRowHeight="12" customHeight="1"/>
  <cols>
    <col min="1" max="1" width="3.25390625" style="552" customWidth="1"/>
    <col min="2" max="2" width="3.125" style="553" customWidth="1"/>
    <col min="3" max="3" width="80.375" style="554" customWidth="1"/>
    <col min="4" max="4" width="9.375" style="550" customWidth="1"/>
    <col min="5" max="16384" width="9.125" style="16" customWidth="1"/>
  </cols>
  <sheetData>
    <row r="1" spans="3:4" ht="12" customHeight="1">
      <c r="C1" s="984" t="s">
        <v>434</v>
      </c>
      <c r="D1" s="984"/>
    </row>
    <row r="2" ht="12" customHeight="1">
      <c r="D2" s="552"/>
    </row>
    <row r="3" ht="14.25" customHeight="1">
      <c r="D3" s="552"/>
    </row>
    <row r="4" ht="14.25" customHeight="1">
      <c r="D4" s="552"/>
    </row>
    <row r="5" ht="18.75" customHeight="1">
      <c r="D5" s="552"/>
    </row>
    <row r="6" ht="21.75" customHeight="1" thickBot="1">
      <c r="D6" s="550" t="s">
        <v>194</v>
      </c>
    </row>
    <row r="7" spans="1:4" s="17" customFormat="1" ht="18.75" customHeight="1" thickBot="1">
      <c r="A7" s="985" t="s">
        <v>32</v>
      </c>
      <c r="B7" s="986"/>
      <c r="C7" s="987"/>
      <c r="D7" s="614"/>
    </row>
    <row r="8" spans="1:4" s="548" customFormat="1" ht="12.75" customHeight="1">
      <c r="A8" s="555" t="s">
        <v>38</v>
      </c>
      <c r="B8" s="556"/>
      <c r="C8" s="557" t="s">
        <v>41</v>
      </c>
      <c r="D8" s="615">
        <f>SUM(D9:D46)</f>
        <v>911530</v>
      </c>
    </row>
    <row r="9" spans="1:4" s="19" customFormat="1" ht="14.25" customHeight="1">
      <c r="A9" s="18"/>
      <c r="B9" s="124">
        <v>1</v>
      </c>
      <c r="C9" s="561" t="s">
        <v>417</v>
      </c>
      <c r="D9" s="600">
        <f>70934-5000-5000-5000-15000</f>
        <v>40934</v>
      </c>
    </row>
    <row r="10" spans="1:4" s="19" customFormat="1" ht="14.25" customHeight="1">
      <c r="A10" s="18"/>
      <c r="B10" s="124">
        <v>2</v>
      </c>
      <c r="C10" s="562" t="s">
        <v>391</v>
      </c>
      <c r="D10" s="600">
        <f>175000+48433+65923+10644+50000-153300-33996-13000+2000-3000-2500-28000-50000-30000+2424+71479-2000-5613+100000-33000-3000-5000-8128-16256-4318-9261-22231</f>
        <v>103300</v>
      </c>
    </row>
    <row r="11" spans="1:4" s="19" customFormat="1" ht="14.25" customHeight="1">
      <c r="A11" s="18"/>
      <c r="B11" s="124">
        <v>3</v>
      </c>
      <c r="C11" s="563" t="s">
        <v>340</v>
      </c>
      <c r="D11" s="600">
        <v>5000</v>
      </c>
    </row>
    <row r="12" spans="1:4" s="19" customFormat="1" ht="13.5" customHeight="1">
      <c r="A12" s="18"/>
      <c r="B12" s="124">
        <v>4</v>
      </c>
      <c r="C12" s="563" t="s">
        <v>208</v>
      </c>
      <c r="D12" s="601">
        <f>3302+5334</f>
        <v>8636</v>
      </c>
    </row>
    <row r="13" spans="1:4" s="19" customFormat="1" ht="12.75" customHeight="1">
      <c r="A13" s="18"/>
      <c r="B13" s="124">
        <v>5</v>
      </c>
      <c r="C13" s="543" t="s">
        <v>397</v>
      </c>
      <c r="D13" s="601">
        <v>10000</v>
      </c>
    </row>
    <row r="14" spans="1:4" s="19" customFormat="1" ht="12.75" customHeight="1">
      <c r="A14" s="18"/>
      <c r="B14" s="124">
        <v>6</v>
      </c>
      <c r="C14" s="543" t="s">
        <v>413</v>
      </c>
      <c r="D14" s="601">
        <f>3000+3000</f>
        <v>6000</v>
      </c>
    </row>
    <row r="15" spans="1:4" s="471" customFormat="1" ht="12.75" customHeight="1">
      <c r="A15" s="18"/>
      <c r="B15" s="124">
        <v>7</v>
      </c>
      <c r="C15" s="543" t="s">
        <v>342</v>
      </c>
      <c r="D15" s="601">
        <v>5000</v>
      </c>
    </row>
    <row r="16" spans="1:4" s="19" customFormat="1" ht="12.75" customHeight="1">
      <c r="A16" s="18"/>
      <c r="B16" s="124">
        <v>8</v>
      </c>
      <c r="C16" s="560" t="s">
        <v>318</v>
      </c>
      <c r="D16" s="609"/>
    </row>
    <row r="17" spans="1:4" s="442" customFormat="1" ht="12.75" customHeight="1">
      <c r="A17" s="440"/>
      <c r="B17" s="441"/>
      <c r="C17" s="506" t="s">
        <v>341</v>
      </c>
      <c r="D17" s="608">
        <f>3000+545</f>
        <v>3545</v>
      </c>
    </row>
    <row r="18" spans="1:4" s="442" customFormat="1" ht="12.75" customHeight="1">
      <c r="A18" s="440"/>
      <c r="B18" s="441"/>
      <c r="C18" s="506" t="s">
        <v>454</v>
      </c>
      <c r="D18" s="608">
        <f>400+595+255+150</f>
        <v>1400</v>
      </c>
    </row>
    <row r="19" spans="1:4" s="442" customFormat="1" ht="12.75" customHeight="1">
      <c r="A19" s="440"/>
      <c r="B19" s="441"/>
      <c r="C19" s="506" t="s">
        <v>172</v>
      </c>
      <c r="D19" s="608">
        <f>2500+600+450</f>
        <v>3550</v>
      </c>
    </row>
    <row r="20" spans="1:4" s="442" customFormat="1" ht="15" customHeight="1">
      <c r="A20" s="440"/>
      <c r="B20" s="441"/>
      <c r="C20" s="506" t="s">
        <v>441</v>
      </c>
      <c r="D20" s="608">
        <f>2170+350+100+35+5512</f>
        <v>8167</v>
      </c>
    </row>
    <row r="21" spans="1:4" s="442" customFormat="1" ht="12.75" customHeight="1">
      <c r="A21" s="440"/>
      <c r="B21" s="441"/>
      <c r="C21" s="506" t="s">
        <v>80</v>
      </c>
      <c r="D21" s="608">
        <f>150+261</f>
        <v>411</v>
      </c>
    </row>
    <row r="22" spans="1:4" s="442" customFormat="1" ht="12.75" customHeight="1">
      <c r="A22" s="440"/>
      <c r="B22" s="441"/>
      <c r="C22" s="506" t="s">
        <v>81</v>
      </c>
      <c r="D22" s="608">
        <f>150+150+2500+100</f>
        <v>2900</v>
      </c>
    </row>
    <row r="23" spans="1:4" s="19" customFormat="1" ht="12.75" customHeight="1">
      <c r="A23" s="18"/>
      <c r="B23" s="21">
        <v>9</v>
      </c>
      <c r="C23" s="463" t="s">
        <v>461</v>
      </c>
      <c r="D23" s="601">
        <f>7850+10570</f>
        <v>18420</v>
      </c>
    </row>
    <row r="24" spans="1:4" s="19" customFormat="1" ht="12.75" customHeight="1">
      <c r="A24" s="18"/>
      <c r="B24" s="21">
        <v>10</v>
      </c>
      <c r="C24" s="463" t="s">
        <v>374</v>
      </c>
      <c r="D24" s="601">
        <f>3000+810+3000</f>
        <v>6810</v>
      </c>
    </row>
    <row r="25" spans="1:4" s="19" customFormat="1" ht="27" customHeight="1">
      <c r="A25" s="18"/>
      <c r="B25" s="21">
        <v>11</v>
      </c>
      <c r="C25" s="463" t="s">
        <v>455</v>
      </c>
      <c r="D25" s="601">
        <f>5080+7620+20000+131+9955+31750+3+6099+1373</f>
        <v>82011</v>
      </c>
    </row>
    <row r="26" spans="1:4" s="19" customFormat="1" ht="12.75" customHeight="1">
      <c r="A26" s="18"/>
      <c r="B26" s="21">
        <v>12</v>
      </c>
      <c r="C26" s="463" t="s">
        <v>376</v>
      </c>
      <c r="D26" s="601">
        <v>1000</v>
      </c>
    </row>
    <row r="27" spans="1:4" s="19" customFormat="1" ht="12.75" customHeight="1">
      <c r="A27" s="18"/>
      <c r="B27" s="21">
        <v>13</v>
      </c>
      <c r="C27" s="463" t="s">
        <v>409</v>
      </c>
      <c r="D27" s="601">
        <f>46223+50000</f>
        <v>96223</v>
      </c>
    </row>
    <row r="28" spans="1:4" s="19" customFormat="1" ht="12.75" customHeight="1">
      <c r="A28" s="18"/>
      <c r="B28" s="21">
        <v>14</v>
      </c>
      <c r="C28" s="463" t="s">
        <v>377</v>
      </c>
      <c r="D28" s="601">
        <v>2000</v>
      </c>
    </row>
    <row r="29" spans="1:4" s="19" customFormat="1" ht="12.75">
      <c r="A29" s="18"/>
      <c r="B29" s="21">
        <v>15</v>
      </c>
      <c r="C29" s="543" t="s">
        <v>440</v>
      </c>
      <c r="D29" s="601">
        <f>15000+1716</f>
        <v>16716</v>
      </c>
    </row>
    <row r="30" spans="1:4" s="19" customFormat="1" ht="15" customHeight="1">
      <c r="A30" s="18"/>
      <c r="B30" s="21">
        <v>16</v>
      </c>
      <c r="C30" s="563" t="s">
        <v>401</v>
      </c>
      <c r="D30" s="601">
        <f>1500+1000</f>
        <v>2500</v>
      </c>
    </row>
    <row r="31" spans="1:4" s="19" customFormat="1" ht="18.75" customHeight="1">
      <c r="A31" s="18"/>
      <c r="B31" s="21">
        <v>17</v>
      </c>
      <c r="C31" s="564" t="s">
        <v>402</v>
      </c>
      <c r="D31" s="609">
        <f>1800</f>
        <v>1800</v>
      </c>
    </row>
    <row r="32" spans="1:4" s="19" customFormat="1" ht="15" customHeight="1">
      <c r="A32" s="18"/>
      <c r="B32" s="21">
        <v>18</v>
      </c>
      <c r="C32" s="563" t="s">
        <v>414</v>
      </c>
      <c r="D32" s="601">
        <f>20000+50000</f>
        <v>70000</v>
      </c>
    </row>
    <row r="33" spans="1:4" s="19" customFormat="1" ht="15" customHeight="1">
      <c r="A33" s="18"/>
      <c r="B33" s="21">
        <v>19</v>
      </c>
      <c r="C33" s="564" t="s">
        <v>406</v>
      </c>
      <c r="D33" s="609">
        <f>6000+3000</f>
        <v>9000</v>
      </c>
    </row>
    <row r="34" spans="1:4" s="19" customFormat="1" ht="15" customHeight="1">
      <c r="A34" s="18"/>
      <c r="B34" s="21">
        <v>20</v>
      </c>
      <c r="C34" s="563" t="s">
        <v>427</v>
      </c>
      <c r="D34" s="601">
        <f>150000+50000</f>
        <v>200000</v>
      </c>
    </row>
    <row r="35" spans="1:4" s="19" customFormat="1" ht="15.75" customHeight="1">
      <c r="A35" s="18"/>
      <c r="B35" s="21">
        <v>21</v>
      </c>
      <c r="C35" s="685" t="s">
        <v>436</v>
      </c>
      <c r="D35" s="600">
        <v>5032</v>
      </c>
    </row>
    <row r="36" spans="1:4" s="19" customFormat="1" ht="15" customHeight="1">
      <c r="A36" s="18"/>
      <c r="B36" s="21">
        <v>22</v>
      </c>
      <c r="C36" s="685" t="s">
        <v>435</v>
      </c>
      <c r="D36" s="600">
        <f>2540+26</f>
        <v>2566</v>
      </c>
    </row>
    <row r="37" spans="1:4" s="19" customFormat="1" ht="27" customHeight="1">
      <c r="A37" s="18"/>
      <c r="B37" s="21">
        <v>23</v>
      </c>
      <c r="C37" s="685" t="s">
        <v>447</v>
      </c>
      <c r="D37" s="600">
        <f>10000+30000</f>
        <v>40000</v>
      </c>
    </row>
    <row r="38" spans="1:4" s="19" customFormat="1" ht="12" customHeight="1">
      <c r="A38" s="18"/>
      <c r="B38" s="21">
        <v>24</v>
      </c>
      <c r="C38" s="685" t="s">
        <v>448</v>
      </c>
      <c r="D38" s="600">
        <v>28000</v>
      </c>
    </row>
    <row r="39" spans="1:4" s="19" customFormat="1" ht="15" customHeight="1">
      <c r="A39" s="18"/>
      <c r="B39" s="21">
        <v>25</v>
      </c>
      <c r="C39" s="685" t="s">
        <v>449</v>
      </c>
      <c r="D39" s="600">
        <v>50000</v>
      </c>
    </row>
    <row r="40" spans="1:4" s="19" customFormat="1" ht="15" customHeight="1">
      <c r="A40" s="18"/>
      <c r="B40" s="21">
        <v>26</v>
      </c>
      <c r="C40" s="685" t="s">
        <v>453</v>
      </c>
      <c r="D40" s="600">
        <f>20787+5613</f>
        <v>26400</v>
      </c>
    </row>
    <row r="41" spans="1:4" s="19" customFormat="1" ht="15" customHeight="1">
      <c r="A41" s="18"/>
      <c r="B41" s="21">
        <v>27</v>
      </c>
      <c r="C41" s="685" t="s">
        <v>462</v>
      </c>
      <c r="D41" s="600">
        <v>6081</v>
      </c>
    </row>
    <row r="42" spans="1:4" s="19" customFormat="1" ht="15" customHeight="1">
      <c r="A42" s="18"/>
      <c r="B42" s="21">
        <v>28</v>
      </c>
      <c r="C42" s="685" t="s">
        <v>465</v>
      </c>
      <c r="D42" s="600">
        <v>1000</v>
      </c>
    </row>
    <row r="43" spans="1:4" s="19" customFormat="1" ht="15" customHeight="1">
      <c r="A43" s="18"/>
      <c r="B43" s="21">
        <v>29</v>
      </c>
      <c r="C43" s="685" t="s">
        <v>472</v>
      </c>
      <c r="D43" s="600">
        <f>1000+5000</f>
        <v>6000</v>
      </c>
    </row>
    <row r="44" spans="1:4" s="19" customFormat="1" ht="15" customHeight="1">
      <c r="A44" s="18"/>
      <c r="B44" s="21">
        <v>30</v>
      </c>
      <c r="C44" s="685" t="s">
        <v>469</v>
      </c>
      <c r="D44" s="600">
        <v>30000</v>
      </c>
    </row>
    <row r="45" spans="1:4" s="19" customFormat="1" ht="15" customHeight="1">
      <c r="A45" s="18"/>
      <c r="B45" s="21">
        <v>31</v>
      </c>
      <c r="C45" s="685" t="s">
        <v>470</v>
      </c>
      <c r="D45" s="600">
        <v>3000</v>
      </c>
    </row>
    <row r="46" spans="1:4" s="19" customFormat="1" ht="15" customHeight="1">
      <c r="A46" s="18"/>
      <c r="B46" s="21">
        <v>32</v>
      </c>
      <c r="C46" s="685" t="s">
        <v>209</v>
      </c>
      <c r="D46" s="600">
        <f>8128</f>
        <v>8128</v>
      </c>
    </row>
    <row r="47" spans="1:4" s="19" customFormat="1" ht="5.25" customHeight="1">
      <c r="A47" s="20"/>
      <c r="B47" s="21"/>
      <c r="C47" s="560"/>
      <c r="D47" s="600"/>
    </row>
    <row r="48" spans="1:4" s="108" customFormat="1" ht="14.25" customHeight="1">
      <c r="A48" s="20" t="s">
        <v>39</v>
      </c>
      <c r="B48" s="25"/>
      <c r="C48" s="565" t="s">
        <v>84</v>
      </c>
      <c r="D48" s="611">
        <f>SUM(D49:D64)</f>
        <v>186795</v>
      </c>
    </row>
    <row r="49" spans="1:4" s="19" customFormat="1" ht="14.25" customHeight="1">
      <c r="A49" s="20"/>
      <c r="B49" s="21">
        <v>1</v>
      </c>
      <c r="C49" s="560" t="s">
        <v>415</v>
      </c>
      <c r="D49" s="600">
        <f>3000+6000</f>
        <v>9000</v>
      </c>
    </row>
    <row r="50" spans="1:4" s="19" customFormat="1" ht="14.25" customHeight="1">
      <c r="A50" s="20"/>
      <c r="B50" s="21">
        <v>2</v>
      </c>
      <c r="C50" s="543" t="s">
        <v>392</v>
      </c>
      <c r="D50" s="600">
        <f>72011</f>
        <v>72011</v>
      </c>
    </row>
    <row r="51" spans="1:4" s="19" customFormat="1" ht="14.25" customHeight="1">
      <c r="A51" s="20"/>
      <c r="B51" s="21">
        <v>3</v>
      </c>
      <c r="C51" s="560" t="s">
        <v>416</v>
      </c>
      <c r="D51" s="600">
        <f>5000+5000+15000</f>
        <v>25000</v>
      </c>
    </row>
    <row r="52" spans="1:4" s="19" customFormat="1" ht="14.25" customHeight="1">
      <c r="A52" s="20"/>
      <c r="B52" s="21">
        <v>4</v>
      </c>
      <c r="C52" s="560" t="s">
        <v>439</v>
      </c>
      <c r="D52" s="600">
        <f>15747-2540</f>
        <v>13207</v>
      </c>
    </row>
    <row r="53" spans="1:4" s="19" customFormat="1" ht="14.25" customHeight="1">
      <c r="A53" s="20"/>
      <c r="B53" s="21">
        <v>5</v>
      </c>
      <c r="C53" s="560" t="s">
        <v>394</v>
      </c>
      <c r="D53" s="600">
        <v>6501</v>
      </c>
    </row>
    <row r="54" spans="1:4" s="19" customFormat="1" ht="14.25" customHeight="1">
      <c r="A54" s="20"/>
      <c r="B54" s="21">
        <v>6</v>
      </c>
      <c r="C54" s="543" t="s">
        <v>418</v>
      </c>
      <c r="D54" s="601">
        <v>1800</v>
      </c>
    </row>
    <row r="55" spans="1:4" s="19" customFormat="1" ht="14.25" customHeight="1">
      <c r="A55" s="20"/>
      <c r="B55" s="21">
        <v>7</v>
      </c>
      <c r="C55" s="564" t="s">
        <v>419</v>
      </c>
      <c r="D55" s="609">
        <v>1800</v>
      </c>
    </row>
    <row r="56" spans="1:4" s="19" customFormat="1" ht="14.25" customHeight="1">
      <c r="A56" s="20"/>
      <c r="B56" s="21">
        <v>8</v>
      </c>
      <c r="C56" s="563" t="s">
        <v>395</v>
      </c>
      <c r="D56" s="600">
        <v>2500</v>
      </c>
    </row>
    <row r="57" spans="1:4" s="19" customFormat="1" ht="14.25" customHeight="1">
      <c r="A57" s="20"/>
      <c r="B57" s="21">
        <v>9</v>
      </c>
      <c r="C57" s="564" t="s">
        <v>396</v>
      </c>
      <c r="D57" s="600">
        <v>1000</v>
      </c>
    </row>
    <row r="58" spans="1:4" s="19" customFormat="1" ht="14.25" customHeight="1">
      <c r="A58" s="20"/>
      <c r="B58" s="21">
        <v>10</v>
      </c>
      <c r="C58" s="563" t="s">
        <v>410</v>
      </c>
      <c r="D58" s="601">
        <v>1800</v>
      </c>
    </row>
    <row r="59" spans="1:4" s="19" customFormat="1" ht="14.25" customHeight="1">
      <c r="A59" s="20"/>
      <c r="B59" s="21">
        <v>11</v>
      </c>
      <c r="C59" s="685" t="s">
        <v>428</v>
      </c>
      <c r="D59" s="600">
        <v>1000</v>
      </c>
    </row>
    <row r="60" spans="1:4" s="19" customFormat="1" ht="14.25" customHeight="1">
      <c r="A60" s="20"/>
      <c r="B60" s="21">
        <v>12</v>
      </c>
      <c r="C60" s="685" t="s">
        <v>444</v>
      </c>
      <c r="D60" s="600">
        <f>300+1500</f>
        <v>1800</v>
      </c>
    </row>
    <row r="61" spans="1:4" s="19" customFormat="1" ht="15.75" customHeight="1">
      <c r="A61" s="20"/>
      <c r="B61" s="21">
        <v>13</v>
      </c>
      <c r="C61" s="685" t="s">
        <v>437</v>
      </c>
      <c r="D61" s="600">
        <f>5750+892+121</f>
        <v>6763</v>
      </c>
    </row>
    <row r="62" spans="1:4" s="19" customFormat="1" ht="18" customHeight="1">
      <c r="A62" s="20"/>
      <c r="B62" s="21">
        <v>14</v>
      </c>
      <c r="C62" s="685" t="s">
        <v>438</v>
      </c>
      <c r="D62" s="600">
        <f>7747+4967-951+1276+9000</f>
        <v>22039</v>
      </c>
    </row>
    <row r="63" spans="1:4" s="19" customFormat="1" ht="14.25" customHeight="1">
      <c r="A63" s="20"/>
      <c r="B63" s="21">
        <v>15</v>
      </c>
      <c r="C63" s="685" t="s">
        <v>473</v>
      </c>
      <c r="D63" s="600">
        <v>16256</v>
      </c>
    </row>
    <row r="64" spans="1:4" s="19" customFormat="1" ht="18" customHeight="1">
      <c r="A64" s="20"/>
      <c r="B64" s="21">
        <v>16</v>
      </c>
      <c r="C64" s="685" t="s">
        <v>474</v>
      </c>
      <c r="D64" s="600">
        <v>4318</v>
      </c>
    </row>
    <row r="65" spans="1:4" s="19" customFormat="1" ht="4.5" customHeight="1" thickBot="1">
      <c r="A65" s="20"/>
      <c r="B65" s="21"/>
      <c r="C65" s="562"/>
      <c r="D65" s="600"/>
    </row>
    <row r="66" spans="1:4" s="108" customFormat="1" ht="14.25" customHeight="1" thickBot="1" thickTop="1">
      <c r="A66" s="988" t="s">
        <v>332</v>
      </c>
      <c r="B66" s="989"/>
      <c r="C66" s="990"/>
      <c r="D66" s="612">
        <f>D8+D48</f>
        <v>1098325</v>
      </c>
    </row>
    <row r="67" spans="1:4" s="19" customFormat="1" ht="7.5" customHeight="1">
      <c r="A67" s="18"/>
      <c r="B67" s="24"/>
      <c r="C67" s="566"/>
      <c r="D67" s="616"/>
    </row>
    <row r="68" spans="1:4" s="108" customFormat="1" ht="14.25" customHeight="1">
      <c r="A68" s="20" t="s">
        <v>43</v>
      </c>
      <c r="B68" s="558"/>
      <c r="C68" s="559" t="s">
        <v>329</v>
      </c>
      <c r="D68" s="610">
        <f>D72+D71+D70+D69+D73+D74</f>
        <v>48421</v>
      </c>
    </row>
    <row r="69" spans="1:4" s="19" customFormat="1" ht="15.75" customHeight="1">
      <c r="A69" s="18"/>
      <c r="B69" s="125">
        <v>1</v>
      </c>
      <c r="C69" s="567" t="s">
        <v>82</v>
      </c>
      <c r="D69" s="601">
        <v>4513</v>
      </c>
    </row>
    <row r="70" spans="1:4" s="19" customFormat="1" ht="17.25" customHeight="1">
      <c r="A70" s="18"/>
      <c r="B70" s="125">
        <v>2</v>
      </c>
      <c r="C70" s="568" t="s">
        <v>364</v>
      </c>
      <c r="D70" s="600">
        <v>5000</v>
      </c>
    </row>
    <row r="71" spans="1:4" s="19" customFormat="1" ht="17.25" customHeight="1">
      <c r="A71" s="18"/>
      <c r="B71" s="125">
        <v>3</v>
      </c>
      <c r="C71" s="568" t="s">
        <v>404</v>
      </c>
      <c r="D71" s="600">
        <v>9754</v>
      </c>
    </row>
    <row r="72" spans="1:4" s="19" customFormat="1" ht="17.25" customHeight="1">
      <c r="A72" s="18"/>
      <c r="B72" s="125">
        <v>4</v>
      </c>
      <c r="C72" s="568" t="s">
        <v>425</v>
      </c>
      <c r="D72" s="600">
        <f>2000-2000</f>
        <v>0</v>
      </c>
    </row>
    <row r="73" spans="1:4" s="19" customFormat="1" ht="26.25" customHeight="1">
      <c r="A73" s="18"/>
      <c r="B73" s="125">
        <v>5</v>
      </c>
      <c r="C73" s="568" t="s">
        <v>464</v>
      </c>
      <c r="D73" s="600">
        <v>6923</v>
      </c>
    </row>
    <row r="74" spans="1:4" s="19" customFormat="1" ht="14.25" customHeight="1" thickBot="1">
      <c r="A74" s="18"/>
      <c r="B74" s="125">
        <v>6</v>
      </c>
      <c r="C74" s="674" t="s">
        <v>494</v>
      </c>
      <c r="D74" s="675">
        <v>22231</v>
      </c>
    </row>
    <row r="75" spans="1:4" ht="14.25" customHeight="1" thickBot="1" thickTop="1">
      <c r="A75" s="991" t="s">
        <v>74</v>
      </c>
      <c r="B75" s="992"/>
      <c r="C75" s="993"/>
      <c r="D75" s="613">
        <f>D68</f>
        <v>48421</v>
      </c>
    </row>
    <row r="76" spans="1:4" s="549" customFormat="1" ht="14.25" customHeight="1" thickTop="1">
      <c r="A76" s="569"/>
      <c r="B76" s="570"/>
      <c r="C76" s="571" t="s">
        <v>330</v>
      </c>
      <c r="D76" s="982">
        <f>D66+D75</f>
        <v>1146746</v>
      </c>
    </row>
    <row r="77" spans="1:4" s="549" customFormat="1" ht="14.25" customHeight="1" thickBot="1">
      <c r="A77" s="572"/>
      <c r="B77" s="573"/>
      <c r="C77" s="574" t="s">
        <v>331</v>
      </c>
      <c r="D77" s="983"/>
    </row>
  </sheetData>
  <sheetProtection/>
  <mergeCells count="5">
    <mergeCell ref="D76:D77"/>
    <mergeCell ref="C1:D1"/>
    <mergeCell ref="A7:C7"/>
    <mergeCell ref="A66:C66"/>
    <mergeCell ref="A75:C75"/>
  </mergeCells>
  <printOptions horizontalCentered="1" verticalCentered="1"/>
  <pageMargins left="0.7874015748031497" right="0.7874015748031497" top="0.5905511811023623" bottom="0.3937007874015748" header="0.5118110236220472" footer="0"/>
  <pageSetup horizontalDpi="600" verticalDpi="600" orientation="portrait" paperSize="9" scale="80" r:id="rId2"/>
  <rowBreaks count="1" manualBreakCount="1">
    <brk id="57" max="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85" zoomScalePageLayoutView="0" workbookViewId="0" topLeftCell="A1">
      <selection activeCell="C15" sqref="C15"/>
    </sheetView>
  </sheetViews>
  <sheetFormatPr defaultColWidth="9.00390625" defaultRowHeight="12.75"/>
  <cols>
    <col min="1" max="1" width="5.75390625" style="718" bestFit="1" customWidth="1"/>
    <col min="2" max="2" width="56.75390625" style="718" customWidth="1"/>
    <col min="3" max="3" width="16.00390625" style="718" bestFit="1" customWidth="1"/>
    <col min="4" max="4" width="38.25390625" style="747" bestFit="1" customWidth="1"/>
    <col min="5" max="16384" width="9.125" style="718" customWidth="1"/>
  </cols>
  <sheetData>
    <row r="1" spans="1:4" ht="11.25">
      <c r="A1" s="714"/>
      <c r="B1" s="715"/>
      <c r="C1" s="716"/>
      <c r="D1" s="717"/>
    </row>
    <row r="2" spans="1:4" ht="11.25">
      <c r="A2" s="714"/>
      <c r="B2" s="715"/>
      <c r="C2" s="716"/>
      <c r="D2" s="719" t="s">
        <v>475</v>
      </c>
    </row>
    <row r="3" spans="1:4" ht="11.25">
      <c r="A3" s="714"/>
      <c r="B3" s="714" t="s">
        <v>75</v>
      </c>
      <c r="C3" s="714"/>
      <c r="D3" s="720"/>
    </row>
    <row r="4" spans="1:4" ht="11.25">
      <c r="A4" s="714"/>
      <c r="B4" s="714"/>
      <c r="C4" s="714"/>
      <c r="D4" s="714"/>
    </row>
    <row r="5" spans="1:4" ht="11.25">
      <c r="A5" s="714"/>
      <c r="B5" s="715"/>
      <c r="C5" s="716"/>
      <c r="D5" s="721"/>
    </row>
    <row r="6" spans="1:4" ht="11.25">
      <c r="A6" s="714"/>
      <c r="B6" s="715"/>
      <c r="C6" s="716"/>
      <c r="D6" s="721"/>
    </row>
    <row r="7" spans="1:4" ht="11.25">
      <c r="A7" s="714"/>
      <c r="B7" s="715"/>
      <c r="C7" s="716"/>
      <c r="D7" s="721"/>
    </row>
    <row r="8" spans="1:4" ht="11.25">
      <c r="A8" s="714"/>
      <c r="B8" s="715"/>
      <c r="C8" s="716"/>
      <c r="D8" s="721"/>
    </row>
    <row r="9" spans="1:4" ht="12" thickBot="1">
      <c r="A9" s="714"/>
      <c r="B9" s="715"/>
      <c r="C9" s="716"/>
      <c r="D9" s="722" t="s">
        <v>476</v>
      </c>
    </row>
    <row r="10" spans="1:4" ht="23.25" thickBot="1">
      <c r="A10" s="723" t="s">
        <v>477</v>
      </c>
      <c r="B10" s="724" t="s">
        <v>478</v>
      </c>
      <c r="C10" s="725" t="s">
        <v>479</v>
      </c>
      <c r="D10" s="726" t="s">
        <v>480</v>
      </c>
    </row>
    <row r="11" spans="1:4" ht="27.75" customHeight="1">
      <c r="A11" s="727" t="s">
        <v>18</v>
      </c>
      <c r="B11" s="728" t="s">
        <v>481</v>
      </c>
      <c r="C11" s="729">
        <f>1000-500</f>
        <v>500</v>
      </c>
      <c r="D11" s="730" t="s">
        <v>482</v>
      </c>
    </row>
    <row r="12" spans="1:4" ht="42.75" customHeight="1">
      <c r="A12" s="731" t="s">
        <v>19</v>
      </c>
      <c r="B12" s="732" t="s">
        <v>483</v>
      </c>
      <c r="C12" s="729">
        <v>2000</v>
      </c>
      <c r="D12" s="733" t="s">
        <v>484</v>
      </c>
    </row>
    <row r="13" spans="1:4" ht="28.5" customHeight="1">
      <c r="A13" s="731" t="s">
        <v>20</v>
      </c>
      <c r="B13" s="732" t="s">
        <v>485</v>
      </c>
      <c r="C13" s="729">
        <f>1500-50-200-300-400+500-20-50-100-330-200-100</f>
        <v>250</v>
      </c>
      <c r="D13" s="734" t="s">
        <v>482</v>
      </c>
    </row>
    <row r="14" spans="1:4" ht="46.5" customHeight="1">
      <c r="A14" s="735" t="s">
        <v>21</v>
      </c>
      <c r="B14" s="736" t="s">
        <v>486</v>
      </c>
      <c r="C14" s="737">
        <f>2000+1820</f>
        <v>3820</v>
      </c>
      <c r="D14" s="733" t="s">
        <v>484</v>
      </c>
    </row>
    <row r="15" spans="1:4" ht="32.25" customHeight="1">
      <c r="A15" s="735" t="s">
        <v>22</v>
      </c>
      <c r="B15" s="736" t="s">
        <v>487</v>
      </c>
      <c r="C15" s="738">
        <f>1820-1820</f>
        <v>0</v>
      </c>
      <c r="D15" s="733" t="s">
        <v>484</v>
      </c>
    </row>
    <row r="16" spans="1:4" ht="32.25" customHeight="1" thickBot="1">
      <c r="A16" s="739" t="s">
        <v>23</v>
      </c>
      <c r="B16" s="740" t="s">
        <v>488</v>
      </c>
      <c r="C16" s="741">
        <f>4000-2500</f>
        <v>1500</v>
      </c>
      <c r="D16" s="742" t="s">
        <v>484</v>
      </c>
    </row>
    <row r="17" spans="1:4" ht="12" thickBot="1">
      <c r="A17" s="743"/>
      <c r="B17" s="744" t="s">
        <v>489</v>
      </c>
      <c r="C17" s="745">
        <f>SUM(C11:C16)</f>
        <v>8070</v>
      </c>
      <c r="D17" s="74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Molnár Éva</cp:lastModifiedBy>
  <cp:lastPrinted>2016-09-06T12:06:59Z</cp:lastPrinted>
  <dcterms:created xsi:type="dcterms:W3CDTF">2006-02-08T00:02:41Z</dcterms:created>
  <dcterms:modified xsi:type="dcterms:W3CDTF">2016-09-06T12:08:12Z</dcterms:modified>
  <cp:category/>
  <cp:version/>
  <cp:contentType/>
  <cp:contentStatus/>
</cp:coreProperties>
</file>