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32" activeTab="2"/>
  </bookViews>
  <sheets>
    <sheet name="1.mell" sheetId="1" r:id="rId1"/>
    <sheet name="2.mell" sheetId="2" r:id="rId2"/>
    <sheet name="3.mell" sheetId="3" r:id="rId3"/>
    <sheet name="4.mell " sheetId="4" r:id="rId4"/>
    <sheet name="5.mell" sheetId="5" r:id="rId5"/>
    <sheet name="6.mell" sheetId="6" r:id="rId6"/>
    <sheet name=" 7.mell (8.mell)" sheetId="7" r:id="rId7"/>
  </sheets>
  <externalReferences>
    <externalReference r:id="rId10"/>
  </externalReferences>
  <definedNames>
    <definedName name="_xlnm.Print_Titles" localSheetId="6">' 7.mell (8.mell)'!$3:$5</definedName>
    <definedName name="_xlnm.Print_Titles" localSheetId="2">'3.mell'!$4:$5</definedName>
    <definedName name="_xlnm.Print_Titles" localSheetId="4">'5.mell'!$5:$7</definedName>
    <definedName name="_xlnm.Print_Titles" localSheetId="5">'6.mell'!$5:$5</definedName>
    <definedName name="_xlnm.Print_Area" localSheetId="6">' 7.mell (8.mell)'!$A$1:$L$68</definedName>
    <definedName name="_xlnm.Print_Area" localSheetId="0">'1.mell'!$A$1:$O$31</definedName>
    <definedName name="_xlnm.Print_Area" localSheetId="1">'2.mell'!$A$1:$E$50</definedName>
    <definedName name="_xlnm.Print_Area" localSheetId="2">'3.mell'!$A$1:$H$162</definedName>
    <definedName name="_xlnm.Print_Area" localSheetId="3">'4.mell '!$A$1:$L$19</definedName>
    <definedName name="_xlnm.Print_Area" localSheetId="4">'5.mell'!$A$1:$R$141</definedName>
    <definedName name="_xlnm.Print_Area" localSheetId="5">'6.mell'!$A$1:$D$71</definedName>
  </definedNames>
  <calcPr fullCalcOnLoad="1"/>
</workbook>
</file>

<file path=xl/sharedStrings.xml><?xml version="1.0" encoding="utf-8"?>
<sst xmlns="http://schemas.openxmlformats.org/spreadsheetml/2006/main" count="1067" uniqueCount="529">
  <si>
    <t xml:space="preserve">Közfoglalkoztatás 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</si>
  <si>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</si>
  <si>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</si>
  <si>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</si>
  <si>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</si>
  <si>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</si>
  <si>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</si>
  <si>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</si>
  <si>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</si>
  <si>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</si>
  <si>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</si>
  <si>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</si>
  <si>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</si>
  <si>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</si>
  <si>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</si>
  <si>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</si>
  <si>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</si>
  <si>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</si>
  <si>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</si>
  <si>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</si>
  <si>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</si>
  <si>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</si>
  <si>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</si>
  <si>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</si>
  <si>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</si>
  <si>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</si>
  <si>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</si>
  <si>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</si>
  <si>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</si>
  <si>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</si>
  <si>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</si>
  <si>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</si>
  <si>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</si>
  <si>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</si>
  <si>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</si>
  <si>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</si>
  <si>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</si>
  <si>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</si>
  <si>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</si>
  <si>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</si>
  <si>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</si>
  <si>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</si>
  <si>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</si>
  <si>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Talajterhelési díj</t>
  </si>
  <si>
    <t>Mezőőri feladatok ellátására támogatás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</si>
  <si>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</si>
  <si>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</si>
  <si>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</si>
  <si>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</si>
  <si>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</si>
  <si>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</si>
  <si>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</si>
  <si>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</si>
  <si>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</si>
  <si>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</si>
  <si>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</si>
  <si>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</si>
  <si>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</si>
  <si>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</si>
  <si>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</si>
  <si>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</si>
  <si>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</si>
  <si>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</si>
  <si>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</si>
  <si>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</si>
  <si>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</si>
  <si>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</si>
  <si>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</si>
  <si>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</si>
  <si>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</si>
  <si>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</si>
  <si>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</si>
  <si>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</si>
  <si>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</si>
  <si>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>Sikeres Magyarországért Panel Plusz Hitelprogram</t>
  </si>
  <si>
    <t>Lakbértámogatás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</si>
  <si>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</si>
  <si>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</si>
  <si>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</si>
  <si>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</si>
  <si>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 xml:space="preserve">Felújítások </t>
  </si>
  <si>
    <t>Finanszírozási kiadások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</si>
  <si>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</si>
  <si>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</si>
  <si>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</si>
  <si>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</si>
  <si>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</si>
  <si>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Lakó- és nem lakóépület építése, felújítása</t>
  </si>
  <si>
    <t>Közutak üzemeltetése, fenntartársa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</si>
  <si>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</si>
  <si>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</si>
  <si>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</si>
  <si>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</si>
  <si>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</si>
  <si>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</si>
  <si>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</si>
  <si>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</si>
  <si>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</si>
  <si>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</si>
  <si>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</si>
  <si>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</si>
  <si>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>Közművelődési tevékenységek és támogatásuk</t>
  </si>
  <si>
    <t>Szabadidős park, fürdő- és strandszolgáltatás</t>
  </si>
  <si>
    <t>Köztemető fenntartása és működtetése</t>
  </si>
  <si>
    <t>Közfoglalkoztatás</t>
  </si>
  <si>
    <t>Egyéb működési célú kiadások</t>
  </si>
  <si>
    <t>juttatások</t>
  </si>
  <si>
    <t>Ellátottak pénzbeli juttatásai</t>
  </si>
  <si>
    <t>Egyéb veszélyes hulladékok kezelése</t>
  </si>
  <si>
    <t>Szennyvíz-kezelés</t>
  </si>
  <si>
    <t>Mezőgazdaság igazgatási és szabályozási feladatai</t>
  </si>
  <si>
    <t>Köz- és díszvilágítás</t>
  </si>
  <si>
    <t xml:space="preserve">     Térfigyelő kamera üzemeltetése</t>
  </si>
  <si>
    <t>Oktatási feladatok</t>
  </si>
  <si>
    <t>BURSA - támogatás önerő</t>
  </si>
  <si>
    <t>Állami lakástámogatások jogszabály alapján - Sikeres Magyarországért Panel Plusz</t>
  </si>
  <si>
    <t>-ebből OEP</t>
  </si>
  <si>
    <t>Egyéb köztisztasági tevékenységek</t>
  </si>
  <si>
    <t>Díszvilágítás</t>
  </si>
  <si>
    <t>Környezetvédelmi Alap felhasználása</t>
  </si>
  <si>
    <t>Közhatalmi bevételek</t>
  </si>
  <si>
    <t>23.</t>
  </si>
  <si>
    <t>Anyakönyvi eljárás díja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</si>
  <si>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</si>
  <si>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</si>
  <si>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</si>
  <si>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</si>
  <si>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</si>
  <si>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</si>
  <si>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</si>
  <si>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</si>
  <si>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</si>
  <si>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</si>
  <si>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</si>
  <si>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Önkormányzati intézmények bevételei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</si>
  <si>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</si>
  <si>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</si>
  <si>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</si>
  <si>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</si>
  <si>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</si>
  <si>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</si>
  <si>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</si>
  <si>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</si>
  <si>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</si>
  <si>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</si>
  <si>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</si>
  <si>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</si>
  <si>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</si>
  <si>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</si>
  <si>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Társulási hozzájárulás</t>
  </si>
  <si>
    <t>27.</t>
  </si>
  <si>
    <t>Önkormányzat bevételei</t>
  </si>
  <si>
    <t>AZ ÖNKORMÁNYZAT ÉS A POLGÁRMESTERI HIVATAL BEVÉTELEI</t>
  </si>
  <si>
    <t>Utak fenntartása, építése</t>
  </si>
  <si>
    <t xml:space="preserve">        önként vállalt feladatok</t>
  </si>
  <si>
    <t>Polgármesteri Hivatal</t>
  </si>
  <si>
    <t>Polgármesteri Hivatal tevékenysége</t>
  </si>
  <si>
    <t>Petőfi Sándor Társaság támogatása</t>
  </si>
  <si>
    <t>Kiskőrös Városért Alapítvány támogatása</t>
  </si>
  <si>
    <t>Kiskőrösi Óvodák</t>
  </si>
  <si>
    <t>állami (államigazgatási) feladat</t>
  </si>
  <si>
    <t>önként vállalt feladatokhoz</t>
  </si>
  <si>
    <t>ebből: kötelező feladatellátáshoz</t>
  </si>
  <si>
    <t>Ebből: kötelező feladatellátáshoz</t>
  </si>
  <si>
    <t>- általános működési támogatás</t>
  </si>
  <si>
    <t>á</t>
  </si>
  <si>
    <t>Jogalkotás</t>
  </si>
  <si>
    <t>Társulás  - Háziorvosi ügyelet támogatása</t>
  </si>
  <si>
    <t>Férfi kézilabda támogatása</t>
  </si>
  <si>
    <t>Küzdősportok támogatása</t>
  </si>
  <si>
    <t>Kiskőrös Város Hegyközsége támogatása</t>
  </si>
  <si>
    <t>Borversenyek, Agrárexpo támogatása</t>
  </si>
  <si>
    <t>Jégelhárító rendszer működtetése</t>
  </si>
  <si>
    <t>Állami (államigazgatási) feladatellátáshoz</t>
  </si>
  <si>
    <t>Önként vállalt feladatellátáshoz</t>
  </si>
  <si>
    <t xml:space="preserve">Polgármesteri Hivatal bevételei </t>
  </si>
  <si>
    <t>Ebből:kötelező feladatellátáshoz</t>
  </si>
  <si>
    <t>Az Önkormányzat által irányított költségvetési szervek bevételei összesen A</t>
  </si>
  <si>
    <t xml:space="preserve">Finanszírozási bevételek </t>
  </si>
  <si>
    <t>Finanszírozási bevételek</t>
  </si>
  <si>
    <t>BEVÉTELEK MINDÖSSZESEN (I.+II.+III.)</t>
  </si>
  <si>
    <t>Polgármesteri Hivatal pénzbeli és természetbeni ellátásai</t>
  </si>
  <si>
    <t>Kisoroszi tábor fenntartása, működtetése</t>
  </si>
  <si>
    <t>Kiskőrösi Női KSZSE támogatása</t>
  </si>
  <si>
    <t>Egészségügyi, Gyermekjóléti és Szociális Intézmény</t>
  </si>
  <si>
    <t>Rendszeres gyermekvédelmi kedvezmény</t>
  </si>
  <si>
    <t>Településrendezési terv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</si>
  <si>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</si>
  <si>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</si>
  <si>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</si>
  <si>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</si>
  <si>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</si>
  <si>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</si>
  <si>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</si>
  <si>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</si>
  <si>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</si>
  <si>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- kulturális feladatok támogatása</t>
  </si>
  <si>
    <t>B115</t>
  </si>
  <si>
    <t>B116</t>
  </si>
  <si>
    <t>- kiegészítő támogatások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</si>
  <si>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</si>
  <si>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</si>
  <si>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</si>
  <si>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</si>
  <si>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Társulási feladatokhoz támogatás</t>
  </si>
  <si>
    <t>B31. Jövedelemadók</t>
  </si>
  <si>
    <t>B32. Szociális hozzájárulási adó és járulákok</t>
  </si>
  <si>
    <t>Magánszemélyek kommunális adója</t>
  </si>
  <si>
    <t>Iparűzési adó</t>
  </si>
  <si>
    <t>Idegenforgalmi adó bevételek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</si>
  <si>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</si>
  <si>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</si>
  <si>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</si>
  <si>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</si>
  <si>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</si>
  <si>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</si>
  <si>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</si>
  <si>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</si>
  <si>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</si>
  <si>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</si>
  <si>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</si>
  <si>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</si>
  <si>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</si>
  <si>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</si>
  <si>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</si>
  <si>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</si>
  <si>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</si>
  <si>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</si>
  <si>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</si>
  <si>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</si>
  <si>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</si>
  <si>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</si>
  <si>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</si>
  <si>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</si>
  <si>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</si>
  <si>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</si>
  <si>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</si>
  <si>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</si>
  <si>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</si>
  <si>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</si>
  <si>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</si>
  <si>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</si>
  <si>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</si>
  <si>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Összesen ( II./1-7.)</t>
  </si>
  <si>
    <t>- szociális, gyermekjóléti és gyermekétkeztetési feladatok támogatása</t>
  </si>
  <si>
    <t>- működési célú központosított előirányzatok</t>
  </si>
  <si>
    <t>B3. Közhatalmi bevételek (B31.+…+B36.)</t>
  </si>
  <si>
    <t>Mellrákszűrés</t>
  </si>
  <si>
    <t>Tranzakciós illeték, kamatkiadások, bankköltségek</t>
  </si>
  <si>
    <t>B33. Bérhez és foglalkoztatáshoz kapcsolódó adók</t>
  </si>
  <si>
    <t>Működési célú</t>
  </si>
  <si>
    <t>B1. Működési célú támogatások államháztartáson belülről (B11.+…+B16.):</t>
  </si>
  <si>
    <t>Polgármesteri Hivatal:</t>
  </si>
  <si>
    <t>Önkormányzat: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</si>
  <si>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</si>
  <si>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</si>
  <si>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</si>
  <si>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</si>
  <si>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B. Az Önkormányzat és a Polgármesteri Hivatal bevételei összesen B1.+…+B8.</t>
  </si>
  <si>
    <t>Működési célú támogatások államháztar-táson belülről     B1.</t>
  </si>
  <si>
    <t>Felhalmozási célú átvett pénzeszközök     B7.</t>
  </si>
  <si>
    <t>Működési célú átvett pénzeszközök            B6.</t>
  </si>
  <si>
    <t>Felhalmozási célú támogatások államháztar-táson belülről      B2.</t>
  </si>
  <si>
    <t>Felhal-mozási     célú</t>
  </si>
  <si>
    <t xml:space="preserve">B16 </t>
  </si>
  <si>
    <t>B351121</t>
  </si>
  <si>
    <t>B34114</t>
  </si>
  <si>
    <t>B354121</t>
  </si>
  <si>
    <t>B355121</t>
  </si>
  <si>
    <t>- bölcsődei ellátás</t>
  </si>
  <si>
    <t>- gyermekétkeztetés</t>
  </si>
  <si>
    <t>- bentlakásos intézmény</t>
  </si>
  <si>
    <t>Kamatbevételek</t>
  </si>
  <si>
    <t>Szolgáltatások ellenértéke</t>
  </si>
  <si>
    <t>B355122</t>
  </si>
  <si>
    <t>Intézményi beruházások, kisértékű tárgyi eszköz beszerzések</t>
  </si>
  <si>
    <t>Közvetített szolgáltatások ellenértéke</t>
  </si>
  <si>
    <t>Egyéb közhatalmi bevételek</t>
  </si>
  <si>
    <t>Tulajdonosi bevételek</t>
  </si>
  <si>
    <t>Önkormányzati pénzbeli, természetbeni ellátások</t>
  </si>
  <si>
    <t>Települési támogatás</t>
  </si>
  <si>
    <t>Egyéb felhalmozás célú kiadások</t>
  </si>
  <si>
    <t>BERUHÁZÁSOK, FELÚJÍTÁSOK ÉS EGYÉB FELHALMOZÁSI</t>
  </si>
  <si>
    <t>JELLEGŰ KIADÁSOK, TÁMOGATÁSOK ÖSSZESEN</t>
  </si>
  <si>
    <t>Beruházások és felújítások összesen</t>
  </si>
  <si>
    <t>Önkormányzati hozzájárulás</t>
  </si>
  <si>
    <t>B406</t>
  </si>
  <si>
    <t>Ellátási díjak</t>
  </si>
  <si>
    <t>Kiszámlázott általános forgalmi adó</t>
  </si>
  <si>
    <t>B405</t>
  </si>
  <si>
    <t>Kiskőrösi Polgármesteri Hivatal</t>
  </si>
  <si>
    <t>Szociális lakásvásárlás, munkáltatói kölcsönök, belvízkárosult lakások visszatérítendő kölcsönei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</si>
  <si>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</si>
  <si>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</si>
  <si>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</si>
  <si>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</si>
  <si>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</si>
  <si>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>Az Önkormányzat és a Polgármesteri Hivatal költségvetési bevételei</t>
  </si>
  <si>
    <t xml:space="preserve">KÖLTSÉGVETÉSI KIADÁSOK ÖSSZESEN </t>
  </si>
  <si>
    <t>Költségvetési egyenleg - hiány (Költségvetési bevételek összesen -Költségvetési kiadások összesen)</t>
  </si>
  <si>
    <t xml:space="preserve"> Értékbecslések, tulajdoni lapok, térképkivonatok, vázrajzok, ingatlan-nyilvántartási eljárás díjai, közbeszerzési eljárások lebonyolítása, közzétételi díjak, ellenjegyzést igénylő szerződések ügyvédi munkadíjai</t>
  </si>
  <si>
    <t>Polgári védelmi feladatok, védőeszközök tárolása, kezelése</t>
  </si>
  <si>
    <t>Értékesítések</t>
  </si>
  <si>
    <t>Cím megnevezése</t>
  </si>
  <si>
    <t>Költségvetési bevételek B1-B7.</t>
  </si>
  <si>
    <t>Finanszírozási bevételek B8.</t>
  </si>
  <si>
    <t>B4</t>
  </si>
  <si>
    <t>B6, B7</t>
  </si>
  <si>
    <t>Támogatások államháztartáson belülről, átvett pénzeszközök</t>
  </si>
  <si>
    <t>B1, B2</t>
  </si>
  <si>
    <t>Kőrösszolg Kft. - intézményüzemeltetési feladatai</t>
  </si>
  <si>
    <t>Kőrösszolg Kft. - köztisztasági és parkfenntartási feladatai</t>
  </si>
  <si>
    <t>Működési bevételek    B3-4.</t>
  </si>
  <si>
    <t>Épületek építése, fenntartása, üzemeltetése</t>
  </si>
  <si>
    <t>Egészségfejlesztési Iroda</t>
  </si>
  <si>
    <t>Rászoruló gyermekek intézményen kívüli szünidei étkezése</t>
  </si>
  <si>
    <t>Gyermekétkeztetési feladatok</t>
  </si>
  <si>
    <t>Bentlakásos intézmény étkezés</t>
  </si>
  <si>
    <t>Összesen 1-4. sorok</t>
  </si>
  <si>
    <t>INTÉZMÉNYEK ÖSSZESEN ( 1. - 4. sorok )</t>
  </si>
  <si>
    <t>POLGÁRMESTERI HIVATAL KIADÁSAI ÖSSZESEN (5. sor)</t>
  </si>
  <si>
    <t xml:space="preserve">     Fürdő üzemeltetési díja</t>
  </si>
  <si>
    <t>Egészségfejlesztési Iroda fenntartása</t>
  </si>
  <si>
    <t>Pályázatokhoz önerő, pályázatok előkészítő szakaszainak kiadásai, el nem számolható kiadások</t>
  </si>
  <si>
    <t>Befejezett viziközmű</t>
  </si>
  <si>
    <t>Önkormányzati bérlakások felújítása, kialakítása, karbantartása</t>
  </si>
  <si>
    <t>Előző év maradványának igénybevétele</t>
  </si>
  <si>
    <t xml:space="preserve">Költségvetési hiány finanszírozása -  belső finanszírozás - előző év maradványának igénybevétele </t>
  </si>
  <si>
    <t>Önkormányzati kisebb beruházások</t>
  </si>
  <si>
    <t>Önkormányzati kisebb felújítások</t>
  </si>
  <si>
    <t xml:space="preserve">Önkormányzati bérlakások felújítása </t>
  </si>
  <si>
    <t xml:space="preserve">Önkormányzati bérlakások kialakítása, vásárlása </t>
  </si>
  <si>
    <t>B74</t>
  </si>
  <si>
    <t>- család- és gyermekjóléti szolgálat és központ</t>
  </si>
  <si>
    <t>Nyílt szikkasztó-, vízelvezető árok lefedések, áteresz építések, csapadékvíz bekötések</t>
  </si>
  <si>
    <t>Csapadékvíz elvezető csatornák, árkok felújítása</t>
  </si>
  <si>
    <t>Burkolatfelújítások, parkolók, járdák felújítása</t>
  </si>
  <si>
    <t>B6</t>
  </si>
  <si>
    <t>Közművelődési intézmények, kulturális és közösségi színterek működtetése, infrastrukturális fejlesztése, Tourinform Iroda működtetése</t>
  </si>
  <si>
    <t xml:space="preserve">Egészségügyi, Gyermekjóléti és Szociális Intézmény  </t>
  </si>
  <si>
    <t>B811</t>
  </si>
  <si>
    <t>Költségvetési hiány finanszírozása -  külső finanszírozás - adósságot keletkeztető ügylet - hitel felvétele</t>
  </si>
  <si>
    <t>Adósságot keletkeztető ügylet - hitel felvétele</t>
  </si>
  <si>
    <t>Nemzeti Szabadidős-Egészség Sportpark Program pályázat - önerő</t>
  </si>
  <si>
    <t>Betétek elhelyezése, értékpapírok vásárlása</t>
  </si>
  <si>
    <t xml:space="preserve">Kiskőrösi Smart Small Town </t>
  </si>
  <si>
    <t>B52-54</t>
  </si>
  <si>
    <t>Bűnmegelőzési projektek megvalósítása</t>
  </si>
  <si>
    <t xml:space="preserve">Sportcélok </t>
  </si>
  <si>
    <t>- szociális összevont ágazati pótlék</t>
  </si>
  <si>
    <t>Közigazgatási bírságok önkormányzatot megillető része</t>
  </si>
  <si>
    <t>Szociális ágazati összevont pótlék, bérkompenzáció, kulturális pótlék</t>
  </si>
  <si>
    <t>támoga-tások államház-tartáson belülre</t>
  </si>
  <si>
    <t>Kiskőrös Városi Polgárőr Egyesület támogatása</t>
  </si>
  <si>
    <t>Városi rendezvények lebonyolítása, közreműködés, fellépés</t>
  </si>
  <si>
    <t>Előző évi maradvány igénybevétele</t>
  </si>
  <si>
    <t>Betétek megszűntetése,  belföldi értékpapírok bevételei</t>
  </si>
  <si>
    <t>Költségvetési hiány finanszírozása -  külső finanszírozás - Betétek megszűntetése, belföldi értékpapírok bevételei</t>
  </si>
  <si>
    <t>B812, B817</t>
  </si>
  <si>
    <t>B813</t>
  </si>
  <si>
    <t>Napelem telepítések kapcsán mérőóra és amper átalakítás</t>
  </si>
  <si>
    <t xml:space="preserve">Térfigyelő rendszer bővítése </t>
  </si>
  <si>
    <t>Közfoglalkoztatás eszközök beszerzése</t>
  </si>
  <si>
    <t>Sportcélú fejlesztések</t>
  </si>
  <si>
    <t>Ft - ban</t>
  </si>
  <si>
    <t xml:space="preserve"> Ft - ban</t>
  </si>
  <si>
    <t>Ft-ban</t>
  </si>
  <si>
    <t xml:space="preserve"> BEVÉTELEK ÖSSZESEN A+B</t>
  </si>
  <si>
    <t>AZ ÖNKORMÁNYZAT ÁLTAL IRÁNYÍTOTT KÖLTSÉGVETÉSI SZERVEK KÖLTSÉGVETÉSI BEVÉTELEI</t>
  </si>
  <si>
    <t>B12. Elvonások és befizetések bevételei - Önkormányzat:</t>
  </si>
  <si>
    <t>.</t>
  </si>
  <si>
    <t>B6. Működési célú átvett pénzeszközök - Önkormányzat:</t>
  </si>
  <si>
    <t>B7. Felhalmozási célú átvett pénzeszközök - Önkormányzat:</t>
  </si>
  <si>
    <t>B8. Finanszírozási bevételek - Önkormányzat:</t>
  </si>
  <si>
    <t>1,1-3</t>
  </si>
  <si>
    <t>TOP – 7.1.1-16 - Kulturális és közösségi terek infrastrukturális fejlesztése és helyi közösségszervezés a városi helyi fejlesztési stratégiához kapcsolódva</t>
  </si>
  <si>
    <t xml:space="preserve">TOP-3.2.1-15 - Kiskőrös Város Önkormányzatának épületenergetikai fejlesztési projektje </t>
  </si>
  <si>
    <t xml:space="preserve">TOP-2.1.3-16 - "Települési környezetvédelmi infrastuktúra fejlesztések" - Csapadékvíz gyűjtésére szolgáló záportározó kiépítéséhez szükséges ingatlanok megvásárlása, előkészítési feladatok </t>
  </si>
  <si>
    <t>B25</t>
  </si>
  <si>
    <t>Volt iskolaépület felújítása - NFM támogatás</t>
  </si>
  <si>
    <t>támogatások államház-tartáson kívülre</t>
  </si>
  <si>
    <t>Kiskőrösi Labdarúgó Club támogatása</t>
  </si>
  <si>
    <t>Önkormányzati vagyon hasznosításával kapcsolatos kiadások</t>
  </si>
  <si>
    <t>DÉMÁSZ oszlopok kiváltások, áthelyezések, bővítések</t>
  </si>
  <si>
    <t>Igazgatási tevékenység - KÖFOP-1.2.1-VEKOP-16 - Csatlakoztatási konstrukció az önkormányzati ASP rendszerhez</t>
  </si>
  <si>
    <t xml:space="preserve">KÖFOP-1.2.1-VEKOP-16 - Csatlakoztatási konstrukció az önkormányzati ASP rendszerhez </t>
  </si>
  <si>
    <t>TOP-1.4.1-15 - Új Óvoda építése</t>
  </si>
  <si>
    <t>államház-tartáson kívülre</t>
  </si>
  <si>
    <t>államház-tartáson belülre</t>
  </si>
  <si>
    <t xml:space="preserve">TOP-5.1.2-16 - „Helyi foglalkoztatási együttműködések” </t>
  </si>
  <si>
    <t>TOP- 1.4.1-15 - A Kiskőrösi bölcsőde fejlesztése</t>
  </si>
  <si>
    <t xml:space="preserve">TOP-3.2.2-15 - Biomassza erőmű projekt Kiskőrösön </t>
  </si>
  <si>
    <t>EFOP-3.2.9-16 - Óvodai és iskolai szociális segítő tevékenység fejlesztése</t>
  </si>
  <si>
    <t>Európa a polgárokért program - önerő</t>
  </si>
  <si>
    <t>Termálkút felújítása</t>
  </si>
  <si>
    <t xml:space="preserve">„Muzeális intézmények szakmai támogatására” - Kubinyi Ágoston program </t>
  </si>
  <si>
    <t xml:space="preserve">Óvoda épületének megvásárlása </t>
  </si>
  <si>
    <t>Földes utak útalappal történő kiépítése, járdaépítések, útburkolatok, parkolóépítés, gyalogátkelőhelyek kialakítása, ezen feladatokhoz ingatlan vásárlás</t>
  </si>
  <si>
    <t xml:space="preserve">Erzsébet-utalványok </t>
  </si>
  <si>
    <t>Járásszékhely múzeumok szakmai támogatása</t>
  </si>
  <si>
    <t>Új hévízkút létesítése</t>
  </si>
  <si>
    <t>Sor-szám</t>
  </si>
  <si>
    <t>Intézményi 2017. évi szabad pénzmaradvány</t>
  </si>
  <si>
    <t>Kőrösszolg Kft. 2017. évi elszámolása</t>
  </si>
  <si>
    <t>2018. évi nettó finanszírozás megelőlegezésének visszafizetése</t>
  </si>
  <si>
    <t>TOP-2.1.3-16 - Települési környezetvédelmi infrastruktúra fejlesztések (záportározó)</t>
  </si>
  <si>
    <t>TOP-1.1.3-16 - Helyi gazdaságfejlesztés</t>
  </si>
  <si>
    <t>TOP-1.4.1-16 - Batthyányi utcai óvoda fejlesztése</t>
  </si>
  <si>
    <t>EFOP-1.2.11-16 - Esély otthon</t>
  </si>
  <si>
    <t xml:space="preserve">Thököly u. 15. szám alatti önkormányzati tulajdonú ingatlan korszerűsítése </t>
  </si>
  <si>
    <t>Batthyányi utcai óvoda fejlesztése</t>
  </si>
  <si>
    <t>Batthyányi utcai Óvoda fejlesztése</t>
  </si>
  <si>
    <t>Zártkeri besorolású földrészletek mezőgazdasági hasznosítását segítő, infrastrukturális hátterét biztosító fejlesztés - önerő</t>
  </si>
  <si>
    <t>Választás</t>
  </si>
  <si>
    <t>Hitel törlesztő részlet</t>
  </si>
  <si>
    <t>más kiemelt előirány-zaton nem szerepeltet-hető kiadások</t>
  </si>
  <si>
    <t>Városi rendezvények beszerzései</t>
  </si>
  <si>
    <t>Kőrösszolg Kft. - sport feladatai</t>
  </si>
  <si>
    <t>ASP rendszer bevezetéséhez támogatás</t>
  </si>
  <si>
    <t>Erzsébet utalványok</t>
  </si>
  <si>
    <t xml:space="preserve">Kőrösszolg Kft. - János Vitéz látogatóközpont szakmai feladatainak ellátása és a 2018. évi városi rendezvények teljes körű lebonyolítása </t>
  </si>
  <si>
    <t>"Kiskőrös Város 300" programjai</t>
  </si>
  <si>
    <t>Sorsfordító Szolgáltató Központ  Kiskőrös - család- és gyermekjóléti szolgálat normatíva továbbutalása</t>
  </si>
  <si>
    <t>TOP-1.1.3-16 - Helyi gazdaságfejlesztés - Piaccsarnok beruházás</t>
  </si>
  <si>
    <t>ÖNKORMÁNYZATI KIADÁSOK ÖSSZESEN ( 6-32. sorok )</t>
  </si>
  <si>
    <t>34.</t>
  </si>
  <si>
    <t>Támogatások</t>
  </si>
  <si>
    <t>1. melléklet a ..../2018. (.....) önk. rendelethez</t>
  </si>
  <si>
    <t>2. melléklet a ..../2018. (.....) önk. rendelethez</t>
  </si>
  <si>
    <t>3. melléklet a ..../2018. (.....) önk. rendelethez</t>
  </si>
  <si>
    <t>4. melléklet a ..../2018. (.....) önk. rendelethez</t>
  </si>
  <si>
    <t>5. melléklet a ..../2018. (.....) önk. rendelethez</t>
  </si>
  <si>
    <t>6. melléklet a ..../2018. (.....) önk. rendelethez</t>
  </si>
  <si>
    <r>
      <t xml:space="preserve">ÖNKORMÁNYZAT ÉS A POLGÁRMESTERI HIVATAL KIADÁSAI FINANSZÍROZÁSI KIADÁSOKKAL ÖSSZESEN </t>
    </r>
    <r>
      <rPr>
        <sz val="8"/>
        <rFont val="Times New Roman CE"/>
        <family val="1"/>
      </rPr>
      <t>(6-34. sorok)</t>
    </r>
  </si>
  <si>
    <r>
      <t xml:space="preserve">KIADÁSOK ÖSSZESEN </t>
    </r>
    <r>
      <rPr>
        <sz val="8"/>
        <rFont val="Times New Roman CE"/>
        <family val="1"/>
      </rPr>
      <t>( 1-34. sorok )</t>
    </r>
  </si>
  <si>
    <t>Kiskőrös Város Önkéntes Tűzoltó Egyesület támogatása</t>
  </si>
  <si>
    <t>I. Kiskőrös Város Önkormányzatánál lévő programok, projektek</t>
  </si>
  <si>
    <t>Az európai uniós forrásokkal támogatott program megnevezése</t>
  </si>
  <si>
    <t>testületi határozat száma</t>
  </si>
  <si>
    <t>elbírálás, benyúj-tás sza-kasza</t>
  </si>
  <si>
    <t>év</t>
  </si>
  <si>
    <t>Kiadást finanszírozó források</t>
  </si>
  <si>
    <t>Kiadások összesen</t>
  </si>
  <si>
    <t>Önerő</t>
  </si>
  <si>
    <t>Társulási hozzá-járulás</t>
  </si>
  <si>
    <t>Hazai - központi támogatás</t>
  </si>
  <si>
    <t>Európai Unió támogatása</t>
  </si>
  <si>
    <t>saját bevételből</t>
  </si>
  <si>
    <t>hitelből</t>
  </si>
  <si>
    <t>TOP-1.4.1-15</t>
  </si>
  <si>
    <t xml:space="preserve">Új óvoda építésére </t>
  </si>
  <si>
    <t>39/2016., 2/2017., 42/2017., 83/2017.</t>
  </si>
  <si>
    <t>2016. teljesítés</t>
  </si>
  <si>
    <t>2017. teljesítés</t>
  </si>
  <si>
    <t>2018. terv</t>
  </si>
  <si>
    <t>2019. terv</t>
  </si>
  <si>
    <t xml:space="preserve">Kiskőrösi Bölcsőde fejlesztése </t>
  </si>
  <si>
    <t>59/2016.</t>
  </si>
  <si>
    <t>80/2016.</t>
  </si>
  <si>
    <t xml:space="preserve"> TOP-3.2.2-15 - Biomassza erőmű projekt Kiskőrösön </t>
  </si>
  <si>
    <t>81/2016.</t>
  </si>
  <si>
    <t>EFOP-3.3.2-16 - Kulturális intézmények a köznevelés eredményességéért</t>
  </si>
  <si>
    <t>133/2016.</t>
  </si>
  <si>
    <t>150/2016.</t>
  </si>
  <si>
    <t>VP6-7.2.1-7.4.1.2-16 - Külterületi helyi közutak fejlesztése, önkormányzati utak kezeléséhez, állapotjavításához, karbantartásához szükséges erő- és munkagépek beszerzése -  (út)</t>
  </si>
  <si>
    <t>190/2016.</t>
  </si>
  <si>
    <t>EFOP-3.7.3-16 - Az egész életen át tartó tanuláshoz hozzáférés biztosítása</t>
  </si>
  <si>
    <t>7/2017., 39/2017.</t>
  </si>
  <si>
    <t>9/2017.</t>
  </si>
  <si>
    <t>EFOP-1.5.3-16 - Humán szolgáltatások fejlesztése térségi szemléletben- kedvezményezett térségek</t>
  </si>
  <si>
    <t>33/2017.</t>
  </si>
  <si>
    <t xml:space="preserve">60/2016., 82/2016., 34/2017. </t>
  </si>
  <si>
    <t>2018.  terv</t>
  </si>
  <si>
    <t>EFOP-3.3.4-17 - A népmese anyanyelvi kompetenciafejlesztő szerepének erősítése az informális és non-formális tanulásban</t>
  </si>
  <si>
    <t>35/2017.</t>
  </si>
  <si>
    <t>36/2017.</t>
  </si>
  <si>
    <t xml:space="preserve">EFOP-4.1.7-16 - A közösségi művelődési intézmény- és szervezetrendszer tanulást segítő infrastrukturális fejlesztései </t>
  </si>
  <si>
    <t>37/2017.</t>
  </si>
  <si>
    <t>EFOP-4.1.8-16 - A könyvtári intézményrendszer tanulást segítő infrastrukturális fejlesztései</t>
  </si>
  <si>
    <t>38/2017.</t>
  </si>
  <si>
    <t>4/2016., 12/2016., 16/2016., 40/2017., 94/2017., 131/2017.</t>
  </si>
  <si>
    <t>TOP-5.1.2-16 - Helyi foglalkoztatási együttműködések</t>
  </si>
  <si>
    <t>84/2017.</t>
  </si>
  <si>
    <t>2017.  teljesítés</t>
  </si>
  <si>
    <t>93/2017.</t>
  </si>
  <si>
    <t>TOP-2.1.3-16 - Települési környezetvédelmi infrastruktúra fejlesztések (csapadékvíz elvezető rendszerek rekonstrukciója)</t>
  </si>
  <si>
    <t>123/2017.</t>
  </si>
  <si>
    <t>TOP-3.1.1-16 - Fenntartható települési közlekedésfejlesztés</t>
  </si>
  <si>
    <t>130/2017., 136/2017.</t>
  </si>
  <si>
    <t xml:space="preserve">Európa a polgárokért program </t>
  </si>
  <si>
    <t>132/2017.</t>
  </si>
  <si>
    <t xml:space="preserve">Összesen: </t>
  </si>
  <si>
    <t>Euro-ban</t>
  </si>
  <si>
    <t>ICT-33-2017. Development of an ICT-Based City Transformation (Diction)</t>
  </si>
  <si>
    <t>51/2017.</t>
  </si>
  <si>
    <r>
      <rPr>
        <sz val="10"/>
        <rFont val="Calibri"/>
        <family val="2"/>
      </rPr>
      <t>1</t>
    </r>
    <r>
      <rPr>
        <sz val="10"/>
        <rFont val="Times New Roman"/>
        <family val="1"/>
      </rPr>
      <t xml:space="preserve"> Pozitív elbírálásban részesült.</t>
    </r>
  </si>
  <si>
    <r>
      <rPr>
        <sz val="10"/>
        <rFont val="Calibri"/>
        <family val="2"/>
      </rPr>
      <t>2</t>
    </r>
    <r>
      <rPr>
        <sz val="10"/>
        <rFont val="Times New Roman"/>
        <family val="1"/>
      </rPr>
      <t xml:space="preserve"> Nem került benyújtásra.</t>
    </r>
  </si>
  <si>
    <r>
      <rPr>
        <sz val="10"/>
        <rFont val="Calibri"/>
        <family val="2"/>
      </rPr>
      <t>3</t>
    </r>
    <r>
      <rPr>
        <sz val="10"/>
        <rFont val="Times New Roman"/>
        <family val="1"/>
      </rPr>
      <t xml:space="preserve"> Önerő nélkül került benyújtásra.</t>
    </r>
  </si>
  <si>
    <r>
      <rPr>
        <sz val="10"/>
        <rFont val="Calibri"/>
        <family val="2"/>
      </rPr>
      <t>4</t>
    </r>
    <r>
      <rPr>
        <sz val="10"/>
        <rFont val="Times New Roman"/>
        <family val="1"/>
      </rPr>
      <t xml:space="preserve"> Nem nyertes pályázat.</t>
    </r>
  </si>
  <si>
    <t>Az európai uniós forrásokkal támogatott program megnevezése és a pályázat célja</t>
  </si>
  <si>
    <t>önkormányzati kiadások</t>
  </si>
  <si>
    <t>támogatás</t>
  </si>
  <si>
    <t>támogatás megelőlegezése önkormányzati bevételből</t>
  </si>
  <si>
    <t>Petőfi Sándor Művelődési Központ földszintjén konferenciaterem kialakítása - önerő</t>
  </si>
  <si>
    <t>Batthyányi utca felújítása</t>
  </si>
  <si>
    <t>SZÓ-LA-M kerítés felújítása</t>
  </si>
  <si>
    <t>B21</t>
  </si>
  <si>
    <t>Petőfi Sándor út 9. ingatlan megvásárlása</t>
  </si>
  <si>
    <t>105/2016., 160/2017., 89/2018.</t>
  </si>
  <si>
    <t>7. melléklet a ..../2018. (.....) önk. rendelethez</t>
  </si>
  <si>
    <t>83/2018.</t>
  </si>
  <si>
    <t>6 Tartalék listás.</t>
  </si>
  <si>
    <t>5 Benyújtásra került, bírálata folyamatban.</t>
  </si>
  <si>
    <t>B409</t>
  </si>
  <si>
    <t>B410</t>
  </si>
  <si>
    <t>B411</t>
  </si>
  <si>
    <t>Egészségügyi, Gyermekjóléti és Szociális Intézmény - felújítások</t>
  </si>
  <si>
    <t>Egyéb pénzügyi műveletek bevételei</t>
  </si>
  <si>
    <t>Biztosító által fizetett kártérítés</t>
  </si>
  <si>
    <t>Egyéb működési bevételek</t>
  </si>
  <si>
    <t>Nyári diákmunka támogatása</t>
  </si>
  <si>
    <t xml:space="preserve">TOP-3.1.1-16 - Kerékpárút hálózat fejlesztés Kiskőrös és Tabdi települések között </t>
  </si>
  <si>
    <t>Útépítés, kerékpárút hálózat fejlesztés</t>
  </si>
  <si>
    <t>Kiskőrösi Baptista Gyülekezet egyházi orgona beszerzés támogatása</t>
  </si>
  <si>
    <t>Városi program támogatása, emobi hét támogatása</t>
  </si>
  <si>
    <t>VP6-7.2.1-7.4.1.2-16  - Külterületi helyi közutak fejlesztése, önkormányzati utak kezeléséhez, állapotjavításához, karbantartásához szükséges erő- és munkagépek beszerzése - (út)</t>
  </si>
  <si>
    <t xml:space="preserve">'TOP-5.1.2-16 - „Helyi foglalkoztatási együttműködések” </t>
  </si>
  <si>
    <t>-óvodai és iskolai szociális segítő tevékenység</t>
  </si>
  <si>
    <t>Egészségfejlesztési Iroda beszerzései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</si>
</sst>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1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sz val="7"/>
      <color indexed="10"/>
      <name val="Times New Roman CE"/>
      <family val="1"/>
    </font>
    <font>
      <b/>
      <i/>
      <sz val="7"/>
      <name val="Times New Roman CE"/>
      <family val="1"/>
    </font>
    <font>
      <i/>
      <sz val="7"/>
      <name val="Times New Roman CE"/>
      <family val="1"/>
    </font>
    <font>
      <i/>
      <sz val="7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0"/>
      <color indexed="10"/>
      <name val="Tahoma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E"/>
      <family val="0"/>
    </font>
    <font>
      <i/>
      <sz val="8"/>
      <name val="Tahoma"/>
      <family val="2"/>
    </font>
    <font>
      <i/>
      <sz val="8"/>
      <name val="Times New Roman"/>
      <family val="1"/>
    </font>
    <font>
      <i/>
      <sz val="10"/>
      <color indexed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i/>
      <sz val="7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E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 CE"/>
      <family val="1"/>
    </font>
    <font>
      <sz val="10"/>
      <color theme="1"/>
      <name val="Times New Roman"/>
      <family val="1"/>
    </font>
    <font>
      <b/>
      <sz val="10"/>
      <color theme="1"/>
      <name val="Times New Roman CE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 CE"/>
      <family val="1"/>
    </font>
    <font>
      <sz val="8"/>
      <color rgb="FFFF0000"/>
      <name val="Times New Roman"/>
      <family val="1"/>
    </font>
    <font>
      <sz val="10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medium"/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52" fillId="4" borderId="0" applyNumberFormat="0" applyBorder="0" applyAlignment="0" applyProtection="0"/>
    <xf numFmtId="0" fontId="84" fillId="5" borderId="0" applyNumberFormat="0" applyBorder="0" applyAlignment="0" applyProtection="0"/>
    <xf numFmtId="0" fontId="52" fillId="5" borderId="0" applyNumberFormat="0" applyBorder="0" applyAlignment="0" applyProtection="0"/>
    <xf numFmtId="0" fontId="84" fillId="6" borderId="0" applyNumberFormat="0" applyBorder="0" applyAlignment="0" applyProtection="0"/>
    <xf numFmtId="0" fontId="52" fillId="6" borderId="0" applyNumberFormat="0" applyBorder="0" applyAlignment="0" applyProtection="0"/>
    <xf numFmtId="0" fontId="84" fillId="7" borderId="0" applyNumberFormat="0" applyBorder="0" applyAlignment="0" applyProtection="0"/>
    <xf numFmtId="0" fontId="52" fillId="7" borderId="0" applyNumberFormat="0" applyBorder="0" applyAlignment="0" applyProtection="0"/>
    <xf numFmtId="0" fontId="84" fillId="8" borderId="0" applyNumberFormat="0" applyBorder="0" applyAlignment="0" applyProtection="0"/>
    <xf numFmtId="0" fontId="52" fillId="9" borderId="0" applyNumberFormat="0" applyBorder="0" applyAlignment="0" applyProtection="0"/>
    <xf numFmtId="0" fontId="84" fillId="10" borderId="0" applyNumberFormat="0" applyBorder="0" applyAlignment="0" applyProtection="0"/>
    <xf numFmtId="0" fontId="52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52" fillId="15" borderId="0" applyNumberFormat="0" applyBorder="0" applyAlignment="0" applyProtection="0"/>
    <xf numFmtId="0" fontId="84" fillId="16" borderId="0" applyNumberFormat="0" applyBorder="0" applyAlignment="0" applyProtection="0"/>
    <xf numFmtId="0" fontId="52" fillId="17" borderId="0" applyNumberFormat="0" applyBorder="0" applyAlignment="0" applyProtection="0"/>
    <xf numFmtId="0" fontId="84" fillId="18" borderId="0" applyNumberFormat="0" applyBorder="0" applyAlignment="0" applyProtection="0"/>
    <xf numFmtId="0" fontId="52" fillId="18" borderId="0" applyNumberFormat="0" applyBorder="0" applyAlignment="0" applyProtection="0"/>
    <xf numFmtId="0" fontId="84" fillId="19" borderId="0" applyNumberFormat="0" applyBorder="0" applyAlignment="0" applyProtection="0"/>
    <xf numFmtId="0" fontId="52" fillId="7" borderId="0" applyNumberFormat="0" applyBorder="0" applyAlignment="0" applyProtection="0"/>
    <xf numFmtId="0" fontId="84" fillId="20" borderId="0" applyNumberFormat="0" applyBorder="0" applyAlignment="0" applyProtection="0"/>
    <xf numFmtId="0" fontId="52" fillId="15" borderId="0" applyNumberFormat="0" applyBorder="0" applyAlignment="0" applyProtection="0"/>
    <xf numFmtId="0" fontId="84" fillId="21" borderId="0" applyNumberFormat="0" applyBorder="0" applyAlignment="0" applyProtection="0"/>
    <xf numFmtId="0" fontId="52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51" fillId="26" borderId="0" applyNumberFormat="0" applyBorder="0" applyAlignment="0" applyProtection="0"/>
    <xf numFmtId="0" fontId="83" fillId="27" borderId="0" applyNumberFormat="0" applyBorder="0" applyAlignment="0" applyProtection="0"/>
    <xf numFmtId="0" fontId="51" fillId="17" borderId="0" applyNumberFormat="0" applyBorder="0" applyAlignment="0" applyProtection="0"/>
    <xf numFmtId="0" fontId="83" fillId="18" borderId="0" applyNumberFormat="0" applyBorder="0" applyAlignment="0" applyProtection="0"/>
    <xf numFmtId="0" fontId="51" fillId="18" borderId="0" applyNumberFormat="0" applyBorder="0" applyAlignment="0" applyProtection="0"/>
    <xf numFmtId="0" fontId="83" fillId="28" borderId="0" applyNumberFormat="0" applyBorder="0" applyAlignment="0" applyProtection="0"/>
    <xf numFmtId="0" fontId="51" fillId="28" borderId="0" applyNumberFormat="0" applyBorder="0" applyAlignment="0" applyProtection="0"/>
    <xf numFmtId="0" fontId="83" fillId="29" borderId="0" applyNumberFormat="0" applyBorder="0" applyAlignment="0" applyProtection="0"/>
    <xf numFmtId="0" fontId="51" fillId="30" borderId="0" applyNumberFormat="0" applyBorder="0" applyAlignment="0" applyProtection="0"/>
    <xf numFmtId="0" fontId="83" fillId="31" borderId="0" applyNumberFormat="0" applyBorder="0" applyAlignment="0" applyProtection="0"/>
    <xf numFmtId="0" fontId="51" fillId="31" borderId="0" applyNumberFormat="0" applyBorder="0" applyAlignment="0" applyProtection="0"/>
    <xf numFmtId="0" fontId="85" fillId="32" borderId="1" applyNumberFormat="0" applyAlignment="0" applyProtection="0"/>
    <xf numFmtId="0" fontId="53" fillId="11" borderId="2" applyNumberFormat="0" applyAlignment="0" applyProtection="0"/>
    <xf numFmtId="0" fontId="8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55" fillId="0" borderId="4" applyNumberFormat="0" applyFill="0" applyAlignment="0" applyProtection="0"/>
    <xf numFmtId="0" fontId="88" fillId="0" borderId="5" applyNumberFormat="0" applyFill="0" applyAlignment="0" applyProtection="0"/>
    <xf numFmtId="0" fontId="56" fillId="0" borderId="6" applyNumberFormat="0" applyFill="0" applyAlignment="0" applyProtection="0"/>
    <xf numFmtId="0" fontId="89" fillId="0" borderId="7" applyNumberFormat="0" applyFill="0" applyAlignment="0" applyProtection="0"/>
    <xf numFmtId="0" fontId="57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0" fillId="33" borderId="9" applyNumberFormat="0" applyAlignment="0" applyProtection="0"/>
    <xf numFmtId="0" fontId="58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60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28" borderId="0" applyNumberFormat="0" applyBorder="0" applyAlignment="0" applyProtection="0"/>
    <xf numFmtId="0" fontId="51" fillId="30" borderId="0" applyNumberFormat="0" applyBorder="0" applyAlignment="0" applyProtection="0"/>
    <xf numFmtId="0" fontId="51" fillId="40" borderId="0" applyNumberFormat="0" applyBorder="0" applyAlignment="0" applyProtection="0"/>
    <xf numFmtId="0" fontId="93" fillId="41" borderId="0" applyNumberFormat="0" applyBorder="0" applyAlignment="0" applyProtection="0"/>
    <xf numFmtId="0" fontId="61" fillId="6" borderId="0" applyNumberFormat="0" applyBorder="0" applyAlignment="0" applyProtection="0"/>
    <xf numFmtId="0" fontId="94" fillId="42" borderId="15" applyNumberFormat="0" applyAlignment="0" applyProtection="0"/>
    <xf numFmtId="0" fontId="62" fillId="43" borderId="16" applyNumberFormat="0" applyAlignment="0" applyProtection="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17" applyNumberFormat="0" applyFill="0" applyAlignment="0" applyProtection="0"/>
    <xf numFmtId="0" fontId="6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44" borderId="0" applyNumberFormat="0" applyBorder="0" applyAlignment="0" applyProtection="0"/>
    <xf numFmtId="0" fontId="65" fillId="5" borderId="0" applyNumberFormat="0" applyBorder="0" applyAlignment="0" applyProtection="0"/>
    <xf numFmtId="0" fontId="98" fillId="45" borderId="0" applyNumberFormat="0" applyBorder="0" applyAlignment="0" applyProtection="0"/>
    <xf numFmtId="0" fontId="66" fillId="46" borderId="0" applyNumberFormat="0" applyBorder="0" applyAlignment="0" applyProtection="0"/>
    <xf numFmtId="0" fontId="99" fillId="42" borderId="1" applyNumberFormat="0" applyAlignment="0" applyProtection="0"/>
    <xf numFmtId="0" fontId="67" fillId="43" borderId="2" applyNumberFormat="0" applyAlignment="0" applyProtection="0"/>
    <xf numFmtId="9" fontId="0" fillId="0" borderId="0" applyFont="0" applyFill="0" applyBorder="0" applyAlignment="0" applyProtection="0"/>
  </cellStyleXfs>
  <cellXfs count="1096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justify" vertical="center" shrinkToFit="1"/>
    </xf>
    <xf numFmtId="0" fontId="6" fillId="0" borderId="19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0" fillId="0" borderId="2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3" fontId="16" fillId="0" borderId="0" xfId="96" applyNumberFormat="1" applyFont="1" applyFill="1" applyAlignment="1">
      <alignment horizontal="center" vertical="center"/>
      <protection/>
    </xf>
    <xf numFmtId="3" fontId="14" fillId="0" borderId="0" xfId="96" applyNumberFormat="1" applyFont="1" applyFill="1" applyAlignment="1">
      <alignment vertical="center"/>
      <protection/>
    </xf>
    <xf numFmtId="3" fontId="21" fillId="0" borderId="21" xfId="96" applyNumberFormat="1" applyFont="1" applyFill="1" applyBorder="1" applyAlignment="1">
      <alignment horizontal="center" vertical="center"/>
      <protection/>
    </xf>
    <xf numFmtId="3" fontId="15" fillId="0" borderId="0" xfId="96" applyNumberFormat="1" applyFont="1" applyFill="1" applyBorder="1" applyAlignment="1">
      <alignment horizontal="center" vertical="center"/>
      <protection/>
    </xf>
    <xf numFmtId="3" fontId="21" fillId="0" borderId="22" xfId="96" applyNumberFormat="1" applyFont="1" applyFill="1" applyBorder="1" applyAlignment="1">
      <alignment horizontal="center" vertical="center"/>
      <protection/>
    </xf>
    <xf numFmtId="3" fontId="21" fillId="0" borderId="23" xfId="96" applyNumberFormat="1" applyFont="1" applyFill="1" applyBorder="1" applyAlignment="1">
      <alignment horizontal="center" vertical="center"/>
      <protection/>
    </xf>
    <xf numFmtId="3" fontId="15" fillId="0" borderId="24" xfId="96" applyNumberFormat="1" applyFont="1" applyFill="1" applyBorder="1" applyAlignment="1">
      <alignment horizontal="center" vertical="center"/>
      <protection/>
    </xf>
    <xf numFmtId="3" fontId="13" fillId="0" borderId="25" xfId="96" applyNumberFormat="1" applyFont="1" applyFill="1" applyBorder="1" applyAlignment="1">
      <alignment vertical="center"/>
      <protection/>
    </xf>
    <xf numFmtId="3" fontId="21" fillId="0" borderId="25" xfId="96" applyNumberFormat="1" applyFont="1" applyFill="1" applyBorder="1" applyAlignment="1">
      <alignment vertical="center"/>
      <protection/>
    </xf>
    <xf numFmtId="3" fontId="15" fillId="0" borderId="26" xfId="96" applyNumberFormat="1" applyFont="1" applyFill="1" applyBorder="1" applyAlignment="1">
      <alignment horizontal="center" vertical="center"/>
      <protection/>
    </xf>
    <xf numFmtId="3" fontId="13" fillId="0" borderId="27" xfId="96" applyNumberFormat="1" applyFont="1" applyFill="1" applyBorder="1" applyAlignment="1">
      <alignment vertical="center"/>
      <protection/>
    </xf>
    <xf numFmtId="3" fontId="19" fillId="0" borderId="27" xfId="96" applyNumberFormat="1" applyFont="1" applyFill="1" applyBorder="1" applyAlignment="1">
      <alignment horizontal="left" vertical="center" indent="1"/>
      <protection/>
    </xf>
    <xf numFmtId="3" fontId="21" fillId="0" borderId="27" xfId="96" applyNumberFormat="1" applyFont="1" applyFill="1" applyBorder="1" applyAlignment="1">
      <alignment vertical="center"/>
      <protection/>
    </xf>
    <xf numFmtId="3" fontId="15" fillId="0" borderId="28" xfId="96" applyNumberFormat="1" applyFont="1" applyFill="1" applyBorder="1" applyAlignment="1">
      <alignment horizontal="center" vertical="center"/>
      <protection/>
    </xf>
    <xf numFmtId="3" fontId="19" fillId="0" borderId="22" xfId="96" applyNumberFormat="1" applyFont="1" applyFill="1" applyBorder="1" applyAlignment="1">
      <alignment horizontal="left" vertical="center" indent="1"/>
      <protection/>
    </xf>
    <xf numFmtId="3" fontId="21" fillId="0" borderId="22" xfId="96" applyNumberFormat="1" applyFont="1" applyFill="1" applyBorder="1" applyAlignment="1">
      <alignment vertical="center"/>
      <protection/>
    </xf>
    <xf numFmtId="3" fontId="21" fillId="0" borderId="29" xfId="96" applyNumberFormat="1" applyFont="1" applyFill="1" applyBorder="1" applyAlignment="1">
      <alignment vertical="center"/>
      <protection/>
    </xf>
    <xf numFmtId="3" fontId="15" fillId="0" borderId="30" xfId="96" applyNumberFormat="1" applyFont="1" applyFill="1" applyBorder="1" applyAlignment="1">
      <alignment horizontal="center" vertical="center"/>
      <protection/>
    </xf>
    <xf numFmtId="3" fontId="13" fillId="0" borderId="31" xfId="96" applyNumberFormat="1" applyFont="1" applyFill="1" applyBorder="1" applyAlignment="1">
      <alignment horizontal="center" vertical="center"/>
      <protection/>
    </xf>
    <xf numFmtId="3" fontId="15" fillId="0" borderId="32" xfId="96" applyNumberFormat="1" applyFont="1" applyFill="1" applyBorder="1" applyAlignment="1">
      <alignment horizontal="center" vertical="center"/>
      <protection/>
    </xf>
    <xf numFmtId="3" fontId="13" fillId="0" borderId="33" xfId="96" applyNumberFormat="1" applyFont="1" applyFill="1" applyBorder="1" applyAlignment="1">
      <alignment horizontal="center" vertical="center"/>
      <protection/>
    </xf>
    <xf numFmtId="3" fontId="19" fillId="0" borderId="33" xfId="96" applyNumberFormat="1" applyFont="1" applyFill="1" applyBorder="1" applyAlignment="1">
      <alignment horizontal="left" vertical="center" indent="1"/>
      <protection/>
    </xf>
    <xf numFmtId="3" fontId="19" fillId="0" borderId="33" xfId="96" applyNumberFormat="1" applyFont="1" applyFill="1" applyBorder="1" applyAlignment="1">
      <alignment vertical="center"/>
      <protection/>
    </xf>
    <xf numFmtId="3" fontId="15" fillId="0" borderId="34" xfId="96" applyNumberFormat="1" applyFont="1" applyFill="1" applyBorder="1" applyAlignment="1">
      <alignment horizontal="center" vertical="center"/>
      <protection/>
    </xf>
    <xf numFmtId="3" fontId="13" fillId="0" borderId="35" xfId="96" applyNumberFormat="1" applyFont="1" applyFill="1" applyBorder="1" applyAlignment="1">
      <alignment horizontal="center" vertical="center"/>
      <protection/>
    </xf>
    <xf numFmtId="3" fontId="19" fillId="0" borderId="35" xfId="96" applyNumberFormat="1" applyFont="1" applyFill="1" applyBorder="1" applyAlignment="1">
      <alignment vertical="center"/>
      <protection/>
    </xf>
    <xf numFmtId="3" fontId="13" fillId="0" borderId="22" xfId="96" applyNumberFormat="1" applyFont="1" applyFill="1" applyBorder="1" applyAlignment="1">
      <alignment horizontal="center" vertical="center"/>
      <protection/>
    </xf>
    <xf numFmtId="3" fontId="16" fillId="0" borderId="0" xfId="96" applyNumberFormat="1" applyFont="1" applyFill="1" applyAlignment="1">
      <alignment vertical="center"/>
      <protection/>
    </xf>
    <xf numFmtId="3" fontId="13" fillId="0" borderId="32" xfId="96" applyNumberFormat="1" applyFont="1" applyFill="1" applyBorder="1" applyAlignment="1">
      <alignment horizontal="center" vertical="center"/>
      <protection/>
    </xf>
    <xf numFmtId="3" fontId="13" fillId="0" borderId="30" xfId="96" applyNumberFormat="1" applyFont="1" applyFill="1" applyBorder="1" applyAlignment="1">
      <alignment horizontal="center" vertical="center"/>
      <protection/>
    </xf>
    <xf numFmtId="1" fontId="13" fillId="0" borderId="33" xfId="96" applyNumberFormat="1" applyFont="1" applyFill="1" applyBorder="1" applyAlignment="1">
      <alignment horizontal="center" vertical="center"/>
      <protection/>
    </xf>
    <xf numFmtId="1" fontId="13" fillId="0" borderId="35" xfId="96" applyNumberFormat="1" applyFont="1" applyFill="1" applyBorder="1" applyAlignment="1">
      <alignment horizontal="center" vertical="center"/>
      <protection/>
    </xf>
    <xf numFmtId="3" fontId="15" fillId="0" borderId="36" xfId="96" applyNumberFormat="1" applyFont="1" applyFill="1" applyBorder="1" applyAlignment="1">
      <alignment horizontal="center" vertical="center"/>
      <protection/>
    </xf>
    <xf numFmtId="3" fontId="19" fillId="0" borderId="35" xfId="96" applyNumberFormat="1" applyFont="1" applyFill="1" applyBorder="1" applyAlignment="1">
      <alignment horizontal="left" vertical="center" indent="1"/>
      <protection/>
    </xf>
    <xf numFmtId="3" fontId="15" fillId="0" borderId="37" xfId="96" applyNumberFormat="1" applyFont="1" applyFill="1" applyBorder="1" applyAlignment="1">
      <alignment horizontal="center" vertical="center"/>
      <protection/>
    </xf>
    <xf numFmtId="3" fontId="13" fillId="0" borderId="21" xfId="96" applyNumberFormat="1" applyFont="1" applyFill="1" applyBorder="1" applyAlignment="1">
      <alignment horizontal="center" vertical="center"/>
      <protection/>
    </xf>
    <xf numFmtId="3" fontId="21" fillId="0" borderId="21" xfId="96" applyNumberFormat="1" applyFont="1" applyFill="1" applyBorder="1" applyAlignment="1">
      <alignment vertical="center"/>
      <protection/>
    </xf>
    <xf numFmtId="164" fontId="13" fillId="0" borderId="31" xfId="96" applyNumberFormat="1" applyFont="1" applyFill="1" applyBorder="1" applyAlignment="1">
      <alignment horizontal="center" vertical="center"/>
      <protection/>
    </xf>
    <xf numFmtId="3" fontId="13" fillId="0" borderId="27" xfId="96" applyNumberFormat="1" applyFont="1" applyFill="1" applyBorder="1" applyAlignment="1">
      <alignment horizontal="center" vertical="center"/>
      <protection/>
    </xf>
    <xf numFmtId="164" fontId="13" fillId="0" borderId="33" xfId="96" applyNumberFormat="1" applyFont="1" applyFill="1" applyBorder="1" applyAlignment="1">
      <alignment horizontal="center" vertical="center"/>
      <protection/>
    </xf>
    <xf numFmtId="3" fontId="15" fillId="0" borderId="38" xfId="96" applyNumberFormat="1" applyFont="1" applyFill="1" applyBorder="1" applyAlignment="1">
      <alignment horizontal="center" vertical="center"/>
      <protection/>
    </xf>
    <xf numFmtId="164" fontId="13" fillId="0" borderId="27" xfId="96" applyNumberFormat="1" applyFont="1" applyFill="1" applyBorder="1" applyAlignment="1">
      <alignment horizontal="center" vertical="center"/>
      <protection/>
    </xf>
    <xf numFmtId="3" fontId="13" fillId="0" borderId="32" xfId="96" applyNumberFormat="1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3" fontId="19" fillId="0" borderId="33" xfId="96" applyNumberFormat="1" applyFont="1" applyFill="1" applyBorder="1" applyAlignment="1">
      <alignment horizontal="left" vertical="center" wrapText="1" indent="1"/>
      <protection/>
    </xf>
    <xf numFmtId="3" fontId="21" fillId="0" borderId="23" xfId="96" applyNumberFormat="1" applyFont="1" applyFill="1" applyBorder="1" applyAlignment="1">
      <alignment vertical="center"/>
      <protection/>
    </xf>
    <xf numFmtId="1" fontId="27" fillId="0" borderId="0" xfId="96" applyNumberFormat="1" applyFont="1" applyFill="1" applyAlignment="1">
      <alignment horizontal="right" vertical="center"/>
      <protection/>
    </xf>
    <xf numFmtId="1" fontId="30" fillId="0" borderId="21" xfId="96" applyNumberFormat="1" applyFont="1" applyFill="1" applyBorder="1" applyAlignment="1">
      <alignment horizontal="right" vertical="center"/>
      <protection/>
    </xf>
    <xf numFmtId="3" fontId="31" fillId="0" borderId="26" xfId="96" applyNumberFormat="1" applyFont="1" applyFill="1" applyBorder="1" applyAlignment="1">
      <alignment horizontal="center" vertical="center"/>
      <protection/>
    </xf>
    <xf numFmtId="3" fontId="34" fillId="0" borderId="0" xfId="96" applyNumberFormat="1" applyFont="1" applyFill="1" applyAlignment="1">
      <alignment vertical="center"/>
      <protection/>
    </xf>
    <xf numFmtId="1" fontId="13" fillId="0" borderId="35" xfId="96" applyNumberFormat="1" applyFont="1" applyFill="1" applyBorder="1" applyAlignment="1">
      <alignment horizontal="right" vertical="center"/>
      <protection/>
    </xf>
    <xf numFmtId="1" fontId="13" fillId="0" borderId="33" xfId="96" applyNumberFormat="1" applyFont="1" applyFill="1" applyBorder="1" applyAlignment="1">
      <alignment horizontal="right" vertical="center"/>
      <protection/>
    </xf>
    <xf numFmtId="1" fontId="13" fillId="0" borderId="22" xfId="96" applyNumberFormat="1" applyFont="1" applyFill="1" applyBorder="1" applyAlignment="1">
      <alignment horizontal="right" vertical="center"/>
      <protection/>
    </xf>
    <xf numFmtId="1" fontId="13" fillId="0" borderId="31" xfId="96" applyNumberFormat="1" applyFont="1" applyFill="1" applyBorder="1" applyAlignment="1">
      <alignment horizontal="right" vertical="center"/>
      <protection/>
    </xf>
    <xf numFmtId="1" fontId="32" fillId="0" borderId="33" xfId="96" applyNumberFormat="1" applyFont="1" applyFill="1" applyBorder="1" applyAlignment="1">
      <alignment horizontal="right" vertical="center"/>
      <protection/>
    </xf>
    <xf numFmtId="1" fontId="13" fillId="0" borderId="25" xfId="96" applyNumberFormat="1" applyFont="1" applyFill="1" applyBorder="1" applyAlignment="1">
      <alignment horizontal="right" vertical="center"/>
      <protection/>
    </xf>
    <xf numFmtId="1" fontId="13" fillId="0" borderId="29" xfId="96" applyNumberFormat="1" applyFont="1" applyFill="1" applyBorder="1" applyAlignment="1">
      <alignment horizontal="right" vertical="center"/>
      <protection/>
    </xf>
    <xf numFmtId="1" fontId="32" fillId="0" borderId="27" xfId="96" applyNumberFormat="1" applyFont="1" applyFill="1" applyBorder="1" applyAlignment="1">
      <alignment horizontal="right" vertical="center"/>
      <protection/>
    </xf>
    <xf numFmtId="1" fontId="13" fillId="0" borderId="27" xfId="96" applyNumberFormat="1" applyFont="1" applyFill="1" applyBorder="1" applyAlignment="1">
      <alignment horizontal="right" vertical="center"/>
      <protection/>
    </xf>
    <xf numFmtId="1" fontId="13" fillId="0" borderId="29" xfId="96" applyNumberFormat="1" applyFont="1" applyFill="1" applyBorder="1" applyAlignment="1">
      <alignment horizontal="right" vertical="center"/>
      <protection/>
    </xf>
    <xf numFmtId="3" fontId="31" fillId="0" borderId="34" xfId="96" applyNumberFormat="1" applyFont="1" applyFill="1" applyBorder="1" applyAlignment="1">
      <alignment horizontal="center" vertical="center"/>
      <protection/>
    </xf>
    <xf numFmtId="1" fontId="13" fillId="0" borderId="21" xfId="96" applyNumberFormat="1" applyFont="1" applyFill="1" applyBorder="1" applyAlignment="1">
      <alignment horizontal="right" vertical="center"/>
      <protection/>
    </xf>
    <xf numFmtId="1" fontId="15" fillId="0" borderId="29" xfId="96" applyNumberFormat="1" applyFont="1" applyFill="1" applyBorder="1" applyAlignment="1">
      <alignment horizontal="right" vertical="center"/>
      <protection/>
    </xf>
    <xf numFmtId="3" fontId="29" fillId="0" borderId="0" xfId="0" applyNumberFormat="1" applyFont="1" applyFill="1" applyAlignment="1">
      <alignment vertical="center"/>
    </xf>
    <xf numFmtId="1" fontId="13" fillId="0" borderId="23" xfId="96" applyNumberFormat="1" applyFont="1" applyFill="1" applyBorder="1" applyAlignment="1">
      <alignment horizontal="right" vertical="center"/>
      <protection/>
    </xf>
    <xf numFmtId="3" fontId="19" fillId="0" borderId="31" xfId="96" applyNumberFormat="1" applyFont="1" applyFill="1" applyBorder="1" applyAlignment="1">
      <alignment horizontal="left" vertical="center" wrapText="1" indent="1"/>
      <protection/>
    </xf>
    <xf numFmtId="3" fontId="35" fillId="0" borderId="0" xfId="96" applyNumberFormat="1" applyFont="1" applyFill="1" applyAlignment="1">
      <alignment vertical="center"/>
      <protection/>
    </xf>
    <xf numFmtId="164" fontId="13" fillId="0" borderId="35" xfId="96" applyNumberFormat="1" applyFont="1" applyFill="1" applyBorder="1" applyAlignment="1">
      <alignment horizontal="center" vertical="center"/>
      <protection/>
    </xf>
    <xf numFmtId="1" fontId="32" fillId="0" borderId="35" xfId="96" applyNumberFormat="1" applyFont="1" applyFill="1" applyBorder="1" applyAlignment="1">
      <alignment horizontal="right" vertical="center"/>
      <protection/>
    </xf>
    <xf numFmtId="3" fontId="13" fillId="0" borderId="27" xfId="96" applyNumberFormat="1" applyFont="1" applyFill="1" applyBorder="1" applyAlignment="1">
      <alignment horizontal="center" vertical="center"/>
      <protection/>
    </xf>
    <xf numFmtId="3" fontId="13" fillId="0" borderId="23" xfId="96" applyNumberFormat="1" applyFont="1" applyFill="1" applyBorder="1" applyAlignment="1">
      <alignment horizontal="center" vertical="center"/>
      <protection/>
    </xf>
    <xf numFmtId="3" fontId="13" fillId="0" borderId="25" xfId="96" applyNumberFormat="1" applyFont="1" applyFill="1" applyBorder="1" applyAlignment="1">
      <alignment horizontal="center" vertical="center"/>
      <protection/>
    </xf>
    <xf numFmtId="3" fontId="13" fillId="0" borderId="29" xfId="96" applyNumberFormat="1" applyFont="1" applyFill="1" applyBorder="1" applyAlignment="1">
      <alignment horizontal="center" vertical="center"/>
      <protection/>
    </xf>
    <xf numFmtId="3" fontId="13" fillId="0" borderId="29" xfId="96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vertical="center" shrinkToFit="1"/>
    </xf>
    <xf numFmtId="3" fontId="15" fillId="0" borderId="29" xfId="96" applyNumberFormat="1" applyFont="1" applyFill="1" applyBorder="1" applyAlignment="1">
      <alignment horizontal="center" vertical="center"/>
      <protection/>
    </xf>
    <xf numFmtId="1" fontId="15" fillId="0" borderId="29" xfId="96" applyNumberFormat="1" applyFont="1" applyFill="1" applyBorder="1" applyAlignment="1">
      <alignment horizontal="right" vertical="center"/>
      <protection/>
    </xf>
    <xf numFmtId="3" fontId="15" fillId="0" borderId="21" xfId="96" applyNumberFormat="1" applyFont="1" applyFill="1" applyBorder="1" applyAlignment="1">
      <alignment horizontal="center" vertical="center"/>
      <protection/>
    </xf>
    <xf numFmtId="1" fontId="15" fillId="0" borderId="21" xfId="96" applyNumberFormat="1" applyFont="1" applyFill="1" applyBorder="1" applyAlignment="1">
      <alignment horizontal="right" vertical="center"/>
      <protection/>
    </xf>
    <xf numFmtId="1" fontId="13" fillId="0" borderId="33" xfId="96" applyNumberFormat="1" applyFont="1" applyFill="1" applyBorder="1" applyAlignment="1">
      <alignment horizontal="right" vertical="center"/>
      <protection/>
    </xf>
    <xf numFmtId="0" fontId="38" fillId="0" borderId="0" xfId="0" applyFont="1" applyAlignment="1">
      <alignment/>
    </xf>
    <xf numFmtId="3" fontId="32" fillId="0" borderId="32" xfId="96" applyNumberFormat="1" applyFont="1" applyFill="1" applyBorder="1" applyAlignment="1">
      <alignment horizontal="left" vertical="center"/>
      <protection/>
    </xf>
    <xf numFmtId="3" fontId="12" fillId="0" borderId="0" xfId="0" applyNumberFormat="1" applyFont="1" applyFill="1" applyAlignment="1">
      <alignment vertical="center"/>
    </xf>
    <xf numFmtId="1" fontId="13" fillId="0" borderId="25" xfId="96" applyNumberFormat="1" applyFont="1" applyFill="1" applyBorder="1" applyAlignment="1">
      <alignment horizontal="right" vertical="center"/>
      <protection/>
    </xf>
    <xf numFmtId="3" fontId="9" fillId="0" borderId="0" xfId="0" applyNumberFormat="1" applyFont="1" applyFill="1" applyAlignment="1">
      <alignment shrinkToFit="1"/>
    </xf>
    <xf numFmtId="0" fontId="16" fillId="0" borderId="39" xfId="0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" fontId="13" fillId="0" borderId="26" xfId="96" applyNumberFormat="1" applyFont="1" applyFill="1" applyBorder="1" applyAlignment="1">
      <alignment horizontal="left" vertical="center"/>
      <protection/>
    </xf>
    <xf numFmtId="3" fontId="15" fillId="0" borderId="26" xfId="96" applyNumberFormat="1" applyFont="1" applyFill="1" applyBorder="1" applyAlignment="1">
      <alignment horizontal="left" vertical="center"/>
      <protection/>
    </xf>
    <xf numFmtId="1" fontId="15" fillId="0" borderId="27" xfId="96" applyNumberFormat="1" applyFont="1" applyFill="1" applyBorder="1" applyAlignment="1">
      <alignment horizontal="right" vertical="center"/>
      <protection/>
    </xf>
    <xf numFmtId="165" fontId="13" fillId="0" borderId="33" xfId="96" applyNumberFormat="1" applyFont="1" applyFill="1" applyBorder="1" applyAlignment="1">
      <alignment horizontal="center" vertical="center"/>
      <protection/>
    </xf>
    <xf numFmtId="165" fontId="32" fillId="0" borderId="33" xfId="96" applyNumberFormat="1" applyFont="1" applyFill="1" applyBorder="1" applyAlignment="1">
      <alignment horizontal="center" vertical="center"/>
      <protection/>
    </xf>
    <xf numFmtId="165" fontId="15" fillId="0" borderId="27" xfId="96" applyNumberFormat="1" applyFont="1" applyFill="1" applyBorder="1" applyAlignment="1">
      <alignment horizontal="center" vertical="center"/>
      <protection/>
    </xf>
    <xf numFmtId="165" fontId="13" fillId="0" borderId="27" xfId="96" applyNumberFormat="1" applyFont="1" applyFill="1" applyBorder="1" applyAlignment="1">
      <alignment horizontal="center" vertical="center"/>
      <protection/>
    </xf>
    <xf numFmtId="1" fontId="13" fillId="0" borderId="31" xfId="96" applyNumberFormat="1" applyFont="1" applyFill="1" applyBorder="1" applyAlignment="1">
      <alignment horizontal="right" vertical="center"/>
      <protection/>
    </xf>
    <xf numFmtId="3" fontId="13" fillId="0" borderId="34" xfId="96" applyNumberFormat="1" applyFont="1" applyFill="1" applyBorder="1" applyAlignment="1">
      <alignment horizontal="center" vertical="center"/>
      <protection/>
    </xf>
    <xf numFmtId="1" fontId="13" fillId="0" borderId="35" xfId="96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Alignment="1">
      <alignment vertical="center" shrinkToFit="1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justify"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left" vertical="center" indent="1"/>
    </xf>
    <xf numFmtId="3" fontId="34" fillId="0" borderId="46" xfId="0" applyNumberFormat="1" applyFont="1" applyFill="1" applyBorder="1" applyAlignment="1">
      <alignment horizontal="center" vertical="center"/>
    </xf>
    <xf numFmtId="3" fontId="34" fillId="0" borderId="47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34" fillId="0" borderId="48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vertical="center" wrapText="1"/>
    </xf>
    <xf numFmtId="3" fontId="24" fillId="0" borderId="49" xfId="0" applyNumberFormat="1" applyFont="1" applyFill="1" applyBorder="1" applyAlignment="1">
      <alignment vertical="center"/>
    </xf>
    <xf numFmtId="3" fontId="24" fillId="0" borderId="44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center" vertical="center"/>
    </xf>
    <xf numFmtId="3" fontId="24" fillId="0" borderId="50" xfId="97" applyNumberFormat="1" applyFont="1" applyFill="1" applyBorder="1" applyAlignment="1">
      <alignment horizontal="left" vertical="center" wrapText="1"/>
      <protection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left" vertical="top" readingOrder="1"/>
    </xf>
    <xf numFmtId="3" fontId="16" fillId="0" borderId="19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24" fillId="0" borderId="44" xfId="0" applyNumberFormat="1" applyFont="1" applyFill="1" applyBorder="1" applyAlignment="1">
      <alignment horizontal="left" vertical="center"/>
    </xf>
    <xf numFmtId="3" fontId="24" fillId="0" borderId="50" xfId="0" applyNumberFormat="1" applyFont="1" applyFill="1" applyBorder="1" applyAlignment="1">
      <alignment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vertical="center"/>
    </xf>
    <xf numFmtId="3" fontId="25" fillId="0" borderId="45" xfId="0" applyNumberFormat="1" applyFont="1" applyFill="1" applyBorder="1" applyAlignment="1">
      <alignment vertical="center"/>
    </xf>
    <xf numFmtId="3" fontId="24" fillId="0" borderId="50" xfId="0" applyNumberFormat="1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left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shrinkToFit="1"/>
    </xf>
    <xf numFmtId="2" fontId="24" fillId="0" borderId="0" xfId="0" applyNumberFormat="1" applyFont="1" applyFill="1" applyAlignment="1">
      <alignment shrinkToFit="1"/>
    </xf>
    <xf numFmtId="0" fontId="41" fillId="0" borderId="0" xfId="0" applyFont="1" applyFill="1" applyAlignment="1">
      <alignment horizontal="justify" shrinkToFit="1"/>
    </xf>
    <xf numFmtId="0" fontId="41" fillId="0" borderId="0" xfId="0" applyFont="1" applyFill="1" applyAlignment="1">
      <alignment horizontal="right" shrinkToFit="1"/>
    </xf>
    <xf numFmtId="0" fontId="24" fillId="0" borderId="59" xfId="0" applyFont="1" applyFill="1" applyBorder="1" applyAlignment="1">
      <alignment horizontal="center" shrinkToFit="1"/>
    </xf>
    <xf numFmtId="2" fontId="24" fillId="0" borderId="20" xfId="0" applyNumberFormat="1" applyFont="1" applyFill="1" applyBorder="1" applyAlignment="1">
      <alignment shrinkToFit="1"/>
    </xf>
    <xf numFmtId="0" fontId="24" fillId="0" borderId="21" xfId="0" applyFont="1" applyFill="1" applyBorder="1" applyAlignment="1">
      <alignment horizontal="justify" shrinkToFit="1"/>
    </xf>
    <xf numFmtId="0" fontId="24" fillId="0" borderId="60" xfId="0" applyFont="1" applyFill="1" applyBorder="1" applyAlignment="1">
      <alignment horizont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shrinkToFit="1"/>
    </xf>
    <xf numFmtId="0" fontId="24" fillId="0" borderId="61" xfId="0" applyFont="1" applyFill="1" applyBorder="1" applyAlignment="1">
      <alignment horizontal="center" shrinkToFit="1"/>
    </xf>
    <xf numFmtId="2" fontId="24" fillId="0" borderId="62" xfId="0" applyNumberFormat="1" applyFont="1" applyFill="1" applyBorder="1" applyAlignment="1">
      <alignment shrinkToFit="1"/>
    </xf>
    <xf numFmtId="0" fontId="40" fillId="0" borderId="23" xfId="0" applyFont="1" applyFill="1" applyBorder="1" applyAlignment="1">
      <alignment horizontal="justify" shrinkToFit="1"/>
    </xf>
    <xf numFmtId="0" fontId="40" fillId="0" borderId="63" xfId="0" applyFont="1" applyFill="1" applyBorder="1" applyAlignment="1">
      <alignment horizontal="center" shrinkToFit="1"/>
    </xf>
    <xf numFmtId="2" fontId="25" fillId="0" borderId="64" xfId="0" applyNumberFormat="1" applyFont="1" applyFill="1" applyBorder="1" applyAlignment="1">
      <alignment vertical="center" wrapText="1"/>
    </xf>
    <xf numFmtId="3" fontId="24" fillId="0" borderId="64" xfId="0" applyNumberFormat="1" applyFont="1" applyFill="1" applyBorder="1" applyAlignment="1">
      <alignment horizontal="right" vertical="center" shrinkToFit="1"/>
    </xf>
    <xf numFmtId="3" fontId="25" fillId="0" borderId="65" xfId="0" applyNumberFormat="1" applyFont="1" applyFill="1" applyBorder="1" applyAlignment="1">
      <alignment horizontal="right" vertical="center" shrinkToFit="1"/>
    </xf>
    <xf numFmtId="2" fontId="36" fillId="0" borderId="44" xfId="0" applyNumberFormat="1" applyFont="1" applyFill="1" applyBorder="1" applyAlignment="1" quotePrefix="1">
      <alignment horizontal="left" vertical="center" indent="1" shrinkToFit="1"/>
    </xf>
    <xf numFmtId="3" fontId="36" fillId="0" borderId="44" xfId="0" applyNumberFormat="1" applyFont="1" applyFill="1" applyBorder="1" applyAlignment="1">
      <alignment horizontal="right" vertical="center" shrinkToFit="1"/>
    </xf>
    <xf numFmtId="3" fontId="39" fillId="0" borderId="66" xfId="0" applyNumberFormat="1" applyFont="1" applyFill="1" applyBorder="1" applyAlignment="1">
      <alignment horizontal="right" vertical="center" shrinkToFit="1"/>
    </xf>
    <xf numFmtId="2" fontId="25" fillId="0" borderId="44" xfId="0" applyNumberFormat="1" applyFont="1" applyFill="1" applyBorder="1" applyAlignment="1">
      <alignment vertical="center" wrapText="1"/>
    </xf>
    <xf numFmtId="3" fontId="24" fillId="0" borderId="44" xfId="0" applyNumberFormat="1" applyFont="1" applyFill="1" applyBorder="1" applyAlignment="1">
      <alignment horizontal="justify" vertical="center" shrinkToFit="1"/>
    </xf>
    <xf numFmtId="3" fontId="24" fillId="0" borderId="66" xfId="0" applyNumberFormat="1" applyFont="1" applyFill="1" applyBorder="1" applyAlignment="1">
      <alignment horizontal="right" vertical="center" shrinkToFit="1"/>
    </xf>
    <xf numFmtId="0" fontId="24" fillId="0" borderId="19" xfId="0" applyFont="1" applyFill="1" applyBorder="1" applyAlignment="1">
      <alignment horizontal="center" shrinkToFit="1"/>
    </xf>
    <xf numFmtId="2" fontId="24" fillId="0" borderId="49" xfId="0" applyNumberFormat="1" applyFont="1" applyFill="1" applyBorder="1" applyAlignment="1">
      <alignment shrinkToFit="1"/>
    </xf>
    <xf numFmtId="3" fontId="24" fillId="0" borderId="49" xfId="0" applyNumberFormat="1" applyFont="1" applyFill="1" applyBorder="1" applyAlignment="1">
      <alignment horizontal="right" shrinkToFit="1"/>
    </xf>
    <xf numFmtId="3" fontId="24" fillId="43" borderId="49" xfId="0" applyNumberFormat="1" applyFont="1" applyFill="1" applyBorder="1" applyAlignment="1">
      <alignment horizontal="right" shrinkToFit="1"/>
    </xf>
    <xf numFmtId="3" fontId="25" fillId="0" borderId="67" xfId="0" applyNumberFormat="1" applyFont="1" applyFill="1" applyBorder="1" applyAlignment="1">
      <alignment horizontal="right" shrinkToFit="1"/>
    </xf>
    <xf numFmtId="2" fontId="24" fillId="0" borderId="49" xfId="0" applyNumberFormat="1" applyFont="1" applyFill="1" applyBorder="1" applyAlignment="1">
      <alignment horizontal="left" shrinkToFit="1"/>
    </xf>
    <xf numFmtId="2" fontId="24" fillId="0" borderId="44" xfId="0" applyNumberFormat="1" applyFont="1" applyFill="1" applyBorder="1" applyAlignment="1">
      <alignment shrinkToFit="1"/>
    </xf>
    <xf numFmtId="3" fontId="24" fillId="0" borderId="44" xfId="0" applyNumberFormat="1" applyFont="1" applyFill="1" applyBorder="1" applyAlignment="1">
      <alignment horizontal="right" shrinkToFit="1"/>
    </xf>
    <xf numFmtId="3" fontId="24" fillId="43" borderId="44" xfId="0" applyNumberFormat="1" applyFont="1" applyFill="1" applyBorder="1" applyAlignment="1">
      <alignment horizontal="right" shrinkToFit="1"/>
    </xf>
    <xf numFmtId="3" fontId="25" fillId="0" borderId="68" xfId="0" applyNumberFormat="1" applyFont="1" applyFill="1" applyBorder="1" applyAlignment="1">
      <alignment horizontal="right" shrinkToFit="1"/>
    </xf>
    <xf numFmtId="3" fontId="25" fillId="0" borderId="69" xfId="0" applyNumberFormat="1" applyFont="1" applyFill="1" applyBorder="1" applyAlignment="1">
      <alignment horizontal="right" shrinkToFit="1"/>
    </xf>
    <xf numFmtId="3" fontId="25" fillId="0" borderId="68" xfId="0" applyNumberFormat="1" applyFont="1" applyFill="1" applyBorder="1" applyAlignment="1">
      <alignment horizontal="right" vertical="center" shrinkToFit="1"/>
    </xf>
    <xf numFmtId="3" fontId="25" fillId="0" borderId="69" xfId="0" applyNumberFormat="1" applyFont="1" applyFill="1" applyBorder="1" applyAlignment="1">
      <alignment horizontal="right" vertical="center" shrinkToFit="1"/>
    </xf>
    <xf numFmtId="3" fontId="25" fillId="0" borderId="70" xfId="0" applyNumberFormat="1" applyFont="1" applyFill="1" applyBorder="1" applyAlignment="1">
      <alignment horizontal="right" vertical="center" shrinkToFit="1"/>
    </xf>
    <xf numFmtId="2" fontId="25" fillId="0" borderId="71" xfId="0" applyNumberFormat="1" applyFont="1" applyFill="1" applyBorder="1" applyAlignment="1">
      <alignment horizontal="center" vertical="center" shrinkToFit="1"/>
    </xf>
    <xf numFmtId="2" fontId="25" fillId="0" borderId="72" xfId="0" applyNumberFormat="1" applyFont="1" applyFill="1" applyBorder="1" applyAlignment="1">
      <alignment vertical="center" shrinkToFit="1"/>
    </xf>
    <xf numFmtId="3" fontId="25" fillId="0" borderId="72" xfId="0" applyNumberFormat="1" applyFont="1" applyFill="1" applyBorder="1" applyAlignment="1">
      <alignment horizontal="right" vertical="center" shrinkToFit="1"/>
    </xf>
    <xf numFmtId="3" fontId="25" fillId="0" borderId="73" xfId="0" applyNumberFormat="1" applyFont="1" applyFill="1" applyBorder="1" applyAlignment="1">
      <alignment horizontal="righ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2" fontId="24" fillId="0" borderId="0" xfId="0" applyNumberFormat="1" applyFont="1" applyFill="1" applyBorder="1" applyAlignment="1">
      <alignment vertical="center" wrapText="1"/>
    </xf>
    <xf numFmtId="3" fontId="25" fillId="0" borderId="22" xfId="0" applyNumberFormat="1" applyFont="1" applyFill="1" applyBorder="1" applyAlignment="1">
      <alignment horizontal="right" vertical="center" shrinkToFit="1"/>
    </xf>
    <xf numFmtId="3" fontId="25" fillId="0" borderId="74" xfId="0" applyNumberFormat="1" applyFont="1" applyFill="1" applyBorder="1" applyAlignment="1">
      <alignment horizontal="right" vertical="center" shrinkToFit="1"/>
    </xf>
    <xf numFmtId="2" fontId="24" fillId="0" borderId="75" xfId="0" applyNumberFormat="1" applyFont="1" applyFill="1" applyBorder="1" applyAlignment="1">
      <alignment shrinkToFit="1"/>
    </xf>
    <xf numFmtId="2" fontId="25" fillId="0" borderId="22" xfId="0" applyNumberFormat="1" applyFont="1" applyFill="1" applyBorder="1" applyAlignment="1">
      <alignment vertical="center" shrinkToFit="1"/>
    </xf>
    <xf numFmtId="0" fontId="40" fillId="0" borderId="22" xfId="0" applyFont="1" applyFill="1" applyBorder="1" applyAlignment="1">
      <alignment horizontal="justify" vertical="center" shrinkToFit="1"/>
    </xf>
    <xf numFmtId="0" fontId="40" fillId="0" borderId="74" xfId="0" applyFont="1" applyFill="1" applyBorder="1" applyAlignment="1">
      <alignment horizontal="center" vertical="center" shrinkToFit="1"/>
    </xf>
    <xf numFmtId="3" fontId="25" fillId="0" borderId="70" xfId="0" applyNumberFormat="1" applyFont="1" applyFill="1" applyBorder="1" applyAlignment="1">
      <alignment horizontal="right" shrinkToFit="1"/>
    </xf>
    <xf numFmtId="3" fontId="24" fillId="0" borderId="22" xfId="0" applyNumberFormat="1" applyFont="1" applyFill="1" applyBorder="1" applyAlignment="1">
      <alignment horizontal="right" vertical="center" shrinkToFit="1"/>
    </xf>
    <xf numFmtId="0" fontId="25" fillId="0" borderId="71" xfId="0" applyFont="1" applyFill="1" applyBorder="1" applyAlignment="1">
      <alignment horizontal="center" shrinkToFit="1"/>
    </xf>
    <xf numFmtId="2" fontId="25" fillId="0" borderId="72" xfId="0" applyNumberFormat="1" applyFont="1" applyFill="1" applyBorder="1" applyAlignment="1">
      <alignment shrinkToFit="1"/>
    </xf>
    <xf numFmtId="3" fontId="25" fillId="0" borderId="72" xfId="0" applyNumberFormat="1" applyFont="1" applyFill="1" applyBorder="1" applyAlignment="1">
      <alignment horizontal="right" shrinkToFit="1"/>
    </xf>
    <xf numFmtId="3" fontId="25" fillId="0" borderId="73" xfId="0" applyNumberFormat="1" applyFont="1" applyFill="1" applyBorder="1" applyAlignment="1">
      <alignment horizontal="right" shrinkToFit="1"/>
    </xf>
    <xf numFmtId="0" fontId="25" fillId="0" borderId="28" xfId="0" applyFont="1" applyFill="1" applyBorder="1" applyAlignment="1">
      <alignment horizontal="center" shrinkToFit="1"/>
    </xf>
    <xf numFmtId="2" fontId="25" fillId="0" borderId="44" xfId="0" applyNumberFormat="1" applyFont="1" applyFill="1" applyBorder="1" applyAlignment="1">
      <alignment shrinkToFit="1"/>
    </xf>
    <xf numFmtId="3" fontId="25" fillId="0" borderId="44" xfId="0" applyNumberFormat="1" applyFont="1" applyFill="1" applyBorder="1" applyAlignment="1">
      <alignment horizontal="right" shrinkToFit="1"/>
    </xf>
    <xf numFmtId="3" fontId="25" fillId="0" borderId="66" xfId="0" applyNumberFormat="1" applyFont="1" applyFill="1" applyBorder="1" applyAlignment="1">
      <alignment horizontal="right" shrinkToFit="1"/>
    </xf>
    <xf numFmtId="0" fontId="25" fillId="0" borderId="54" xfId="0" applyFont="1" applyFill="1" applyBorder="1" applyAlignment="1">
      <alignment horizontal="center" shrinkToFit="1"/>
    </xf>
    <xf numFmtId="2" fontId="25" fillId="0" borderId="76" xfId="0" applyNumberFormat="1" applyFont="1" applyFill="1" applyBorder="1" applyAlignment="1">
      <alignment shrinkToFit="1"/>
    </xf>
    <xf numFmtId="3" fontId="25" fillId="0" borderId="76" xfId="0" applyNumberFormat="1" applyFont="1" applyFill="1" applyBorder="1" applyAlignment="1">
      <alignment horizontal="right" shrinkToFit="1"/>
    </xf>
    <xf numFmtId="3" fontId="25" fillId="0" borderId="77" xfId="0" applyNumberFormat="1" applyFont="1" applyFill="1" applyBorder="1" applyAlignment="1">
      <alignment horizontal="right" shrinkToFit="1"/>
    </xf>
    <xf numFmtId="3" fontId="25" fillId="0" borderId="78" xfId="0" applyNumberFormat="1" applyFont="1" applyFill="1" applyBorder="1" applyAlignment="1">
      <alignment horizontal="right" vertical="center" shrinkToFit="1"/>
    </xf>
    <xf numFmtId="3" fontId="25" fillId="0" borderId="79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Alignment="1">
      <alignment horizontal="justify" shrinkToFit="1"/>
    </xf>
    <xf numFmtId="0" fontId="42" fillId="0" borderId="0" xfId="0" applyFont="1" applyFill="1" applyAlignment="1">
      <alignment horizontal="justify" shrinkToFit="1"/>
    </xf>
    <xf numFmtId="0" fontId="42" fillId="0" borderId="0" xfId="0" applyFont="1" applyFill="1" applyAlignment="1">
      <alignment horizontal="center" shrinkToFit="1"/>
    </xf>
    <xf numFmtId="0" fontId="28" fillId="0" borderId="0" xfId="0" applyFont="1" applyFill="1" applyAlignment="1">
      <alignment vertical="center" shrinkToFit="1"/>
    </xf>
    <xf numFmtId="0" fontId="24" fillId="0" borderId="0" xfId="0" applyFont="1" applyAlignment="1">
      <alignment/>
    </xf>
    <xf numFmtId="0" fontId="43" fillId="0" borderId="0" xfId="0" applyFont="1" applyFill="1" applyAlignment="1">
      <alignment horizontal="right" vertical="center" shrinkToFit="1"/>
    </xf>
    <xf numFmtId="0" fontId="28" fillId="0" borderId="58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 wrapText="1"/>
    </xf>
    <xf numFmtId="0" fontId="28" fillId="0" borderId="80" xfId="0" applyFont="1" applyFill="1" applyBorder="1" applyAlignment="1">
      <alignment vertical="center" wrapText="1"/>
    </xf>
    <xf numFmtId="0" fontId="28" fillId="0" borderId="80" xfId="0" applyFont="1" applyFill="1" applyBorder="1" applyAlignment="1" quotePrefix="1">
      <alignment horizontal="left" vertical="center" wrapText="1"/>
    </xf>
    <xf numFmtId="0" fontId="28" fillId="0" borderId="75" xfId="0" applyFont="1" applyFill="1" applyBorder="1" applyAlignment="1">
      <alignment vertical="center" shrinkToFit="1"/>
    </xf>
    <xf numFmtId="0" fontId="28" fillId="0" borderId="81" xfId="0" applyFont="1" applyFill="1" applyBorder="1" applyAlignment="1">
      <alignment vertical="center" shrinkToFit="1"/>
    </xf>
    <xf numFmtId="0" fontId="28" fillId="0" borderId="82" xfId="0" applyFont="1" applyFill="1" applyBorder="1" applyAlignment="1">
      <alignment vertical="center" shrinkToFit="1"/>
    </xf>
    <xf numFmtId="0" fontId="28" fillId="0" borderId="63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40" xfId="0" applyFont="1" applyFill="1" applyBorder="1" applyAlignment="1">
      <alignment vertical="center" shrinkToFit="1"/>
    </xf>
    <xf numFmtId="0" fontId="28" fillId="0" borderId="34" xfId="0" applyFont="1" applyFill="1" applyBorder="1" applyAlignment="1">
      <alignment vertical="center" shrinkToFit="1"/>
    </xf>
    <xf numFmtId="0" fontId="28" fillId="0" borderId="83" xfId="0" applyFont="1" applyFill="1" applyBorder="1" applyAlignment="1">
      <alignment vertical="center" shrinkToFit="1"/>
    </xf>
    <xf numFmtId="0" fontId="28" fillId="0" borderId="74" xfId="0" applyFont="1" applyFill="1" applyBorder="1" applyAlignment="1">
      <alignment vertical="center" shrinkToFit="1"/>
    </xf>
    <xf numFmtId="0" fontId="28" fillId="0" borderId="41" xfId="0" applyFont="1" applyFill="1" applyBorder="1" applyAlignment="1">
      <alignment vertical="center" shrinkToFit="1"/>
    </xf>
    <xf numFmtId="2" fontId="24" fillId="0" borderId="84" xfId="0" applyNumberFormat="1" applyFont="1" applyFill="1" applyBorder="1" applyAlignment="1">
      <alignment wrapText="1"/>
    </xf>
    <xf numFmtId="0" fontId="28" fillId="0" borderId="80" xfId="0" applyFont="1" applyFill="1" applyBorder="1" applyAlignment="1">
      <alignment vertical="center" shrinkToFit="1"/>
    </xf>
    <xf numFmtId="0" fontId="28" fillId="0" borderId="85" xfId="0" applyFont="1" applyFill="1" applyBorder="1" applyAlignment="1">
      <alignment vertical="center" wrapText="1"/>
    </xf>
    <xf numFmtId="3" fontId="24" fillId="0" borderId="86" xfId="0" applyNumberFormat="1" applyFont="1" applyFill="1" applyBorder="1" applyAlignment="1">
      <alignment vertical="center" wrapText="1"/>
    </xf>
    <xf numFmtId="3" fontId="24" fillId="0" borderId="84" xfId="0" applyNumberFormat="1" applyFont="1" applyFill="1" applyBorder="1" applyAlignment="1">
      <alignment horizontal="left" vertical="center" wrapText="1"/>
    </xf>
    <xf numFmtId="0" fontId="28" fillId="0" borderId="87" xfId="0" applyFont="1" applyFill="1" applyBorder="1" applyAlignment="1">
      <alignment vertical="center" shrinkToFit="1"/>
    </xf>
    <xf numFmtId="3" fontId="24" fillId="0" borderId="87" xfId="0" applyNumberFormat="1" applyFont="1" applyFill="1" applyBorder="1" applyAlignment="1">
      <alignment horizontal="left" vertical="center" wrapText="1"/>
    </xf>
    <xf numFmtId="0" fontId="28" fillId="0" borderId="88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28" fillId="0" borderId="55" xfId="0" applyFont="1" applyFill="1" applyBorder="1" applyAlignment="1">
      <alignment vertical="center"/>
    </xf>
    <xf numFmtId="0" fontId="26" fillId="0" borderId="89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shrinkToFit="1"/>
    </xf>
    <xf numFmtId="3" fontId="28" fillId="0" borderId="91" xfId="0" applyNumberFormat="1" applyFont="1" applyFill="1" applyBorder="1" applyAlignment="1">
      <alignment horizontal="right" vertical="center" shrinkToFit="1"/>
    </xf>
    <xf numFmtId="3" fontId="26" fillId="0" borderId="67" xfId="0" applyNumberFormat="1" applyFont="1" applyFill="1" applyBorder="1" applyAlignment="1">
      <alignment horizontal="right" vertical="center" shrinkToFit="1"/>
    </xf>
    <xf numFmtId="0" fontId="28" fillId="0" borderId="92" xfId="0" applyFont="1" applyFill="1" applyBorder="1" applyAlignment="1">
      <alignment horizontal="center" vertical="center" shrinkToFit="1"/>
    </xf>
    <xf numFmtId="3" fontId="28" fillId="0" borderId="93" xfId="0" applyNumberFormat="1" applyFont="1" applyFill="1" applyBorder="1" applyAlignment="1">
      <alignment horizontal="right" vertical="center" shrinkToFit="1"/>
    </xf>
    <xf numFmtId="3" fontId="26" fillId="0" borderId="66" xfId="0" applyNumberFormat="1" applyFont="1" applyFill="1" applyBorder="1" applyAlignment="1">
      <alignment horizontal="right" vertical="center" shrinkToFit="1"/>
    </xf>
    <xf numFmtId="3" fontId="26" fillId="0" borderId="94" xfId="0" applyNumberFormat="1" applyFont="1" applyFill="1" applyBorder="1" applyAlignment="1">
      <alignment horizontal="right" vertical="center"/>
    </xf>
    <xf numFmtId="3" fontId="26" fillId="0" borderId="70" xfId="0" applyNumberFormat="1" applyFont="1" applyFill="1" applyBorder="1" applyAlignment="1">
      <alignment horizontal="right" vertical="center"/>
    </xf>
    <xf numFmtId="0" fontId="28" fillId="0" borderId="61" xfId="0" applyFont="1" applyFill="1" applyBorder="1" applyAlignment="1">
      <alignment vertical="center" shrinkToFit="1"/>
    </xf>
    <xf numFmtId="0" fontId="28" fillId="0" borderId="75" xfId="0" applyFont="1" applyFill="1" applyBorder="1" applyAlignment="1">
      <alignment horizontal="right" vertical="center" shrinkToFit="1"/>
    </xf>
    <xf numFmtId="0" fontId="26" fillId="0" borderId="95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 shrinkToFit="1"/>
    </xf>
    <xf numFmtId="0" fontId="28" fillId="0" borderId="97" xfId="0" applyFont="1" applyFill="1" applyBorder="1" applyAlignment="1">
      <alignment horizontal="center" vertical="center" shrinkToFit="1"/>
    </xf>
    <xf numFmtId="3" fontId="28" fillId="0" borderId="98" xfId="0" applyNumberFormat="1" applyFont="1" applyFill="1" applyBorder="1" applyAlignment="1">
      <alignment horizontal="right" vertical="center" shrinkToFit="1"/>
    </xf>
    <xf numFmtId="0" fontId="28" fillId="0" borderId="99" xfId="0" applyFont="1" applyFill="1" applyBorder="1" applyAlignment="1">
      <alignment horizontal="center" vertical="center" shrinkToFit="1"/>
    </xf>
    <xf numFmtId="3" fontId="26" fillId="0" borderId="74" xfId="0" applyNumberFormat="1" applyFont="1" applyFill="1" applyBorder="1" applyAlignment="1">
      <alignment horizontal="right" vertical="center" shrinkToFit="1"/>
    </xf>
    <xf numFmtId="3" fontId="26" fillId="0" borderId="100" xfId="0" applyNumberFormat="1" applyFont="1" applyFill="1" applyBorder="1" applyAlignment="1">
      <alignment horizontal="right" vertical="center" shrinkToFit="1"/>
    </xf>
    <xf numFmtId="3" fontId="26" fillId="0" borderId="101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Alignment="1">
      <alignment vertical="center" shrinkToFit="1"/>
    </xf>
    <xf numFmtId="0" fontId="14" fillId="0" borderId="2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left" vertical="center" wrapText="1" indent="1"/>
    </xf>
    <xf numFmtId="0" fontId="14" fillId="0" borderId="102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34" fillId="0" borderId="44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45" fillId="0" borderId="104" xfId="0" applyFont="1" applyFill="1" applyBorder="1" applyAlignment="1">
      <alignment horizontal="center" vertical="center"/>
    </xf>
    <xf numFmtId="0" fontId="45" fillId="0" borderId="105" xfId="0" applyFont="1" applyFill="1" applyBorder="1" applyAlignment="1">
      <alignment horizontal="center" vertical="center"/>
    </xf>
    <xf numFmtId="3" fontId="24" fillId="43" borderId="22" xfId="0" applyNumberFormat="1" applyFont="1" applyFill="1" applyBorder="1" applyAlignment="1">
      <alignment horizontal="right" vertical="center" shrinkToFit="1"/>
    </xf>
    <xf numFmtId="3" fontId="25" fillId="43" borderId="68" xfId="0" applyNumberFormat="1" applyFont="1" applyFill="1" applyBorder="1" applyAlignment="1">
      <alignment horizontal="right" shrinkToFit="1"/>
    </xf>
    <xf numFmtId="0" fontId="40" fillId="43" borderId="22" xfId="0" applyFont="1" applyFill="1" applyBorder="1" applyAlignment="1">
      <alignment horizontal="justify" vertical="center" shrinkToFit="1"/>
    </xf>
    <xf numFmtId="3" fontId="41" fillId="0" borderId="0" xfId="0" applyNumberFormat="1" applyFont="1" applyFill="1" applyAlignment="1">
      <alignment horizontal="right" shrinkToFit="1"/>
    </xf>
    <xf numFmtId="0" fontId="5" fillId="0" borderId="0" xfId="0" applyFont="1" applyFill="1" applyAlignment="1">
      <alignment vertical="center" wrapText="1" shrinkToFit="1"/>
    </xf>
    <xf numFmtId="3" fontId="36" fillId="0" borderId="44" xfId="0" applyNumberFormat="1" applyFont="1" applyFill="1" applyBorder="1" applyAlignment="1" quotePrefix="1">
      <alignment horizontal="left" vertical="center" indent="2"/>
    </xf>
    <xf numFmtId="3" fontId="24" fillId="0" borderId="49" xfId="0" applyNumberFormat="1" applyFont="1" applyFill="1" applyBorder="1" applyAlignment="1" quotePrefix="1">
      <alignment horizontal="left" vertical="center" indent="1"/>
    </xf>
    <xf numFmtId="3" fontId="24" fillId="0" borderId="44" xfId="0" applyNumberFormat="1" applyFont="1" applyFill="1" applyBorder="1" applyAlignment="1" quotePrefix="1">
      <alignment horizontal="left" vertical="center" indent="1"/>
    </xf>
    <xf numFmtId="3" fontId="24" fillId="0" borderId="50" xfId="0" applyNumberFormat="1" applyFont="1" applyFill="1" applyBorder="1" applyAlignment="1" quotePrefix="1">
      <alignment horizontal="left" vertical="center" indent="1"/>
    </xf>
    <xf numFmtId="3" fontId="42" fillId="0" borderId="0" xfId="0" applyNumberFormat="1" applyFont="1" applyFill="1" applyAlignment="1">
      <alignment horizontal="justify" shrinkToFit="1"/>
    </xf>
    <xf numFmtId="3" fontId="14" fillId="0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2" fontId="24" fillId="0" borderId="51" xfId="0" applyNumberFormat="1" applyFont="1" applyFill="1" applyBorder="1" applyAlignment="1">
      <alignment vertical="center" wrapText="1"/>
    </xf>
    <xf numFmtId="3" fontId="25" fillId="0" borderId="51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Alignment="1">
      <alignment shrinkToFit="1"/>
    </xf>
    <xf numFmtId="49" fontId="14" fillId="0" borderId="52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106" xfId="0" applyNumberFormat="1" applyFont="1" applyFill="1" applyBorder="1" applyAlignment="1">
      <alignment horizontal="center" vertical="center"/>
    </xf>
    <xf numFmtId="3" fontId="14" fillId="0" borderId="86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left" vertical="center"/>
    </xf>
    <xf numFmtId="3" fontId="19" fillId="0" borderId="27" xfId="96" applyNumberFormat="1" applyFont="1" applyFill="1" applyBorder="1" applyAlignment="1">
      <alignment horizontal="right" vertical="center"/>
      <protection/>
    </xf>
    <xf numFmtId="3" fontId="19" fillId="0" borderId="27" xfId="96" applyNumberFormat="1" applyFont="1" applyFill="1" applyBorder="1" applyAlignment="1">
      <alignment vertical="center"/>
      <protection/>
    </xf>
    <xf numFmtId="3" fontId="21" fillId="0" borderId="33" xfId="96" applyNumberFormat="1" applyFont="1" applyFill="1" applyBorder="1" applyAlignment="1">
      <alignment horizontal="right" vertical="center"/>
      <protection/>
    </xf>
    <xf numFmtId="4" fontId="21" fillId="0" borderId="107" xfId="96" applyNumberFormat="1" applyFont="1" applyFill="1" applyBorder="1" applyAlignment="1">
      <alignment horizontal="right" vertical="center"/>
      <protection/>
    </xf>
    <xf numFmtId="0" fontId="47" fillId="0" borderId="19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 shrinkToFit="1"/>
    </xf>
    <xf numFmtId="1" fontId="14" fillId="0" borderId="0" xfId="96" applyNumberFormat="1" applyFont="1" applyFill="1" applyAlignment="1">
      <alignment horizontal="right"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4" fillId="0" borderId="44" xfId="0" applyNumberFormat="1" applyFont="1" applyFill="1" applyBorder="1" applyAlignment="1">
      <alignment horizontal="left" vertical="center" wrapText="1"/>
    </xf>
    <xf numFmtId="3" fontId="14" fillId="0" borderId="50" xfId="0" applyNumberFormat="1" applyFont="1" applyFill="1" applyBorder="1" applyAlignment="1">
      <alignment horizontal="left" vertical="center"/>
    </xf>
    <xf numFmtId="3" fontId="14" fillId="0" borderId="46" xfId="0" applyNumberFormat="1" applyFont="1" applyFill="1" applyBorder="1" applyAlignment="1">
      <alignment horizontal="left" vertical="center"/>
    </xf>
    <xf numFmtId="3" fontId="14" fillId="0" borderId="19" xfId="0" applyNumberFormat="1" applyFont="1" applyFill="1" applyBorder="1" applyAlignment="1">
      <alignment horizontal="left" vertical="center"/>
    </xf>
    <xf numFmtId="3" fontId="14" fillId="0" borderId="49" xfId="0" applyNumberFormat="1" applyFont="1" applyFill="1" applyBorder="1" applyAlignment="1">
      <alignment horizontal="left" vertical="center"/>
    </xf>
    <xf numFmtId="3" fontId="14" fillId="0" borderId="4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3" fontId="100" fillId="0" borderId="0" xfId="96" applyNumberFormat="1" applyFont="1" applyFill="1" applyAlignment="1">
      <alignment vertical="center"/>
      <protection/>
    </xf>
    <xf numFmtId="3" fontId="33" fillId="0" borderId="27" xfId="96" applyNumberFormat="1" applyFont="1" applyFill="1" applyBorder="1" applyAlignment="1">
      <alignment horizontal="left" vertical="center" indent="2"/>
      <protection/>
    </xf>
    <xf numFmtId="3" fontId="19" fillId="0" borderId="31" xfId="96" applyNumberFormat="1" applyFont="1" applyFill="1" applyBorder="1" applyAlignment="1">
      <alignment horizontal="left" vertical="center" indent="1"/>
      <protection/>
    </xf>
    <xf numFmtId="3" fontId="21" fillId="0" borderId="29" xfId="96" applyNumberFormat="1" applyFont="1" applyFill="1" applyBorder="1" applyAlignment="1">
      <alignment horizontal="left" vertical="center" wrapText="1"/>
      <protection/>
    </xf>
    <xf numFmtId="3" fontId="19" fillId="0" borderId="35" xfId="96" applyNumberFormat="1" applyFont="1" applyFill="1" applyBorder="1" applyAlignment="1">
      <alignment horizontal="left" vertical="center" wrapText="1" indent="1"/>
      <protection/>
    </xf>
    <xf numFmtId="3" fontId="33" fillId="0" borderId="33" xfId="96" applyNumberFormat="1" applyFont="1" applyFill="1" applyBorder="1" applyAlignment="1">
      <alignment horizontal="left" vertical="center" indent="2"/>
      <protection/>
    </xf>
    <xf numFmtId="3" fontId="14" fillId="0" borderId="49" xfId="0" applyNumberFormat="1" applyFont="1" applyBorder="1" applyAlignment="1">
      <alignment vertical="center" wrapText="1"/>
    </xf>
    <xf numFmtId="3" fontId="16" fillId="0" borderId="108" xfId="0" applyNumberFormat="1" applyFont="1" applyBorder="1" applyAlignment="1">
      <alignment vertical="center" wrapText="1"/>
    </xf>
    <xf numFmtId="49" fontId="36" fillId="0" borderId="44" xfId="0" applyNumberFormat="1" applyFont="1" applyFill="1" applyBorder="1" applyAlignment="1">
      <alignment horizontal="left" vertical="center" indent="1" shrinkToFit="1"/>
    </xf>
    <xf numFmtId="3" fontId="13" fillId="0" borderId="33" xfId="96" applyNumberFormat="1" applyFont="1" applyFill="1" applyBorder="1" applyAlignment="1">
      <alignment horizontal="left" vertical="center" indent="1"/>
      <protection/>
    </xf>
    <xf numFmtId="3" fontId="15" fillId="0" borderId="21" xfId="96" applyNumberFormat="1" applyFont="1" applyFill="1" applyBorder="1" applyAlignment="1">
      <alignment horizontal="left" vertical="center"/>
      <protection/>
    </xf>
    <xf numFmtId="3" fontId="32" fillId="0" borderId="33" xfId="96" applyNumberFormat="1" applyFont="1" applyFill="1" applyBorder="1" applyAlignment="1">
      <alignment horizontal="left" vertical="center" indent="2"/>
      <protection/>
    </xf>
    <xf numFmtId="3" fontId="21" fillId="0" borderId="29" xfId="96" applyNumberFormat="1" applyFont="1" applyFill="1" applyBorder="1" applyAlignment="1">
      <alignment horizontal="left" vertical="center"/>
      <protection/>
    </xf>
    <xf numFmtId="49" fontId="24" fillId="0" borderId="44" xfId="0" applyNumberFormat="1" applyFont="1" applyFill="1" applyBorder="1" applyAlignment="1">
      <alignment vertical="center" shrinkToFit="1"/>
    </xf>
    <xf numFmtId="3" fontId="21" fillId="0" borderId="29" xfId="96" applyNumberFormat="1" applyFont="1" applyFill="1" applyBorder="1" applyAlignment="1">
      <alignment horizontal="left" vertical="center" indent="1"/>
      <protection/>
    </xf>
    <xf numFmtId="3" fontId="14" fillId="0" borderId="44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vertical="center" shrinkToFit="1"/>
    </xf>
    <xf numFmtId="0" fontId="37" fillId="0" borderId="0" xfId="0" applyFont="1" applyFill="1" applyAlignment="1">
      <alignment vertical="center" shrinkToFit="1"/>
    </xf>
    <xf numFmtId="3" fontId="21" fillId="0" borderId="35" xfId="96" applyNumberFormat="1" applyFont="1" applyFill="1" applyBorder="1" applyAlignment="1">
      <alignment horizontal="left" vertical="center" indent="1"/>
      <protection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vertical="center" shrinkToFit="1"/>
    </xf>
    <xf numFmtId="0" fontId="7" fillId="0" borderId="59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horizontal="center" vertical="center" shrinkToFit="1"/>
    </xf>
    <xf numFmtId="49" fontId="25" fillId="0" borderId="2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vertical="center" shrinkToFit="1"/>
    </xf>
    <xf numFmtId="49" fontId="24" fillId="0" borderId="50" xfId="0" applyNumberFormat="1" applyFont="1" applyFill="1" applyBorder="1" applyAlignment="1">
      <alignment vertical="center" shrinkToFit="1"/>
    </xf>
    <xf numFmtId="0" fontId="24" fillId="0" borderId="44" xfId="0" applyFont="1" applyFill="1" applyBorder="1" applyAlignment="1">
      <alignment horizontal="justify" vertical="center" shrinkToFit="1"/>
    </xf>
    <xf numFmtId="0" fontId="24" fillId="0" borderId="50" xfId="0" applyFont="1" applyBorder="1" applyAlignment="1">
      <alignment/>
    </xf>
    <xf numFmtId="49" fontId="24" fillId="0" borderId="44" xfId="0" applyNumberFormat="1" applyFont="1" applyFill="1" applyBorder="1" applyAlignment="1">
      <alignment vertical="center" wrapText="1"/>
    </xf>
    <xf numFmtId="49" fontId="25" fillId="0" borderId="49" xfId="0" applyNumberFormat="1" applyFont="1" applyFill="1" applyBorder="1" applyAlignment="1">
      <alignment vertical="center" shrinkToFit="1"/>
    </xf>
    <xf numFmtId="49" fontId="20" fillId="0" borderId="45" xfId="0" applyNumberFormat="1" applyFont="1" applyFill="1" applyBorder="1" applyAlignment="1">
      <alignment horizontal="left" vertical="center" indent="1" shrinkToFit="1"/>
    </xf>
    <xf numFmtId="49" fontId="24" fillId="0" borderId="44" xfId="0" applyNumberFormat="1" applyFont="1" applyFill="1" applyBorder="1" applyAlignment="1">
      <alignment horizontal="justify" vertical="center" shrinkToFit="1"/>
    </xf>
    <xf numFmtId="0" fontId="7" fillId="0" borderId="71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horizontal="center" vertical="center" shrinkToFit="1"/>
    </xf>
    <xf numFmtId="49" fontId="7" fillId="0" borderId="72" xfId="0" applyNumberFormat="1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vertical="center" shrinkToFit="1"/>
    </xf>
    <xf numFmtId="0" fontId="7" fillId="0" borderId="75" xfId="0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3" fontId="21" fillId="0" borderId="21" xfId="96" applyNumberFormat="1" applyFont="1" applyFill="1" applyBorder="1" applyAlignment="1">
      <alignment horizontal="left" vertical="center"/>
      <protection/>
    </xf>
    <xf numFmtId="3" fontId="21" fillId="0" borderId="22" xfId="96" applyNumberFormat="1" applyFont="1" applyFill="1" applyBorder="1" applyAlignment="1">
      <alignment horizontal="left" vertical="center"/>
      <protection/>
    </xf>
    <xf numFmtId="3" fontId="19" fillId="0" borderId="35" xfId="96" applyNumberFormat="1" applyFont="1" applyFill="1" applyBorder="1" applyAlignment="1">
      <alignment horizontal="left" vertical="center" indent="1" shrinkToFit="1"/>
      <protection/>
    </xf>
    <xf numFmtId="3" fontId="21" fillId="0" borderId="21" xfId="96" applyNumberFormat="1" applyFont="1" applyFill="1" applyBorder="1" applyAlignment="1">
      <alignment vertical="center" shrinkToFit="1"/>
      <protection/>
    </xf>
    <xf numFmtId="3" fontId="15" fillId="0" borderId="27" xfId="96" applyNumberFormat="1" applyFont="1" applyFill="1" applyBorder="1" applyAlignment="1">
      <alignment horizontal="left" vertical="center"/>
      <protection/>
    </xf>
    <xf numFmtId="3" fontId="19" fillId="0" borderId="109" xfId="96" applyNumberFormat="1" applyFont="1" applyFill="1" applyBorder="1" applyAlignment="1">
      <alignment horizontal="left" vertical="center" wrapText="1" indent="1"/>
      <protection/>
    </xf>
    <xf numFmtId="3" fontId="19" fillId="0" borderId="0" xfId="96" applyNumberFormat="1" applyFont="1" applyFill="1" applyAlignment="1">
      <alignment vertical="center"/>
      <protection/>
    </xf>
    <xf numFmtId="0" fontId="11" fillId="0" borderId="0" xfId="0" applyFont="1" applyAlignment="1">
      <alignment horizontal="right" vertical="center" wrapText="1"/>
    </xf>
    <xf numFmtId="3" fontId="19" fillId="0" borderId="110" xfId="96" applyNumberFormat="1" applyFont="1" applyFill="1" applyBorder="1" applyAlignment="1">
      <alignment horizontal="left" vertical="center" indent="1"/>
      <protection/>
    </xf>
    <xf numFmtId="1" fontId="13" fillId="0" borderId="31" xfId="96" applyNumberFormat="1" applyFont="1" applyFill="1" applyBorder="1" applyAlignment="1">
      <alignment horizontal="center" vertical="center"/>
      <protection/>
    </xf>
    <xf numFmtId="3" fontId="19" fillId="0" borderId="31" xfId="96" applyNumberFormat="1" applyFont="1" applyFill="1" applyBorder="1" applyAlignment="1">
      <alignment horizontal="left" vertical="center" indent="1" shrinkToFit="1"/>
      <protection/>
    </xf>
    <xf numFmtId="164" fontId="13" fillId="0" borderId="31" xfId="96" applyNumberFormat="1" applyFont="1" applyFill="1" applyBorder="1" applyAlignment="1" quotePrefix="1">
      <alignment horizontal="center" vertical="center"/>
      <protection/>
    </xf>
    <xf numFmtId="49" fontId="24" fillId="0" borderId="50" xfId="0" applyNumberFormat="1" applyFont="1" applyFill="1" applyBorder="1" applyAlignment="1">
      <alignment vertical="center" wrapText="1"/>
    </xf>
    <xf numFmtId="3" fontId="14" fillId="0" borderId="53" xfId="0" applyNumberFormat="1" applyFont="1" applyFill="1" applyBorder="1" applyAlignment="1">
      <alignment horizontal="left" vertical="center"/>
    </xf>
    <xf numFmtId="3" fontId="14" fillId="0" borderId="44" xfId="0" applyNumberFormat="1" applyFont="1" applyFill="1" applyBorder="1" applyAlignment="1">
      <alignment horizontal="center" vertical="center"/>
    </xf>
    <xf numFmtId="3" fontId="14" fillId="0" borderId="80" xfId="0" applyNumberFormat="1" applyFont="1" applyFill="1" applyBorder="1" applyAlignment="1">
      <alignment horizontal="center" vertical="center"/>
    </xf>
    <xf numFmtId="3" fontId="14" fillId="0" borderId="76" xfId="0" applyNumberFormat="1" applyFont="1" applyFill="1" applyBorder="1" applyAlignment="1">
      <alignment horizontal="center" vertical="center"/>
    </xf>
    <xf numFmtId="2" fontId="24" fillId="0" borderId="50" xfId="0" applyNumberFormat="1" applyFont="1" applyFill="1" applyBorder="1" applyAlignment="1">
      <alignment vertical="center" wrapText="1"/>
    </xf>
    <xf numFmtId="3" fontId="25" fillId="0" borderId="50" xfId="0" applyNumberFormat="1" applyFont="1" applyFill="1" applyBorder="1" applyAlignment="1">
      <alignment horizontal="right" vertical="center" shrinkToFit="1"/>
    </xf>
    <xf numFmtId="3" fontId="25" fillId="0" borderId="111" xfId="0" applyNumberFormat="1" applyFont="1" applyFill="1" applyBorder="1" applyAlignment="1">
      <alignment horizontal="right" vertical="center" shrinkToFit="1"/>
    </xf>
    <xf numFmtId="3" fontId="25" fillId="0" borderId="112" xfId="0" applyNumberFormat="1" applyFont="1" applyFill="1" applyBorder="1" applyAlignment="1">
      <alignment horizontal="right" vertical="center" shrinkToFit="1"/>
    </xf>
    <xf numFmtId="3" fontId="14" fillId="0" borderId="113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left" vertical="center" wrapText="1"/>
    </xf>
    <xf numFmtId="3" fontId="14" fillId="0" borderId="47" xfId="0" applyNumberFormat="1" applyFont="1" applyFill="1" applyBorder="1" applyAlignment="1">
      <alignment horizontal="center" vertical="center"/>
    </xf>
    <xf numFmtId="3" fontId="101" fillId="0" borderId="0" xfId="96" applyNumberFormat="1" applyFont="1" applyFill="1" applyBorder="1" applyAlignment="1">
      <alignment vertical="center"/>
      <protection/>
    </xf>
    <xf numFmtId="3" fontId="101" fillId="0" borderId="0" xfId="96" applyNumberFormat="1" applyFont="1" applyFill="1" applyAlignment="1">
      <alignment vertical="center"/>
      <protection/>
    </xf>
    <xf numFmtId="3" fontId="34" fillId="0" borderId="49" xfId="0" applyNumberFormat="1" applyFont="1" applyBorder="1" applyAlignment="1">
      <alignment vertical="center" wrapText="1"/>
    </xf>
    <xf numFmtId="3" fontId="34" fillId="0" borderId="44" xfId="0" applyNumberFormat="1" applyFont="1" applyBorder="1" applyAlignment="1">
      <alignment vertical="center" wrapText="1"/>
    </xf>
    <xf numFmtId="3" fontId="35" fillId="0" borderId="108" xfId="0" applyNumberFormat="1" applyFont="1" applyBorder="1" applyAlignment="1">
      <alignment vertical="center" wrapText="1"/>
    </xf>
    <xf numFmtId="3" fontId="21" fillId="0" borderId="31" xfId="96" applyNumberFormat="1" applyFont="1" applyFill="1" applyBorder="1" applyAlignment="1">
      <alignment vertical="center"/>
      <protection/>
    </xf>
    <xf numFmtId="3" fontId="21" fillId="0" borderId="35" xfId="96" applyNumberFormat="1" applyFont="1" applyFill="1" applyBorder="1" applyAlignment="1">
      <alignment horizontal="right" vertical="center"/>
      <protection/>
    </xf>
    <xf numFmtId="3" fontId="19" fillId="0" borderId="35" xfId="96" applyNumberFormat="1" applyFont="1" applyFill="1" applyBorder="1" applyAlignment="1">
      <alignment horizontal="right" vertical="center"/>
      <protection/>
    </xf>
    <xf numFmtId="3" fontId="21" fillId="0" borderId="35" xfId="96" applyNumberFormat="1" applyFont="1" applyFill="1" applyBorder="1" applyAlignment="1">
      <alignment vertical="center"/>
      <protection/>
    </xf>
    <xf numFmtId="4" fontId="21" fillId="0" borderId="114" xfId="96" applyNumberFormat="1" applyFont="1" applyFill="1" applyBorder="1" applyAlignment="1">
      <alignment horizontal="right" vertical="center"/>
      <protection/>
    </xf>
    <xf numFmtId="3" fontId="21" fillId="0" borderId="33" xfId="96" applyNumberFormat="1" applyFont="1" applyFill="1" applyBorder="1" applyAlignment="1">
      <alignment vertical="center"/>
      <protection/>
    </xf>
    <xf numFmtId="3" fontId="19" fillId="0" borderId="33" xfId="96" applyNumberFormat="1" applyFont="1" applyFill="1" applyBorder="1" applyAlignment="1">
      <alignment horizontal="right" vertical="center"/>
      <protection/>
    </xf>
    <xf numFmtId="4" fontId="21" fillId="0" borderId="115" xfId="96" applyNumberFormat="1" applyFont="1" applyFill="1" applyBorder="1" applyAlignment="1">
      <alignment horizontal="right" vertical="center"/>
      <protection/>
    </xf>
    <xf numFmtId="3" fontId="24" fillId="0" borderId="29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116" xfId="0" applyNumberFormat="1" applyFont="1" applyBorder="1" applyAlignment="1">
      <alignment/>
    </xf>
    <xf numFmtId="3" fontId="21" fillId="0" borderId="29" xfId="96" applyNumberFormat="1" applyFont="1" applyFill="1" applyBorder="1" applyAlignment="1">
      <alignment horizontal="right" vertical="center"/>
      <protection/>
    </xf>
    <xf numFmtId="4" fontId="21" fillId="0" borderId="116" xfId="96" applyNumberFormat="1" applyFont="1" applyFill="1" applyBorder="1" applyAlignment="1">
      <alignment horizontal="right" vertical="center"/>
      <protection/>
    </xf>
    <xf numFmtId="3" fontId="16" fillId="0" borderId="39" xfId="0" applyNumberFormat="1" applyFont="1" applyBorder="1" applyAlignment="1">
      <alignment vertical="center" wrapText="1"/>
    </xf>
    <xf numFmtId="3" fontId="16" fillId="0" borderId="117" xfId="0" applyNumberFormat="1" applyFont="1" applyBorder="1" applyAlignment="1">
      <alignment vertical="center" wrapText="1"/>
    </xf>
    <xf numFmtId="3" fontId="16" fillId="0" borderId="53" xfId="0" applyNumberFormat="1" applyFont="1" applyBorder="1" applyAlignment="1">
      <alignment vertical="center" wrapText="1"/>
    </xf>
    <xf numFmtId="3" fontId="16" fillId="0" borderId="118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24" fillId="0" borderId="33" xfId="0" applyNumberFormat="1" applyFont="1" applyBorder="1" applyAlignment="1">
      <alignment/>
    </xf>
    <xf numFmtId="0" fontId="20" fillId="0" borderId="0" xfId="0" applyFont="1" applyFill="1" applyAlignment="1">
      <alignment shrinkToFit="1"/>
    </xf>
    <xf numFmtId="0" fontId="22" fillId="0" borderId="0" xfId="0" applyFont="1" applyFill="1" applyAlignment="1">
      <alignment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shrinkToFit="1"/>
    </xf>
    <xf numFmtId="0" fontId="21" fillId="0" borderId="0" xfId="0" applyFont="1" applyFill="1" applyAlignment="1">
      <alignment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3" fontId="68" fillId="0" borderId="0" xfId="0" applyNumberFormat="1" applyFont="1" applyFill="1" applyAlignment="1">
      <alignment shrinkToFit="1"/>
    </xf>
    <xf numFmtId="3" fontId="68" fillId="0" borderId="0" xfId="0" applyNumberFormat="1" applyFont="1" applyFill="1" applyAlignment="1">
      <alignment vertical="center" shrinkToFit="1"/>
    </xf>
    <xf numFmtId="3" fontId="19" fillId="0" borderId="29" xfId="96" applyNumberFormat="1" applyFont="1" applyFill="1" applyBorder="1" applyAlignment="1">
      <alignment horizontal="left" vertical="center" wrapText="1" indent="1"/>
      <protection/>
    </xf>
    <xf numFmtId="3" fontId="19" fillId="0" borderId="29" xfId="96" applyNumberFormat="1" applyFont="1" applyFill="1" applyBorder="1" applyAlignment="1">
      <alignment horizontal="right" vertical="center"/>
      <protection/>
    </xf>
    <xf numFmtId="3" fontId="19" fillId="0" borderId="29" xfId="96" applyNumberFormat="1" applyFont="1" applyFill="1" applyBorder="1" applyAlignment="1">
      <alignment vertical="center"/>
      <protection/>
    </xf>
    <xf numFmtId="49" fontId="24" fillId="0" borderId="51" xfId="0" applyNumberFormat="1" applyFont="1" applyFill="1" applyBorder="1" applyAlignment="1">
      <alignment horizontal="justify" vertical="center" shrinkToFit="1"/>
    </xf>
    <xf numFmtId="164" fontId="13" fillId="0" borderId="35" xfId="96" applyNumberFormat="1" applyFont="1" applyFill="1" applyBorder="1" applyAlignment="1" quotePrefix="1">
      <alignment horizontal="center" vertical="center"/>
      <protection/>
    </xf>
    <xf numFmtId="3" fontId="24" fillId="0" borderId="27" xfId="0" applyNumberFormat="1" applyFont="1" applyFill="1" applyBorder="1" applyAlignment="1">
      <alignment horizontal="center" vertical="center"/>
    </xf>
    <xf numFmtId="3" fontId="19" fillId="0" borderId="22" xfId="96" applyNumberFormat="1" applyFont="1" applyFill="1" applyBorder="1" applyAlignment="1">
      <alignment horizontal="left" vertical="center" wrapText="1" indent="1" shrinkToFit="1"/>
      <protection/>
    </xf>
    <xf numFmtId="0" fontId="24" fillId="0" borderId="50" xfId="0" applyFont="1" applyBorder="1" applyAlignment="1">
      <alignment wrapText="1"/>
    </xf>
    <xf numFmtId="3" fontId="33" fillId="0" borderId="27" xfId="96" applyNumberFormat="1" applyFont="1" applyFill="1" applyBorder="1" applyAlignment="1">
      <alignment horizontal="left" vertical="center" wrapText="1" indent="2"/>
      <protection/>
    </xf>
    <xf numFmtId="49" fontId="24" fillId="0" borderId="49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horizontal="center" vertical="center"/>
    </xf>
    <xf numFmtId="3" fontId="24" fillId="0" borderId="57" xfId="97" applyNumberFormat="1" applyFont="1" applyFill="1" applyBorder="1" applyAlignment="1" quotePrefix="1">
      <alignment horizontal="left" vertical="center" wrapText="1"/>
      <protection/>
    </xf>
    <xf numFmtId="3" fontId="19" fillId="0" borderId="31" xfId="96" applyNumberFormat="1" applyFont="1" applyFill="1" applyBorder="1" applyAlignment="1" quotePrefix="1">
      <alignment horizontal="left" vertical="center" wrapText="1" indent="1"/>
      <protection/>
    </xf>
    <xf numFmtId="3" fontId="102" fillId="0" borderId="0" xfId="0" applyNumberFormat="1" applyFont="1" applyFill="1" applyBorder="1" applyAlignment="1">
      <alignment horizontal="left" vertical="center"/>
    </xf>
    <xf numFmtId="3" fontId="102" fillId="0" borderId="0" xfId="0" applyNumberFormat="1" applyFont="1" applyFill="1" applyBorder="1" applyAlignment="1">
      <alignment horizontal="right" vertical="center"/>
    </xf>
    <xf numFmtId="3" fontId="102" fillId="0" borderId="41" xfId="0" applyNumberFormat="1" applyFont="1" applyFill="1" applyBorder="1" applyAlignment="1">
      <alignment horizontal="left" vertical="center"/>
    </xf>
    <xf numFmtId="3" fontId="102" fillId="0" borderId="67" xfId="0" applyNumberFormat="1" applyFont="1" applyFill="1" applyBorder="1" applyAlignment="1">
      <alignment horizontal="left" vertical="center"/>
    </xf>
    <xf numFmtId="3" fontId="103" fillId="0" borderId="0" xfId="0" applyNumberFormat="1" applyFont="1" applyFill="1" applyBorder="1" applyAlignment="1">
      <alignment horizontal="right" vertical="center"/>
    </xf>
    <xf numFmtId="3" fontId="103" fillId="0" borderId="74" xfId="0" applyNumberFormat="1" applyFont="1" applyFill="1" applyBorder="1" applyAlignment="1">
      <alignment horizontal="right" vertical="center"/>
    </xf>
    <xf numFmtId="3" fontId="104" fillId="43" borderId="50" xfId="0" applyNumberFormat="1" applyFont="1" applyFill="1" applyBorder="1" applyAlignment="1">
      <alignment horizontal="right" vertical="center"/>
    </xf>
    <xf numFmtId="3" fontId="102" fillId="0" borderId="51" xfId="0" applyNumberFormat="1" applyFont="1" applyFill="1" applyBorder="1" applyAlignment="1">
      <alignment horizontal="right" vertical="center"/>
    </xf>
    <xf numFmtId="3" fontId="102" fillId="0" borderId="0" xfId="0" applyNumberFormat="1" applyFont="1" applyFill="1" applyAlignment="1">
      <alignment horizontal="right" vertical="center"/>
    </xf>
    <xf numFmtId="3" fontId="102" fillId="0" borderId="0" xfId="0" applyNumberFormat="1" applyFont="1" applyFill="1" applyAlignment="1">
      <alignment horizontal="left" vertical="center"/>
    </xf>
    <xf numFmtId="3" fontId="105" fillId="0" borderId="75" xfId="0" applyNumberFormat="1" applyFont="1" applyFill="1" applyBorder="1" applyAlignment="1">
      <alignment horizontal="center" vertical="center"/>
    </xf>
    <xf numFmtId="3" fontId="106" fillId="0" borderId="75" xfId="0" applyNumberFormat="1" applyFont="1" applyFill="1" applyBorder="1" applyAlignment="1">
      <alignment vertical="center"/>
    </xf>
    <xf numFmtId="3" fontId="106" fillId="0" borderId="75" xfId="0" applyNumberFormat="1" applyFont="1" applyFill="1" applyBorder="1" applyAlignment="1">
      <alignment horizontal="left" vertical="center"/>
    </xf>
    <xf numFmtId="3" fontId="106" fillId="0" borderId="75" xfId="0" applyNumberFormat="1" applyFont="1" applyFill="1" applyBorder="1" applyAlignment="1">
      <alignment horizontal="right" vertical="center"/>
    </xf>
    <xf numFmtId="3" fontId="105" fillId="0" borderId="59" xfId="0" applyNumberFormat="1" applyFont="1" applyFill="1" applyBorder="1" applyAlignment="1">
      <alignment horizontal="center" vertical="center"/>
    </xf>
    <xf numFmtId="3" fontId="107" fillId="0" borderId="40" xfId="0" applyNumberFormat="1" applyFont="1" applyFill="1" applyBorder="1" applyAlignment="1">
      <alignment vertical="center"/>
    </xf>
    <xf numFmtId="3" fontId="107" fillId="0" borderId="61" xfId="0" applyNumberFormat="1" applyFont="1" applyFill="1" applyBorder="1" applyAlignment="1">
      <alignment vertical="center"/>
    </xf>
    <xf numFmtId="3" fontId="107" fillId="0" borderId="75" xfId="0" applyNumberFormat="1" applyFont="1" applyFill="1" applyBorder="1" applyAlignment="1">
      <alignment vertical="center"/>
    </xf>
    <xf numFmtId="3" fontId="106" fillId="0" borderId="49" xfId="0" applyNumberFormat="1" applyFont="1" applyFill="1" applyBorder="1" applyAlignment="1">
      <alignment horizontal="right" vertical="center"/>
    </xf>
    <xf numFmtId="3" fontId="106" fillId="0" borderId="44" xfId="0" applyNumberFormat="1" applyFont="1" applyFill="1" applyBorder="1" applyAlignment="1">
      <alignment horizontal="right" vertical="center"/>
    </xf>
    <xf numFmtId="3" fontId="108" fillId="0" borderId="44" xfId="0" applyNumberFormat="1" applyFont="1" applyFill="1" applyBorder="1" applyAlignment="1">
      <alignment horizontal="right" vertical="center"/>
    </xf>
    <xf numFmtId="3" fontId="108" fillId="43" borderId="84" xfId="0" applyNumberFormat="1" applyFont="1" applyFill="1" applyBorder="1" applyAlignment="1">
      <alignment horizontal="right" vertical="center"/>
    </xf>
    <xf numFmtId="3" fontId="108" fillId="0" borderId="108" xfId="0" applyNumberFormat="1" applyFont="1" applyFill="1" applyBorder="1" applyAlignment="1">
      <alignment horizontal="right" vertical="center"/>
    </xf>
    <xf numFmtId="3" fontId="106" fillId="43" borderId="84" xfId="0" applyNumberFormat="1" applyFont="1" applyFill="1" applyBorder="1" applyAlignment="1">
      <alignment horizontal="right" vertical="center"/>
    </xf>
    <xf numFmtId="3" fontId="106" fillId="0" borderId="108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3" fontId="109" fillId="43" borderId="0" xfId="0" applyNumberFormat="1" applyFont="1" applyFill="1" applyBorder="1" applyAlignment="1">
      <alignment horizontal="right" vertical="center"/>
    </xf>
    <xf numFmtId="3" fontId="109" fillId="0" borderId="74" xfId="0" applyNumberFormat="1" applyFont="1" applyFill="1" applyBorder="1" applyAlignment="1">
      <alignment horizontal="right" vertical="center"/>
    </xf>
    <xf numFmtId="3" fontId="109" fillId="0" borderId="41" xfId="0" applyNumberFormat="1" applyFont="1" applyFill="1" applyBorder="1" applyAlignment="1">
      <alignment horizontal="left" vertical="center"/>
    </xf>
    <xf numFmtId="3" fontId="109" fillId="43" borderId="0" xfId="0" applyNumberFormat="1" applyFont="1" applyFill="1" applyBorder="1" applyAlignment="1">
      <alignment horizontal="left" vertical="center"/>
    </xf>
    <xf numFmtId="3" fontId="109" fillId="0" borderId="74" xfId="0" applyNumberFormat="1" applyFont="1" applyFill="1" applyBorder="1" applyAlignment="1">
      <alignment horizontal="left" vertical="center"/>
    </xf>
    <xf numFmtId="3" fontId="109" fillId="0" borderId="44" xfId="0" applyNumberFormat="1" applyFont="1" applyFill="1" applyBorder="1" applyAlignment="1">
      <alignment horizontal="right" vertical="center"/>
    </xf>
    <xf numFmtId="3" fontId="109" fillId="43" borderId="84" xfId="0" applyNumberFormat="1" applyFont="1" applyFill="1" applyBorder="1" applyAlignment="1">
      <alignment horizontal="right" vertical="center"/>
    </xf>
    <xf numFmtId="3" fontId="109" fillId="0" borderId="118" xfId="0" applyNumberFormat="1" applyFont="1" applyFill="1" applyBorder="1" applyAlignment="1">
      <alignment horizontal="right" vertical="center"/>
    </xf>
    <xf numFmtId="3" fontId="106" fillId="43" borderId="119" xfId="0" applyNumberFormat="1" applyFont="1" applyFill="1" applyBorder="1" applyAlignment="1">
      <alignment horizontal="right" vertical="center"/>
    </xf>
    <xf numFmtId="4" fontId="101" fillId="0" borderId="107" xfId="96" applyNumberFormat="1" applyFont="1" applyFill="1" applyBorder="1" applyAlignment="1">
      <alignment horizontal="right" vertical="center"/>
      <protection/>
    </xf>
    <xf numFmtId="4" fontId="101" fillId="0" borderId="116" xfId="96" applyNumberFormat="1" applyFont="1" applyFill="1" applyBorder="1" applyAlignment="1">
      <alignment horizontal="right" vertical="center"/>
      <protection/>
    </xf>
    <xf numFmtId="4" fontId="101" fillId="0" borderId="115" xfId="96" applyNumberFormat="1" applyFont="1" applyFill="1" applyBorder="1" applyAlignment="1">
      <alignment horizontal="right" vertical="center"/>
      <protection/>
    </xf>
    <xf numFmtId="4" fontId="101" fillId="0" borderId="120" xfId="96" applyNumberFormat="1" applyFont="1" applyFill="1" applyBorder="1" applyAlignment="1">
      <alignment horizontal="right" vertical="center"/>
      <protection/>
    </xf>
    <xf numFmtId="4" fontId="101" fillId="0" borderId="121" xfId="96" applyNumberFormat="1" applyFont="1" applyFill="1" applyBorder="1" applyAlignment="1">
      <alignment horizontal="right" vertical="center"/>
      <protection/>
    </xf>
    <xf numFmtId="3" fontId="100" fillId="0" borderId="31" xfId="96" applyNumberFormat="1" applyFont="1" applyFill="1" applyBorder="1" applyAlignment="1">
      <alignment horizontal="right" vertical="center"/>
      <protection/>
    </xf>
    <xf numFmtId="3" fontId="100" fillId="0" borderId="31" xfId="96" applyNumberFormat="1" applyFont="1" applyFill="1" applyBorder="1" applyAlignment="1">
      <alignment vertical="center"/>
      <protection/>
    </xf>
    <xf numFmtId="4" fontId="101" fillId="0" borderId="122" xfId="96" applyNumberFormat="1" applyFont="1" applyFill="1" applyBorder="1" applyAlignment="1">
      <alignment horizontal="right" vertical="center"/>
      <protection/>
    </xf>
    <xf numFmtId="4" fontId="101" fillId="0" borderId="114" xfId="96" applyNumberFormat="1" applyFont="1" applyFill="1" applyBorder="1" applyAlignment="1">
      <alignment horizontal="right" vertical="center"/>
      <protection/>
    </xf>
    <xf numFmtId="4" fontId="101" fillId="0" borderId="0" xfId="96" applyNumberFormat="1" applyFont="1" applyFill="1" applyAlignment="1">
      <alignment horizontal="right" vertical="center"/>
      <protection/>
    </xf>
    <xf numFmtId="4" fontId="100" fillId="0" borderId="0" xfId="96" applyNumberFormat="1" applyFont="1" applyFill="1" applyAlignment="1">
      <alignment vertical="center"/>
      <protection/>
    </xf>
    <xf numFmtId="3" fontId="24" fillId="0" borderId="51" xfId="0" applyNumberFormat="1" applyFont="1" applyFill="1" applyBorder="1" applyAlignment="1">
      <alignment horizontal="right"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110" fillId="0" borderId="0" xfId="0" applyNumberFormat="1" applyFont="1" applyFill="1" applyAlignment="1">
      <alignment horizontal="right" vertical="center" shrinkToFit="1"/>
    </xf>
    <xf numFmtId="3" fontId="102" fillId="0" borderId="121" xfId="0" applyNumberFormat="1" applyFont="1" applyFill="1" applyBorder="1" applyAlignment="1">
      <alignment horizontal="right" vertical="center" shrinkToFit="1"/>
    </xf>
    <xf numFmtId="3" fontId="102" fillId="0" borderId="108" xfId="0" applyNumberFormat="1" applyFont="1" applyFill="1" applyBorder="1" applyAlignment="1">
      <alignment horizontal="right" vertical="center" shrinkToFit="1"/>
    </xf>
    <xf numFmtId="3" fontId="111" fillId="0" borderId="121" xfId="0" applyNumberFormat="1" applyFont="1" applyFill="1" applyBorder="1" applyAlignment="1">
      <alignment horizontal="right" vertical="center" shrinkToFit="1"/>
    </xf>
    <xf numFmtId="3" fontId="25" fillId="43" borderId="123" xfId="0" applyNumberFormat="1" applyFont="1" applyFill="1" applyBorder="1" applyAlignment="1">
      <alignment horizontal="right" vertical="center"/>
    </xf>
    <xf numFmtId="3" fontId="25" fillId="0" borderId="124" xfId="0" applyNumberFormat="1" applyFont="1" applyFill="1" applyBorder="1" applyAlignment="1">
      <alignment horizontal="right" vertical="center"/>
    </xf>
    <xf numFmtId="3" fontId="25" fillId="0" borderId="125" xfId="0" applyNumberFormat="1" applyFont="1" applyFill="1" applyBorder="1" applyAlignment="1">
      <alignment horizontal="right" vertical="center"/>
    </xf>
    <xf numFmtId="3" fontId="25" fillId="43" borderId="49" xfId="0" applyNumberFormat="1" applyFont="1" applyFill="1" applyBorder="1" applyAlignment="1">
      <alignment horizontal="right" vertical="center"/>
    </xf>
    <xf numFmtId="3" fontId="24" fillId="0" borderId="119" xfId="0" applyNumberFormat="1" applyFont="1" applyFill="1" applyBorder="1" applyAlignment="1">
      <alignment horizontal="right" vertical="center"/>
    </xf>
    <xf numFmtId="3" fontId="24" fillId="0" borderId="108" xfId="0" applyNumberFormat="1" applyFont="1" applyFill="1" applyBorder="1" applyAlignment="1">
      <alignment horizontal="right" vertical="center"/>
    </xf>
    <xf numFmtId="3" fontId="25" fillId="43" borderId="27" xfId="0" applyNumberFormat="1" applyFont="1" applyFill="1" applyBorder="1" applyAlignment="1">
      <alignment horizontal="right" vertical="center"/>
    </xf>
    <xf numFmtId="3" fontId="24" fillId="0" borderId="106" xfId="0" applyNumberFormat="1" applyFont="1" applyFill="1" applyBorder="1" applyAlignment="1">
      <alignment horizontal="right" vertical="center"/>
    </xf>
    <xf numFmtId="3" fontId="24" fillId="0" borderId="107" xfId="0" applyNumberFormat="1" applyFont="1" applyFill="1" applyBorder="1" applyAlignment="1">
      <alignment horizontal="right" vertical="center"/>
    </xf>
    <xf numFmtId="3" fontId="19" fillId="0" borderId="0" xfId="96" applyNumberFormat="1" applyFont="1" applyFill="1" applyBorder="1" applyAlignment="1">
      <alignment vertical="center"/>
      <protection/>
    </xf>
    <xf numFmtId="3" fontId="21" fillId="0" borderId="0" xfId="96" applyNumberFormat="1" applyFont="1" applyFill="1" applyBorder="1" applyAlignment="1">
      <alignment vertical="center"/>
      <protection/>
    </xf>
    <xf numFmtId="4" fontId="21" fillId="0" borderId="0" xfId="96" applyNumberFormat="1" applyFont="1" applyFill="1" applyBorder="1" applyAlignment="1">
      <alignment horizontal="right" vertical="center"/>
      <protection/>
    </xf>
    <xf numFmtId="3" fontId="21" fillId="0" borderId="75" xfId="96" applyNumberFormat="1" applyFont="1" applyFill="1" applyBorder="1" applyAlignment="1">
      <alignment horizontal="right" vertical="center"/>
      <protection/>
    </xf>
    <xf numFmtId="4" fontId="21" fillId="0" borderId="75" xfId="96" applyNumberFormat="1" applyFont="1" applyFill="1" applyBorder="1" applyAlignment="1">
      <alignment horizontal="right" vertical="center"/>
      <protection/>
    </xf>
    <xf numFmtId="4" fontId="21" fillId="0" borderId="126" xfId="96" applyNumberFormat="1" applyFont="1" applyFill="1" applyBorder="1" applyAlignment="1">
      <alignment horizontal="center" vertical="center"/>
      <protection/>
    </xf>
    <xf numFmtId="3" fontId="21" fillId="0" borderId="22" xfId="96" applyNumberFormat="1" applyFont="1" applyFill="1" applyBorder="1" applyAlignment="1">
      <alignment horizontal="center" vertical="center" wrapText="1"/>
      <protection/>
    </xf>
    <xf numFmtId="4" fontId="21" fillId="0" borderId="121" xfId="96" applyNumberFormat="1" applyFont="1" applyFill="1" applyBorder="1" applyAlignment="1">
      <alignment horizontal="center" vertical="center"/>
      <protection/>
    </xf>
    <xf numFmtId="3" fontId="21" fillId="0" borderId="23" xfId="96" applyNumberFormat="1" applyFont="1" applyFill="1" applyBorder="1" applyAlignment="1">
      <alignment horizontal="center" vertical="center" wrapText="1"/>
      <protection/>
    </xf>
    <xf numFmtId="4" fontId="21" fillId="0" borderId="127" xfId="96" applyNumberFormat="1" applyFont="1" applyFill="1" applyBorder="1" applyAlignment="1">
      <alignment horizontal="right" vertical="center"/>
      <protection/>
    </xf>
    <xf numFmtId="3" fontId="21" fillId="0" borderId="21" xfId="96" applyNumberFormat="1" applyFont="1" applyFill="1" applyBorder="1" applyAlignment="1">
      <alignment horizontal="center" vertical="center" wrapText="1"/>
      <protection/>
    </xf>
    <xf numFmtId="3" fontId="36" fillId="0" borderId="50" xfId="0" applyNumberFormat="1" applyFont="1" applyFill="1" applyBorder="1" applyAlignment="1">
      <alignment horizontal="right" vertical="center"/>
    </xf>
    <xf numFmtId="3" fontId="36" fillId="0" borderId="128" xfId="0" applyNumberFormat="1" applyFont="1" applyFill="1" applyBorder="1" applyAlignment="1">
      <alignment horizontal="right" vertical="center"/>
    </xf>
    <xf numFmtId="3" fontId="24" fillId="0" borderId="50" xfId="0" applyNumberFormat="1" applyFont="1" applyFill="1" applyBorder="1" applyAlignment="1">
      <alignment horizontal="right" vertical="center"/>
    </xf>
    <xf numFmtId="3" fontId="24" fillId="43" borderId="86" xfId="0" applyNumberFormat="1" applyFont="1" applyFill="1" applyBorder="1" applyAlignment="1">
      <alignment horizontal="right" vertical="center"/>
    </xf>
    <xf numFmtId="3" fontId="24" fillId="0" borderId="128" xfId="0" applyNumberFormat="1" applyFont="1" applyFill="1" applyBorder="1" applyAlignment="1">
      <alignment horizontal="right" vertical="center"/>
    </xf>
    <xf numFmtId="3" fontId="25" fillId="0" borderId="44" xfId="0" applyNumberFormat="1" applyFont="1" applyFill="1" applyBorder="1" applyAlignment="1">
      <alignment horizontal="right" vertical="center"/>
    </xf>
    <xf numFmtId="3" fontId="25" fillId="43" borderId="84" xfId="0" applyNumberFormat="1" applyFont="1" applyFill="1" applyBorder="1" applyAlignment="1">
      <alignment horizontal="right" vertical="center"/>
    </xf>
    <xf numFmtId="3" fontId="25" fillId="0" borderId="118" xfId="0" applyNumberFormat="1" applyFont="1" applyFill="1" applyBorder="1" applyAlignment="1">
      <alignment horizontal="right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24" fillId="0" borderId="118" xfId="0" applyNumberFormat="1" applyFont="1" applyFill="1" applyBorder="1" applyAlignment="1">
      <alignment horizontal="right" vertical="center"/>
    </xf>
    <xf numFmtId="3" fontId="24" fillId="43" borderId="84" xfId="0" applyNumberFormat="1" applyFont="1" applyFill="1" applyBorder="1" applyAlignment="1">
      <alignment horizontal="right" vertical="center"/>
    </xf>
    <xf numFmtId="4" fontId="69" fillId="0" borderId="107" xfId="96" applyNumberFormat="1" applyFont="1" applyFill="1" applyBorder="1" applyAlignment="1">
      <alignment horizontal="right" vertical="center"/>
      <protection/>
    </xf>
    <xf numFmtId="4" fontId="33" fillId="0" borderId="120" xfId="96" applyNumberFormat="1" applyFont="1" applyFill="1" applyBorder="1" applyAlignment="1">
      <alignment horizontal="right" vertical="center"/>
      <protection/>
    </xf>
    <xf numFmtId="4" fontId="33" fillId="0" borderId="115" xfId="96" applyNumberFormat="1" applyFont="1" applyFill="1" applyBorder="1" applyAlignment="1">
      <alignment horizontal="right" vertical="center"/>
      <protection/>
    </xf>
    <xf numFmtId="4" fontId="33" fillId="0" borderId="121" xfId="96" applyNumberFormat="1" applyFont="1" applyFill="1" applyBorder="1" applyAlignment="1">
      <alignment horizontal="right" vertical="center"/>
      <protection/>
    </xf>
    <xf numFmtId="3" fontId="21" fillId="0" borderId="21" xfId="96" applyNumberFormat="1" applyFont="1" applyFill="1" applyBorder="1" applyAlignment="1">
      <alignment horizontal="right" vertical="center"/>
      <protection/>
    </xf>
    <xf numFmtId="3" fontId="33" fillId="0" borderId="33" xfId="96" applyNumberFormat="1" applyFont="1" applyFill="1" applyBorder="1" applyAlignment="1">
      <alignment horizontal="right" vertical="center"/>
      <protection/>
    </xf>
    <xf numFmtId="3" fontId="21" fillId="0" borderId="27" xfId="96" applyNumberFormat="1" applyFont="1" applyFill="1" applyBorder="1" applyAlignment="1">
      <alignment horizontal="right" vertical="center"/>
      <protection/>
    </xf>
    <xf numFmtId="3" fontId="21" fillId="0" borderId="25" xfId="96" applyNumberFormat="1" applyFont="1" applyFill="1" applyBorder="1" applyAlignment="1">
      <alignment horizontal="right" vertical="center"/>
      <protection/>
    </xf>
    <xf numFmtId="3" fontId="33" fillId="0" borderId="22" xfId="96" applyNumberFormat="1" applyFont="1" applyFill="1" applyBorder="1" applyAlignment="1">
      <alignment horizontal="right" vertical="center"/>
      <protection/>
    </xf>
    <xf numFmtId="0" fontId="20" fillId="0" borderId="45" xfId="0" applyFont="1" applyFill="1" applyBorder="1" applyAlignment="1">
      <alignment horizontal="center" vertical="center" shrinkToFit="1"/>
    </xf>
    <xf numFmtId="49" fontId="24" fillId="0" borderId="50" xfId="0" applyNumberFormat="1" applyFont="1" applyFill="1" applyBorder="1" applyAlignment="1">
      <alignment horizontal="left" vertical="center" wrapText="1"/>
    </xf>
    <xf numFmtId="3" fontId="36" fillId="0" borderId="118" xfId="0" applyNumberFormat="1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vertical="center" shrinkToFit="1"/>
    </xf>
    <xf numFmtId="3" fontId="33" fillId="0" borderId="27" xfId="96" applyNumberFormat="1" applyFont="1" applyFill="1" applyBorder="1" applyAlignment="1">
      <alignment vertical="center"/>
      <protection/>
    </xf>
    <xf numFmtId="3" fontId="33" fillId="0" borderId="27" xfId="96" applyNumberFormat="1" applyFont="1" applyFill="1" applyBorder="1" applyAlignment="1">
      <alignment horizontal="right" vertical="center"/>
      <protection/>
    </xf>
    <xf numFmtId="3" fontId="69" fillId="0" borderId="33" xfId="96" applyNumberFormat="1" applyFont="1" applyFill="1" applyBorder="1" applyAlignment="1">
      <alignment horizontal="right" vertical="center"/>
      <protection/>
    </xf>
    <xf numFmtId="3" fontId="69" fillId="0" borderId="27" xfId="96" applyNumberFormat="1" applyFont="1" applyFill="1" applyBorder="1" applyAlignment="1">
      <alignment vertical="center"/>
      <protection/>
    </xf>
    <xf numFmtId="3" fontId="24" fillId="0" borderId="118" xfId="0" applyNumberFormat="1" applyFont="1" applyFill="1" applyBorder="1" applyAlignment="1">
      <alignment horizontal="right" vertical="center" shrinkToFit="1"/>
    </xf>
    <xf numFmtId="3" fontId="19" fillId="0" borderId="22" xfId="96" applyNumberFormat="1" applyFont="1" applyFill="1" applyBorder="1" applyAlignment="1">
      <alignment horizontal="right" vertical="center"/>
      <protection/>
    </xf>
    <xf numFmtId="4" fontId="21" fillId="0" borderId="121" xfId="96" applyNumberFormat="1" applyFont="1" applyFill="1" applyBorder="1" applyAlignment="1">
      <alignment horizontal="right" vertical="center"/>
      <protection/>
    </xf>
    <xf numFmtId="3" fontId="33" fillId="0" borderId="35" xfId="96" applyNumberFormat="1" applyFont="1" applyFill="1" applyBorder="1" applyAlignment="1">
      <alignment horizontal="right" vertical="center"/>
      <protection/>
    </xf>
    <xf numFmtId="4" fontId="19" fillId="0" borderId="114" xfId="96" applyNumberFormat="1" applyFont="1" applyFill="1" applyBorder="1" applyAlignment="1">
      <alignment horizontal="right" vertical="center"/>
      <protection/>
    </xf>
    <xf numFmtId="3" fontId="24" fillId="0" borderId="49" xfId="0" applyNumberFormat="1" applyFont="1" applyFill="1" applyBorder="1" applyAlignment="1">
      <alignment horizontal="right" vertical="center"/>
    </xf>
    <xf numFmtId="3" fontId="24" fillId="43" borderId="119" xfId="0" applyNumberFormat="1" applyFont="1" applyFill="1" applyBorder="1" applyAlignment="1">
      <alignment horizontal="right" vertical="center"/>
    </xf>
    <xf numFmtId="3" fontId="25" fillId="0" borderId="84" xfId="0" applyNumberFormat="1" applyFont="1" applyFill="1" applyBorder="1" applyAlignment="1">
      <alignment horizontal="right" vertical="center"/>
    </xf>
    <xf numFmtId="3" fontId="24" fillId="0" borderId="84" xfId="0" applyNumberFormat="1" applyFont="1" applyFill="1" applyBorder="1" applyAlignment="1">
      <alignment horizontal="right" vertical="center"/>
    </xf>
    <xf numFmtId="3" fontId="24" fillId="0" borderId="86" xfId="0" applyNumberFormat="1" applyFont="1" applyFill="1" applyBorder="1" applyAlignment="1">
      <alignment horizontal="right" vertical="center"/>
    </xf>
    <xf numFmtId="3" fontId="36" fillId="0" borderId="22" xfId="0" applyNumberFormat="1" applyFont="1" applyFill="1" applyBorder="1" applyAlignment="1">
      <alignment horizontal="right" vertical="center"/>
    </xf>
    <xf numFmtId="3" fontId="36" fillId="43" borderId="52" xfId="0" applyNumberFormat="1" applyFont="1" applyFill="1" applyBorder="1" applyAlignment="1">
      <alignment horizontal="right" vertical="center"/>
    </xf>
    <xf numFmtId="3" fontId="36" fillId="0" borderId="121" xfId="0" applyNumberFormat="1" applyFont="1" applyFill="1" applyBorder="1" applyAlignment="1">
      <alignment horizontal="right" vertical="center"/>
    </xf>
    <xf numFmtId="3" fontId="24" fillId="0" borderId="57" xfId="0" applyNumberFormat="1" applyFont="1" applyFill="1" applyBorder="1" applyAlignment="1">
      <alignment horizontal="right" vertical="center"/>
    </xf>
    <xf numFmtId="3" fontId="24" fillId="0" borderId="129" xfId="0" applyNumberFormat="1" applyFont="1" applyFill="1" applyBorder="1" applyAlignment="1">
      <alignment horizontal="right" vertical="center"/>
    </xf>
    <xf numFmtId="3" fontId="24" fillId="0" borderId="130" xfId="0" applyNumberFormat="1" applyFont="1" applyFill="1" applyBorder="1" applyAlignment="1">
      <alignment horizontal="right" vertical="center"/>
    </xf>
    <xf numFmtId="3" fontId="36" fillId="0" borderId="44" xfId="0" applyNumberFormat="1" applyFont="1" applyFill="1" applyBorder="1" applyAlignment="1">
      <alignment horizontal="right" vertical="center"/>
    </xf>
    <xf numFmtId="3" fontId="36" fillId="43" borderId="84" xfId="0" applyNumberFormat="1" applyFont="1" applyFill="1" applyBorder="1" applyAlignment="1">
      <alignment horizontal="right" vertical="center"/>
    </xf>
    <xf numFmtId="3" fontId="36" fillId="0" borderId="118" xfId="0" applyNumberFormat="1" applyFont="1" applyFill="1" applyBorder="1" applyAlignment="1">
      <alignment horizontal="right" vertical="center"/>
    </xf>
    <xf numFmtId="3" fontId="24" fillId="43" borderId="52" xfId="0" applyNumberFormat="1" applyFont="1" applyFill="1" applyBorder="1" applyAlignment="1">
      <alignment horizontal="right" vertical="center"/>
    </xf>
    <xf numFmtId="3" fontId="24" fillId="0" borderId="121" xfId="0" applyNumberFormat="1" applyFont="1" applyFill="1" applyBorder="1" applyAlignment="1">
      <alignment horizontal="right" vertical="center"/>
    </xf>
    <xf numFmtId="3" fontId="25" fillId="0" borderId="123" xfId="0" applyNumberFormat="1" applyFont="1" applyFill="1" applyBorder="1" applyAlignment="1">
      <alignment horizontal="right" vertical="center"/>
    </xf>
    <xf numFmtId="3" fontId="36" fillId="0" borderId="84" xfId="0" applyNumberFormat="1" applyFont="1" applyFill="1" applyBorder="1" applyAlignment="1">
      <alignment horizontal="right" vertical="center"/>
    </xf>
    <xf numFmtId="3" fontId="24" fillId="43" borderId="50" xfId="0" applyNumberFormat="1" applyFont="1" applyFill="1" applyBorder="1" applyAlignment="1">
      <alignment horizontal="right" vertical="center"/>
    </xf>
    <xf numFmtId="3" fontId="24" fillId="43" borderId="44" xfId="0" applyNumberFormat="1" applyFont="1" applyFill="1" applyBorder="1" applyAlignment="1">
      <alignment horizontal="right" vertical="center"/>
    </xf>
    <xf numFmtId="3" fontId="25" fillId="0" borderId="49" xfId="0" applyNumberFormat="1" applyFont="1" applyFill="1" applyBorder="1" applyAlignment="1">
      <alignment horizontal="right" vertical="center"/>
    </xf>
    <xf numFmtId="3" fontId="25" fillId="43" borderId="119" xfId="0" applyNumberFormat="1" applyFont="1" applyFill="1" applyBorder="1" applyAlignment="1">
      <alignment horizontal="right" vertical="center"/>
    </xf>
    <xf numFmtId="3" fontId="25" fillId="0" borderId="108" xfId="0" applyNumberFormat="1" applyFont="1" applyFill="1" applyBorder="1" applyAlignment="1">
      <alignment horizontal="right" vertical="center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52" xfId="0" applyNumberFormat="1" applyFont="1" applyFill="1" applyBorder="1" applyAlignment="1">
      <alignment horizontal="right" vertical="center"/>
    </xf>
    <xf numFmtId="3" fontId="25" fillId="0" borderId="121" xfId="0" applyNumberFormat="1" applyFont="1" applyFill="1" applyBorder="1" applyAlignment="1">
      <alignment horizontal="right" vertical="center"/>
    </xf>
    <xf numFmtId="3" fontId="25" fillId="0" borderId="35" xfId="0" applyNumberFormat="1" applyFont="1" applyFill="1" applyBorder="1" applyAlignment="1">
      <alignment horizontal="right" vertical="center"/>
    </xf>
    <xf numFmtId="3" fontId="25" fillId="43" borderId="110" xfId="0" applyNumberFormat="1" applyFont="1" applyFill="1" applyBorder="1" applyAlignment="1">
      <alignment horizontal="right" vertical="center"/>
    </xf>
    <xf numFmtId="3" fontId="25" fillId="0" borderId="114" xfId="0" applyNumberFormat="1" applyFont="1" applyFill="1" applyBorder="1" applyAlignment="1">
      <alignment horizontal="right" vertical="center"/>
    </xf>
    <xf numFmtId="3" fontId="24" fillId="43" borderId="129" xfId="0" applyNumberFormat="1" applyFont="1" applyFill="1" applyBorder="1" applyAlignment="1">
      <alignment horizontal="right" vertical="center"/>
    </xf>
    <xf numFmtId="3" fontId="25" fillId="0" borderId="119" xfId="0" applyNumberFormat="1" applyFont="1" applyFill="1" applyBorder="1" applyAlignment="1">
      <alignment horizontal="right" vertical="center"/>
    </xf>
    <xf numFmtId="3" fontId="24" fillId="43" borderId="57" xfId="0" applyNumberFormat="1" applyFont="1" applyFill="1" applyBorder="1" applyAlignment="1">
      <alignment horizontal="right" vertical="center"/>
    </xf>
    <xf numFmtId="3" fontId="24" fillId="0" borderId="44" xfId="97" applyNumberFormat="1" applyFont="1" applyFill="1" applyBorder="1" applyAlignment="1" quotePrefix="1">
      <alignment horizontal="left" vertical="center" wrapText="1"/>
      <protection/>
    </xf>
    <xf numFmtId="3" fontId="24" fillId="0" borderId="45" xfId="97" applyNumberFormat="1" applyFont="1" applyFill="1" applyBorder="1" applyAlignment="1" quotePrefix="1">
      <alignment horizontal="left" vertical="center" wrapText="1"/>
      <protection/>
    </xf>
    <xf numFmtId="3" fontId="24" fillId="0" borderId="50" xfId="97" applyNumberFormat="1" applyFont="1" applyFill="1" applyBorder="1" applyAlignment="1" quotePrefix="1">
      <alignment horizontal="left" vertical="center" wrapText="1"/>
      <protection/>
    </xf>
    <xf numFmtId="3" fontId="39" fillId="43" borderId="50" xfId="0" applyNumberFormat="1" applyFont="1" applyFill="1" applyBorder="1" applyAlignment="1">
      <alignment horizontal="right" vertical="center"/>
    </xf>
    <xf numFmtId="3" fontId="39" fillId="43" borderId="44" xfId="0" applyNumberFormat="1" applyFont="1" applyFill="1" applyBorder="1" applyAlignment="1">
      <alignment horizontal="right" vertical="center"/>
    </xf>
    <xf numFmtId="3" fontId="39" fillId="43" borderId="22" xfId="0" applyNumberFormat="1" applyFont="1" applyFill="1" applyBorder="1" applyAlignment="1">
      <alignment horizontal="right" vertical="center"/>
    </xf>
    <xf numFmtId="3" fontId="24" fillId="0" borderId="52" xfId="0" applyNumberFormat="1" applyFont="1" applyFill="1" applyBorder="1" applyAlignment="1">
      <alignment horizontal="right" vertical="center"/>
    </xf>
    <xf numFmtId="4" fontId="21" fillId="0" borderId="120" xfId="96" applyNumberFormat="1" applyFont="1" applyFill="1" applyBorder="1" applyAlignment="1">
      <alignment horizontal="right" vertical="center"/>
      <protection/>
    </xf>
    <xf numFmtId="3" fontId="21" fillId="0" borderId="31" xfId="96" applyNumberFormat="1" applyFont="1" applyFill="1" applyBorder="1" applyAlignment="1">
      <alignment horizontal="right" vertical="center"/>
      <protection/>
    </xf>
    <xf numFmtId="4" fontId="21" fillId="0" borderId="122" xfId="96" applyNumberFormat="1" applyFont="1" applyFill="1" applyBorder="1" applyAlignment="1">
      <alignment horizontal="right" vertical="center"/>
      <protection/>
    </xf>
    <xf numFmtId="3" fontId="24" fillId="0" borderId="128" xfId="0" applyNumberFormat="1" applyFont="1" applyFill="1" applyBorder="1" applyAlignment="1">
      <alignment horizontal="right" vertical="center" shrinkToFit="1"/>
    </xf>
    <xf numFmtId="4" fontId="21" fillId="0" borderId="126" xfId="96" applyNumberFormat="1" applyFont="1" applyFill="1" applyBorder="1" applyAlignment="1">
      <alignment horizontal="right" vertical="center"/>
      <protection/>
    </xf>
    <xf numFmtId="0" fontId="24" fillId="0" borderId="51" xfId="0" applyFont="1" applyBorder="1" applyAlignment="1" quotePrefix="1">
      <alignment/>
    </xf>
    <xf numFmtId="49" fontId="24" fillId="0" borderId="44" xfId="0" applyNumberFormat="1" applyFont="1" applyFill="1" applyBorder="1" applyAlignment="1" quotePrefix="1">
      <alignment vertical="center" wrapText="1"/>
    </xf>
    <xf numFmtId="3" fontId="33" fillId="0" borderId="35" xfId="96" applyNumberFormat="1" applyFont="1" applyFill="1" applyBorder="1" applyAlignment="1" quotePrefix="1">
      <alignment horizontal="right" vertical="center"/>
      <protection/>
    </xf>
    <xf numFmtId="3" fontId="33" fillId="0" borderId="35" xfId="96" applyNumberFormat="1" applyFont="1" applyFill="1" applyBorder="1" applyAlignment="1">
      <alignment vertical="center"/>
      <protection/>
    </xf>
    <xf numFmtId="3" fontId="69" fillId="0" borderId="35" xfId="96" applyNumberFormat="1" applyFont="1" applyFill="1" applyBorder="1" applyAlignment="1">
      <alignment horizontal="right" vertical="center"/>
      <protection/>
    </xf>
    <xf numFmtId="3" fontId="19" fillId="0" borderId="31" xfId="96" applyNumberFormat="1" applyFont="1" applyFill="1" applyBorder="1" applyAlignment="1">
      <alignment horizontal="right" vertical="center"/>
      <protection/>
    </xf>
    <xf numFmtId="3" fontId="14" fillId="0" borderId="0" xfId="0" applyNumberFormat="1" applyFont="1" applyFill="1" applyBorder="1" applyAlignment="1">
      <alignment vertical="center" shrinkToFit="1"/>
    </xf>
    <xf numFmtId="3" fontId="24" fillId="0" borderId="43" xfId="97" applyNumberFormat="1" applyFont="1" applyFill="1" applyBorder="1" applyAlignment="1" quotePrefix="1">
      <alignment horizontal="left" vertical="center" wrapText="1"/>
      <protection/>
    </xf>
    <xf numFmtId="3" fontId="24" fillId="0" borderId="112" xfId="0" applyNumberFormat="1" applyFont="1" applyFill="1" applyBorder="1" applyAlignment="1">
      <alignment horizontal="right" vertical="center" shrinkToFit="1"/>
    </xf>
    <xf numFmtId="3" fontId="14" fillId="0" borderId="0" xfId="0" applyNumberFormat="1" applyFont="1" applyFill="1" applyAlignment="1">
      <alignment horizontal="right" vertical="center" shrinkToFit="1"/>
    </xf>
    <xf numFmtId="3" fontId="24" fillId="0" borderId="116" xfId="0" applyNumberFormat="1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vertical="center" shrinkToFit="1"/>
    </xf>
    <xf numFmtId="3" fontId="24" fillId="0" borderId="108" xfId="0" applyNumberFormat="1" applyFont="1" applyFill="1" applyBorder="1" applyAlignment="1">
      <alignment horizontal="right" vertical="center" shrinkToFit="1"/>
    </xf>
    <xf numFmtId="3" fontId="21" fillId="0" borderId="22" xfId="96" applyNumberFormat="1" applyFont="1" applyFill="1" applyBorder="1" applyAlignment="1">
      <alignment horizontal="right" vertical="center"/>
      <protection/>
    </xf>
    <xf numFmtId="3" fontId="19" fillId="0" borderId="31" xfId="96" applyNumberFormat="1" applyFont="1" applyFill="1" applyBorder="1" applyAlignment="1">
      <alignment vertical="center"/>
      <protection/>
    </xf>
    <xf numFmtId="3" fontId="19" fillId="0" borderId="33" xfId="96" applyNumberFormat="1" applyFont="1" applyFill="1" applyBorder="1" applyAlignment="1">
      <alignment vertical="center" wrapText="1"/>
      <protection/>
    </xf>
    <xf numFmtId="3" fontId="19" fillId="0" borderId="23" xfId="96" applyNumberFormat="1" applyFont="1" applyFill="1" applyBorder="1" applyAlignment="1">
      <alignment horizontal="right" vertical="center"/>
      <protection/>
    </xf>
    <xf numFmtId="3" fontId="21" fillId="0" borderId="23" xfId="96" applyNumberFormat="1" applyFont="1" applyFill="1" applyBorder="1" applyAlignment="1">
      <alignment horizontal="right" vertical="center"/>
      <protection/>
    </xf>
    <xf numFmtId="3" fontId="33" fillId="0" borderId="25" xfId="96" applyNumberFormat="1" applyFont="1" applyFill="1" applyBorder="1" applyAlignment="1">
      <alignment horizontal="right" vertical="center"/>
      <protection/>
    </xf>
    <xf numFmtId="3" fontId="69" fillId="0" borderId="25" xfId="96" applyNumberFormat="1" applyFont="1" applyFill="1" applyBorder="1" applyAlignment="1">
      <alignment horizontal="right" vertical="center"/>
      <protection/>
    </xf>
    <xf numFmtId="3" fontId="69" fillId="0" borderId="22" xfId="96" applyNumberFormat="1" applyFont="1" applyFill="1" applyBorder="1" applyAlignment="1">
      <alignment horizontal="right" vertical="center"/>
      <protection/>
    </xf>
    <xf numFmtId="3" fontId="16" fillId="0" borderId="131" xfId="0" applyNumberFormat="1" applyFont="1" applyBorder="1" applyAlignment="1">
      <alignment vertical="center" wrapText="1"/>
    </xf>
    <xf numFmtId="3" fontId="25" fillId="0" borderId="126" xfId="0" applyNumberFormat="1" applyFont="1" applyFill="1" applyBorder="1" applyAlignment="1">
      <alignment horizontal="right" vertical="center" shrinkToFit="1"/>
    </xf>
    <xf numFmtId="3" fontId="19" fillId="0" borderId="22" xfId="96" applyNumberFormat="1" applyFont="1" applyFill="1" applyBorder="1" applyAlignment="1">
      <alignment vertical="center"/>
      <protection/>
    </xf>
    <xf numFmtId="3" fontId="7" fillId="0" borderId="69" xfId="0" applyNumberFormat="1" applyFont="1" applyFill="1" applyBorder="1" applyAlignment="1">
      <alignment horizontal="right" vertical="center" shrinkToFit="1"/>
    </xf>
    <xf numFmtId="3" fontId="7" fillId="0" borderId="132" xfId="0" applyNumberFormat="1" applyFont="1" applyFill="1" applyBorder="1" applyAlignment="1">
      <alignment horizontal="right" vertical="center" shrinkToFit="1"/>
    </xf>
    <xf numFmtId="3" fontId="25" fillId="0" borderId="108" xfId="0" applyNumberFormat="1" applyFont="1" applyFill="1" applyBorder="1" applyAlignment="1">
      <alignment horizontal="right" vertical="center" shrinkToFit="1"/>
    </xf>
    <xf numFmtId="3" fontId="69" fillId="0" borderId="31" xfId="96" applyNumberFormat="1" applyFont="1" applyFill="1" applyBorder="1" applyAlignment="1">
      <alignment horizontal="right" vertical="center"/>
      <protection/>
    </xf>
    <xf numFmtId="3" fontId="33" fillId="0" borderId="25" xfId="96" applyNumberFormat="1" applyFont="1" applyFill="1" applyBorder="1" applyAlignment="1">
      <alignment vertical="center"/>
      <protection/>
    </xf>
    <xf numFmtId="3" fontId="33" fillId="0" borderId="22" xfId="96" applyNumberFormat="1" applyFont="1" applyFill="1" applyBorder="1" applyAlignment="1">
      <alignment vertical="center"/>
      <protection/>
    </xf>
    <xf numFmtId="3" fontId="33" fillId="0" borderId="31" xfId="96" applyNumberFormat="1" applyFont="1" applyFill="1" applyBorder="1" applyAlignment="1">
      <alignment vertical="center"/>
      <protection/>
    </xf>
    <xf numFmtId="3" fontId="25" fillId="0" borderId="68" xfId="0" applyNumberFormat="1" applyFont="1" applyFill="1" applyBorder="1" applyAlignment="1">
      <alignment horizontal="right" vertical="center"/>
    </xf>
    <xf numFmtId="3" fontId="25" fillId="0" borderId="133" xfId="0" applyNumberFormat="1" applyFont="1" applyFill="1" applyBorder="1" applyAlignment="1">
      <alignment horizontal="right" vertical="center"/>
    </xf>
    <xf numFmtId="3" fontId="25" fillId="0" borderId="69" xfId="0" applyNumberFormat="1" applyFont="1" applyFill="1" applyBorder="1" applyAlignment="1">
      <alignment horizontal="right" vertical="center"/>
    </xf>
    <xf numFmtId="3" fontId="36" fillId="0" borderId="49" xfId="0" applyNumberFormat="1" applyFont="1" applyFill="1" applyBorder="1" applyAlignment="1">
      <alignment horizontal="right" vertical="center"/>
    </xf>
    <xf numFmtId="3" fontId="36" fillId="43" borderId="119" xfId="0" applyNumberFormat="1" applyFont="1" applyFill="1" applyBorder="1" applyAlignment="1">
      <alignment horizontal="right" vertical="center"/>
    </xf>
    <xf numFmtId="3" fontId="36" fillId="0" borderId="108" xfId="0" applyNumberFormat="1" applyFont="1" applyFill="1" applyBorder="1" applyAlignment="1">
      <alignment horizontal="right" vertical="center"/>
    </xf>
    <xf numFmtId="3" fontId="25" fillId="0" borderId="128" xfId="0" applyNumberFormat="1" applyFont="1" applyFill="1" applyBorder="1" applyAlignment="1">
      <alignment horizontal="right" vertical="center"/>
    </xf>
    <xf numFmtId="3" fontId="25" fillId="0" borderId="121" xfId="0" applyNumberFormat="1" applyFont="1" applyFill="1" applyBorder="1" applyAlignment="1">
      <alignment horizontal="right" vertical="center" shrinkToFit="1"/>
    </xf>
    <xf numFmtId="3" fontId="69" fillId="0" borderId="35" xfId="96" applyNumberFormat="1" applyFont="1" applyFill="1" applyBorder="1" applyAlignment="1">
      <alignment vertical="center"/>
      <protection/>
    </xf>
    <xf numFmtId="4" fontId="69" fillId="0" borderId="115" xfId="96" applyNumberFormat="1" applyFont="1" applyFill="1" applyBorder="1" applyAlignment="1">
      <alignment horizontal="right" vertical="center"/>
      <protection/>
    </xf>
    <xf numFmtId="3" fontId="69" fillId="0" borderId="33" xfId="96" applyNumberFormat="1" applyFont="1" applyFill="1" applyBorder="1" applyAlignment="1">
      <alignment vertical="center"/>
      <protection/>
    </xf>
    <xf numFmtId="3" fontId="69" fillId="0" borderId="22" xfId="96" applyNumberFormat="1" applyFont="1" applyFill="1" applyBorder="1" applyAlignment="1">
      <alignment vertical="center"/>
      <protection/>
    </xf>
    <xf numFmtId="4" fontId="33" fillId="0" borderId="127" xfId="96" applyNumberFormat="1" applyFont="1" applyFill="1" applyBorder="1" applyAlignment="1">
      <alignment horizontal="right" vertical="center"/>
      <protection/>
    </xf>
    <xf numFmtId="3" fontId="39" fillId="0" borderId="22" xfId="0" applyNumberFormat="1" applyFont="1" applyFill="1" applyBorder="1" applyAlignment="1">
      <alignment horizontal="right" vertical="center"/>
    </xf>
    <xf numFmtId="3" fontId="39" fillId="0" borderId="52" xfId="0" applyNumberFormat="1" applyFont="1" applyFill="1" applyBorder="1" applyAlignment="1">
      <alignment horizontal="right" vertical="center"/>
    </xf>
    <xf numFmtId="3" fontId="39" fillId="0" borderId="121" xfId="0" applyNumberFormat="1" applyFont="1" applyFill="1" applyBorder="1" applyAlignment="1">
      <alignment horizontal="right" vertical="center"/>
    </xf>
    <xf numFmtId="3" fontId="39" fillId="0" borderId="44" xfId="0" applyNumberFormat="1" applyFont="1" applyFill="1" applyBorder="1" applyAlignment="1">
      <alignment horizontal="right" vertical="center"/>
    </xf>
    <xf numFmtId="3" fontId="39" fillId="0" borderId="84" xfId="0" applyNumberFormat="1" applyFont="1" applyFill="1" applyBorder="1" applyAlignment="1">
      <alignment horizontal="right" vertical="center"/>
    </xf>
    <xf numFmtId="3" fontId="39" fillId="0" borderId="118" xfId="0" applyNumberFormat="1" applyFont="1" applyFill="1" applyBorder="1" applyAlignment="1">
      <alignment horizontal="right" vertical="center"/>
    </xf>
    <xf numFmtId="3" fontId="39" fillId="0" borderId="27" xfId="0" applyNumberFormat="1" applyFont="1" applyFill="1" applyBorder="1" applyAlignment="1">
      <alignment horizontal="right" vertical="center"/>
    </xf>
    <xf numFmtId="3" fontId="39" fillId="0" borderId="106" xfId="0" applyNumberFormat="1" applyFont="1" applyFill="1" applyBorder="1" applyAlignment="1">
      <alignment horizontal="right" vertical="center"/>
    </xf>
    <xf numFmtId="3" fontId="39" fillId="0" borderId="107" xfId="0" applyNumberFormat="1" applyFont="1" applyFill="1" applyBorder="1" applyAlignment="1">
      <alignment horizontal="right" vertical="center"/>
    </xf>
    <xf numFmtId="3" fontId="36" fillId="0" borderId="52" xfId="0" applyNumberFormat="1" applyFont="1" applyFill="1" applyBorder="1" applyAlignment="1">
      <alignment horizontal="right" vertical="center"/>
    </xf>
    <xf numFmtId="3" fontId="36" fillId="0" borderId="127" xfId="0" applyNumberFormat="1" applyFont="1" applyFill="1" applyBorder="1" applyAlignment="1">
      <alignment horizontal="right" vertical="center"/>
    </xf>
    <xf numFmtId="3" fontId="25" fillId="0" borderId="29" xfId="0" applyNumberFormat="1" applyFont="1" applyFill="1" applyBorder="1" applyAlignment="1">
      <alignment horizontal="right" vertical="center"/>
    </xf>
    <xf numFmtId="3" fontId="25" fillId="0" borderId="116" xfId="0" applyNumberFormat="1" applyFont="1" applyFill="1" applyBorder="1" applyAlignment="1">
      <alignment horizontal="right" vertical="center"/>
    </xf>
    <xf numFmtId="3" fontId="25" fillId="0" borderId="21" xfId="0" applyNumberFormat="1" applyFont="1" applyFill="1" applyBorder="1" applyAlignment="1">
      <alignment horizontal="right" vertical="center"/>
    </xf>
    <xf numFmtId="3" fontId="25" fillId="0" borderId="126" xfId="0" applyNumberFormat="1" applyFont="1" applyFill="1" applyBorder="1" applyAlignment="1">
      <alignment horizontal="right" vertical="center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127" xfId="0" applyNumberFormat="1" applyFont="1" applyFill="1" applyBorder="1" applyAlignment="1">
      <alignment horizontal="right" vertical="center"/>
    </xf>
    <xf numFmtId="3" fontId="25" fillId="0" borderId="22" xfId="0" applyNumberFormat="1" applyFont="1" applyFill="1" applyBorder="1" applyAlignment="1">
      <alignment horizontal="left" vertical="center"/>
    </xf>
    <xf numFmtId="3" fontId="25" fillId="0" borderId="52" xfId="0" applyNumberFormat="1" applyFont="1" applyFill="1" applyBorder="1" applyAlignment="1">
      <alignment horizontal="left" vertical="center"/>
    </xf>
    <xf numFmtId="3" fontId="25" fillId="0" borderId="121" xfId="0" applyNumberFormat="1" applyFont="1" applyFill="1" applyBorder="1" applyAlignment="1">
      <alignment horizontal="left" vertical="center"/>
    </xf>
    <xf numFmtId="3" fontId="25" fillId="0" borderId="134" xfId="0" applyNumberFormat="1" applyFont="1" applyFill="1" applyBorder="1" applyAlignment="1">
      <alignment horizontal="right" vertical="center"/>
    </xf>
    <xf numFmtId="3" fontId="25" fillId="43" borderId="135" xfId="0" applyNumberFormat="1" applyFont="1" applyFill="1" applyBorder="1" applyAlignment="1">
      <alignment horizontal="right" vertical="center"/>
    </xf>
    <xf numFmtId="3" fontId="25" fillId="0" borderId="136" xfId="0" applyNumberFormat="1" applyFont="1" applyFill="1" applyBorder="1" applyAlignment="1">
      <alignment horizontal="right" vertical="center"/>
    </xf>
    <xf numFmtId="3" fontId="24" fillId="43" borderId="22" xfId="0" applyNumberFormat="1" applyFont="1" applyFill="1" applyBorder="1" applyAlignment="1">
      <alignment horizontal="right" vertical="center"/>
    </xf>
    <xf numFmtId="3" fontId="25" fillId="43" borderId="134" xfId="0" applyNumberFormat="1" applyFont="1" applyFill="1" applyBorder="1" applyAlignment="1">
      <alignment horizontal="right" vertical="center"/>
    </xf>
    <xf numFmtId="3" fontId="25" fillId="0" borderId="135" xfId="0" applyNumberFormat="1" applyFont="1" applyFill="1" applyBorder="1" applyAlignment="1">
      <alignment horizontal="right" vertical="center"/>
    </xf>
    <xf numFmtId="3" fontId="36" fillId="0" borderId="137" xfId="0" applyNumberFormat="1" applyFont="1" applyFill="1" applyBorder="1" applyAlignment="1">
      <alignment horizontal="right" vertical="center"/>
    </xf>
    <xf numFmtId="3" fontId="36" fillId="0" borderId="138" xfId="0" applyNumberFormat="1" applyFont="1" applyFill="1" applyBorder="1" applyAlignment="1">
      <alignment horizontal="right" vertical="center"/>
    </xf>
    <xf numFmtId="3" fontId="36" fillId="0" borderId="139" xfId="0" applyNumberFormat="1" applyFont="1" applyFill="1" applyBorder="1" applyAlignment="1">
      <alignment horizontal="right" vertical="center"/>
    </xf>
    <xf numFmtId="3" fontId="36" fillId="0" borderId="80" xfId="0" applyNumberFormat="1" applyFont="1" applyFill="1" applyBorder="1" applyAlignment="1">
      <alignment horizontal="right" vertical="center"/>
    </xf>
    <xf numFmtId="3" fontId="36" fillId="0" borderId="140" xfId="0" applyNumberFormat="1" applyFont="1" applyFill="1" applyBorder="1" applyAlignment="1">
      <alignment horizontal="right" vertical="center"/>
    </xf>
    <xf numFmtId="3" fontId="36" fillId="0" borderId="141" xfId="0" applyNumberFormat="1" applyFont="1" applyFill="1" applyBorder="1" applyAlignment="1">
      <alignment horizontal="right" vertical="center"/>
    </xf>
    <xf numFmtId="3" fontId="36" fillId="0" borderId="131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3" fontId="13" fillId="0" borderId="27" xfId="96" applyNumberFormat="1" applyFont="1" applyFill="1" applyBorder="1" applyAlignment="1">
      <alignment horizontal="left" vertical="center" indent="1"/>
      <protection/>
    </xf>
    <xf numFmtId="49" fontId="14" fillId="0" borderId="0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vertical="center"/>
    </xf>
    <xf numFmtId="49" fontId="14" fillId="0" borderId="49" xfId="0" applyNumberFormat="1" applyFont="1" applyFill="1" applyBorder="1" applyAlignment="1">
      <alignment horizontal="center" vertical="center"/>
    </xf>
    <xf numFmtId="2" fontId="21" fillId="0" borderId="116" xfId="96" applyNumberFormat="1" applyFont="1" applyFill="1" applyBorder="1" applyAlignment="1">
      <alignment horizontal="right" vertical="center"/>
      <protection/>
    </xf>
    <xf numFmtId="2" fontId="69" fillId="0" borderId="121" xfId="96" applyNumberFormat="1" applyFont="1" applyFill="1" applyBorder="1" applyAlignment="1">
      <alignment horizontal="right" vertical="center"/>
      <protection/>
    </xf>
    <xf numFmtId="2" fontId="69" fillId="0" borderId="122" xfId="96" applyNumberFormat="1" applyFont="1" applyFill="1" applyBorder="1" applyAlignment="1">
      <alignment horizontal="right" vertical="center"/>
      <protection/>
    </xf>
    <xf numFmtId="3" fontId="69" fillId="0" borderId="25" xfId="96" applyNumberFormat="1" applyFont="1" applyFill="1" applyBorder="1" applyAlignment="1">
      <alignment vertical="center"/>
      <protection/>
    </xf>
    <xf numFmtId="2" fontId="33" fillId="0" borderId="121" xfId="96" applyNumberFormat="1" applyFont="1" applyFill="1" applyBorder="1" applyAlignment="1">
      <alignment vertical="center"/>
      <protection/>
    </xf>
    <xf numFmtId="3" fontId="69" fillId="0" borderId="31" xfId="96" applyNumberFormat="1" applyFont="1" applyFill="1" applyBorder="1" applyAlignment="1">
      <alignment vertical="center"/>
      <protection/>
    </xf>
    <xf numFmtId="2" fontId="33" fillId="0" borderId="122" xfId="96" applyNumberFormat="1" applyFont="1" applyFill="1" applyBorder="1" applyAlignment="1">
      <alignment vertical="center"/>
      <protection/>
    </xf>
    <xf numFmtId="1" fontId="13" fillId="0" borderId="23" xfId="96" applyNumberFormat="1" applyFont="1" applyFill="1" applyBorder="1" applyAlignment="1">
      <alignment horizontal="right" vertical="center"/>
      <protection/>
    </xf>
    <xf numFmtId="3" fontId="25" fillId="47" borderId="124" xfId="0" applyNumberFormat="1" applyFont="1" applyFill="1" applyBorder="1" applyAlignment="1">
      <alignment horizontal="right" vertical="center"/>
    </xf>
    <xf numFmtId="3" fontId="24" fillId="47" borderId="84" xfId="0" applyNumberFormat="1" applyFont="1" applyFill="1" applyBorder="1" applyAlignment="1">
      <alignment horizontal="right" vertical="center"/>
    </xf>
    <xf numFmtId="3" fontId="25" fillId="47" borderId="84" xfId="0" applyNumberFormat="1" applyFont="1" applyFill="1" applyBorder="1" applyAlignment="1">
      <alignment horizontal="right" vertical="center"/>
    </xf>
    <xf numFmtId="3" fontId="25" fillId="47" borderId="52" xfId="0" applyNumberFormat="1" applyFont="1" applyFill="1" applyBorder="1" applyAlignment="1">
      <alignment horizontal="right" vertical="center"/>
    </xf>
    <xf numFmtId="3" fontId="24" fillId="47" borderId="84" xfId="0" applyNumberFormat="1" applyFont="1" applyFill="1" applyBorder="1" applyAlignment="1">
      <alignment vertical="center"/>
    </xf>
    <xf numFmtId="3" fontId="24" fillId="47" borderId="86" xfId="0" applyNumberFormat="1" applyFont="1" applyFill="1" applyBorder="1" applyAlignment="1">
      <alignment horizontal="right" vertical="center"/>
    </xf>
    <xf numFmtId="3" fontId="36" fillId="47" borderId="84" xfId="0" applyNumberFormat="1" applyFont="1" applyFill="1" applyBorder="1" applyAlignment="1">
      <alignment horizontal="right" vertical="center"/>
    </xf>
    <xf numFmtId="3" fontId="36" fillId="47" borderId="86" xfId="0" applyNumberFormat="1" applyFont="1" applyFill="1" applyBorder="1" applyAlignment="1">
      <alignment horizontal="right" vertical="center"/>
    </xf>
    <xf numFmtId="3" fontId="24" fillId="47" borderId="129" xfId="0" applyNumberFormat="1" applyFont="1" applyFill="1" applyBorder="1" applyAlignment="1">
      <alignment horizontal="right" vertical="center"/>
    </xf>
    <xf numFmtId="3" fontId="24" fillId="47" borderId="49" xfId="0" applyNumberFormat="1" applyFont="1" applyFill="1" applyBorder="1" applyAlignment="1">
      <alignment horizontal="right" shrinkToFit="1"/>
    </xf>
    <xf numFmtId="4" fontId="69" fillId="0" borderId="114" xfId="96" applyNumberFormat="1" applyFont="1" applyFill="1" applyBorder="1" applyAlignment="1">
      <alignment horizontal="right" vertical="center"/>
      <protection/>
    </xf>
    <xf numFmtId="4" fontId="19" fillId="0" borderId="122" xfId="96" applyNumberFormat="1" applyFont="1" applyFill="1" applyBorder="1" applyAlignment="1">
      <alignment horizontal="right" vertical="center"/>
      <protection/>
    </xf>
    <xf numFmtId="4" fontId="19" fillId="0" borderId="115" xfId="96" applyNumberFormat="1" applyFont="1" applyFill="1" applyBorder="1" applyAlignment="1">
      <alignment horizontal="right" vertical="center"/>
      <protection/>
    </xf>
    <xf numFmtId="2" fontId="69" fillId="0" borderId="120" xfId="96" applyNumberFormat="1" applyFont="1" applyFill="1" applyBorder="1" applyAlignment="1">
      <alignment horizontal="right" vertical="center"/>
      <protection/>
    </xf>
    <xf numFmtId="2" fontId="33" fillId="0" borderId="120" xfId="96" applyNumberFormat="1" applyFont="1" applyFill="1" applyBorder="1" applyAlignment="1">
      <alignment vertical="center"/>
      <protection/>
    </xf>
    <xf numFmtId="3" fontId="13" fillId="0" borderId="23" xfId="96" applyNumberFormat="1" applyFont="1" applyFill="1" applyBorder="1" applyAlignment="1">
      <alignment horizontal="center" vertical="center"/>
      <protection/>
    </xf>
    <xf numFmtId="164" fontId="13" fillId="0" borderId="33" xfId="96" applyNumberFormat="1" applyFont="1" applyFill="1" applyBorder="1" applyAlignment="1" quotePrefix="1">
      <alignment horizontal="center" vertical="center"/>
      <protection/>
    </xf>
    <xf numFmtId="3" fontId="31" fillId="0" borderId="32" xfId="96" applyNumberFormat="1" applyFont="1" applyFill="1" applyBorder="1" applyAlignment="1">
      <alignment horizontal="center" vertical="center"/>
      <protection/>
    </xf>
    <xf numFmtId="1" fontId="32" fillId="0" borderId="33" xfId="96" applyNumberFormat="1" applyFont="1" applyFill="1" applyBorder="1" applyAlignment="1">
      <alignment horizontal="right" vertical="center"/>
      <protection/>
    </xf>
    <xf numFmtId="3" fontId="33" fillId="0" borderId="33" xfId="96" applyNumberFormat="1" applyFont="1" applyFill="1" applyBorder="1" applyAlignment="1">
      <alignment vertical="center"/>
      <protection/>
    </xf>
    <xf numFmtId="3" fontId="19" fillId="48" borderId="35" xfId="96" applyNumberFormat="1" applyFont="1" applyFill="1" applyBorder="1" applyAlignment="1">
      <alignment horizontal="left" vertical="center" wrapText="1" indent="1"/>
      <protection/>
    </xf>
    <xf numFmtId="3" fontId="15" fillId="0" borderId="142" xfId="96" applyNumberFormat="1" applyFont="1" applyFill="1" applyBorder="1" applyAlignment="1">
      <alignment horizontal="center" vertical="center"/>
      <protection/>
    </xf>
    <xf numFmtId="3" fontId="15" fillId="0" borderId="143" xfId="96" applyNumberFormat="1" applyFont="1" applyFill="1" applyBorder="1" applyAlignment="1">
      <alignment horizontal="center" vertical="center"/>
      <protection/>
    </xf>
    <xf numFmtId="3" fontId="15" fillId="0" borderId="38" xfId="96" applyNumberFormat="1" applyFont="1" applyFill="1" applyBorder="1" applyAlignment="1">
      <alignment vertical="center"/>
      <protection/>
    </xf>
    <xf numFmtId="49" fontId="24" fillId="0" borderId="50" xfId="0" applyNumberFormat="1" applyFont="1" applyFill="1" applyBorder="1" applyAlignment="1">
      <alignment horizontal="justify" vertical="center" shrinkToFit="1"/>
    </xf>
    <xf numFmtId="0" fontId="70" fillId="0" borderId="0" xfId="93" applyFont="1">
      <alignment/>
      <protection/>
    </xf>
    <xf numFmtId="0" fontId="70" fillId="0" borderId="0" xfId="93" applyFont="1" applyAlignment="1">
      <alignment vertical="center"/>
      <protection/>
    </xf>
    <xf numFmtId="0" fontId="71" fillId="0" borderId="0" xfId="93" applyFont="1">
      <alignment/>
      <protection/>
    </xf>
    <xf numFmtId="0" fontId="24" fillId="0" borderId="0" xfId="93" applyFont="1">
      <alignment/>
      <protection/>
    </xf>
    <xf numFmtId="0" fontId="0" fillId="0" borderId="0" xfId="93">
      <alignment/>
      <protection/>
    </xf>
    <xf numFmtId="0" fontId="23" fillId="0" borderId="0" xfId="0" applyFont="1" applyBorder="1" applyAlignment="1">
      <alignment vertical="center"/>
    </xf>
    <xf numFmtId="0" fontId="24" fillId="0" borderId="0" xfId="93" applyFont="1" applyAlignment="1">
      <alignment horizontal="right"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49" borderId="33" xfId="95" applyFont="1" applyFill="1" applyBorder="1" applyAlignment="1">
      <alignment horizontal="right" wrapText="1" shrinkToFit="1"/>
      <protection/>
    </xf>
    <xf numFmtId="3" fontId="106" fillId="0" borderId="33" xfId="0" applyNumberFormat="1" applyFont="1" applyBorder="1" applyAlignment="1">
      <alignment/>
    </xf>
    <xf numFmtId="3" fontId="106" fillId="0" borderId="33" xfId="0" applyNumberFormat="1" applyFont="1" applyBorder="1" applyAlignment="1">
      <alignment horizontal="right"/>
    </xf>
    <xf numFmtId="3" fontId="24" fillId="0" borderId="33" xfId="93" applyNumberFormat="1" applyFont="1" applyBorder="1">
      <alignment/>
      <protection/>
    </xf>
    <xf numFmtId="0" fontId="0" fillId="0" borderId="0" xfId="93" applyFont="1">
      <alignment/>
      <protection/>
    </xf>
    <xf numFmtId="3" fontId="102" fillId="0" borderId="33" xfId="0" applyNumberFormat="1" applyFont="1" applyBorder="1" applyAlignment="1">
      <alignment/>
    </xf>
    <xf numFmtId="0" fontId="24" fillId="0" borderId="33" xfId="0" applyFont="1" applyBorder="1" applyAlignment="1">
      <alignment horizontal="right" wrapText="1"/>
    </xf>
    <xf numFmtId="0" fontId="46" fillId="0" borderId="0" xfId="93" applyFont="1">
      <alignment/>
      <protection/>
    </xf>
    <xf numFmtId="0" fontId="24" fillId="0" borderId="33" xfId="93" applyFont="1" applyBorder="1" applyAlignment="1">
      <alignment horizontal="right"/>
      <protection/>
    </xf>
    <xf numFmtId="3" fontId="24" fillId="0" borderId="33" xfId="0" applyNumberFormat="1" applyFont="1" applyBorder="1" applyAlignment="1">
      <alignment horizontal="right"/>
    </xf>
    <xf numFmtId="0" fontId="24" fillId="0" borderId="33" xfId="95" applyFont="1" applyBorder="1" applyAlignment="1">
      <alignment horizontal="right" wrapText="1" shrinkToFit="1"/>
      <protection/>
    </xf>
    <xf numFmtId="3" fontId="106" fillId="0" borderId="33" xfId="93" applyNumberFormat="1" applyFont="1" applyBorder="1">
      <alignment/>
      <protection/>
    </xf>
    <xf numFmtId="3" fontId="24" fillId="0" borderId="109" xfId="93" applyNumberFormat="1" applyFont="1" applyBorder="1">
      <alignment/>
      <protection/>
    </xf>
    <xf numFmtId="3" fontId="72" fillId="0" borderId="33" xfId="93" applyNumberFormat="1" applyFont="1" applyBorder="1">
      <alignment/>
      <protection/>
    </xf>
    <xf numFmtId="3" fontId="72" fillId="0" borderId="109" xfId="93" applyNumberFormat="1" applyFont="1" applyBorder="1">
      <alignment/>
      <protection/>
    </xf>
    <xf numFmtId="0" fontId="72" fillId="0" borderId="0" xfId="0" applyFont="1" applyBorder="1" applyAlignment="1">
      <alignment horizontal="center" vertical="center"/>
    </xf>
    <xf numFmtId="0" fontId="72" fillId="0" borderId="144" xfId="0" applyFont="1" applyBorder="1" applyAlignment="1">
      <alignment horizontal="center" vertical="center"/>
    </xf>
    <xf numFmtId="3" fontId="72" fillId="0" borderId="0" xfId="93" applyNumberFormat="1" applyFont="1" applyBorder="1">
      <alignment/>
      <protection/>
    </xf>
    <xf numFmtId="3" fontId="72" fillId="0" borderId="145" xfId="93" applyNumberFormat="1" applyFont="1" applyBorder="1">
      <alignment/>
      <protection/>
    </xf>
    <xf numFmtId="3" fontId="24" fillId="0" borderId="145" xfId="93" applyNumberFormat="1" applyFont="1" applyBorder="1" applyAlignment="1">
      <alignment horizontal="right"/>
      <protection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93" applyFont="1" applyBorder="1">
      <alignment/>
      <protection/>
    </xf>
    <xf numFmtId="3" fontId="24" fillId="0" borderId="0" xfId="93" applyNumberFormat="1" applyFont="1" applyBorder="1">
      <alignment/>
      <protection/>
    </xf>
    <xf numFmtId="3" fontId="24" fillId="0" borderId="33" xfId="0" applyNumberFormat="1" applyFont="1" applyBorder="1" applyAlignment="1">
      <alignment horizontal="right" vertical="center" wrapText="1"/>
    </xf>
    <xf numFmtId="3" fontId="24" fillId="0" borderId="33" xfId="93" applyNumberFormat="1" applyFont="1" applyBorder="1" applyAlignment="1">
      <alignment horizontal="right"/>
      <protection/>
    </xf>
    <xf numFmtId="0" fontId="24" fillId="0" borderId="50" xfId="0" applyFont="1" applyBorder="1" applyAlignment="1" quotePrefix="1">
      <alignment/>
    </xf>
    <xf numFmtId="0" fontId="24" fillId="0" borderId="27" xfId="0" applyFont="1" applyBorder="1" applyAlignment="1">
      <alignment horizontal="center" vertical="center"/>
    </xf>
    <xf numFmtId="0" fontId="24" fillId="0" borderId="27" xfId="95" applyFont="1" applyBorder="1" applyAlignment="1">
      <alignment horizontal="center" vertical="center" wrapText="1" shrinkToFit="1"/>
      <protection/>
    </xf>
    <xf numFmtId="0" fontId="24" fillId="0" borderId="33" xfId="0" applyFont="1" applyBorder="1" applyAlignment="1">
      <alignment horizontal="right" vertical="center"/>
    </xf>
    <xf numFmtId="0" fontId="106" fillId="0" borderId="33" xfId="0" applyFont="1" applyBorder="1" applyAlignment="1">
      <alignment horizontal="right" wrapText="1"/>
    </xf>
    <xf numFmtId="3" fontId="14" fillId="0" borderId="57" xfId="0" applyNumberFormat="1" applyFont="1" applyFill="1" applyBorder="1" applyAlignment="1" quotePrefix="1">
      <alignment horizontal="left" vertical="center"/>
    </xf>
    <xf numFmtId="3" fontId="24" fillId="0" borderId="47" xfId="0" applyNumberFormat="1" applyFont="1" applyFill="1" applyBorder="1" applyAlignment="1">
      <alignment horizontal="left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04" fillId="43" borderId="22" xfId="0" applyNumberFormat="1" applyFont="1" applyFill="1" applyBorder="1" applyAlignment="1">
      <alignment horizontal="right" vertical="center"/>
    </xf>
    <xf numFmtId="3" fontId="104" fillId="43" borderId="44" xfId="0" applyNumberFormat="1" applyFont="1" applyFill="1" applyBorder="1" applyAlignment="1">
      <alignment horizontal="right" vertical="center"/>
    </xf>
    <xf numFmtId="3" fontId="104" fillId="43" borderId="57" xfId="0" applyNumberFormat="1" applyFont="1" applyFill="1" applyBorder="1" applyAlignment="1">
      <alignment horizontal="right" vertical="center"/>
    </xf>
    <xf numFmtId="0" fontId="26" fillId="0" borderId="146" xfId="0" applyFont="1" applyFill="1" applyBorder="1" applyAlignment="1">
      <alignment horizontal="left" vertical="center" shrinkToFit="1"/>
    </xf>
    <xf numFmtId="0" fontId="26" fillId="0" borderId="8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right" vertical="center" shrinkToFit="1"/>
    </xf>
    <xf numFmtId="0" fontId="26" fillId="0" borderId="147" xfId="0" applyFont="1" applyFill="1" applyBorder="1" applyAlignment="1">
      <alignment horizontal="center" shrinkToFit="1"/>
    </xf>
    <xf numFmtId="0" fontId="26" fillId="0" borderId="148" xfId="0" applyFont="1" applyFill="1" applyBorder="1" applyAlignment="1">
      <alignment horizontal="center" shrinkToFit="1"/>
    </xf>
    <xf numFmtId="0" fontId="26" fillId="0" borderId="149" xfId="0" applyFont="1" applyFill="1" applyBorder="1" applyAlignment="1">
      <alignment horizontal="center" shrinkToFit="1"/>
    </xf>
    <xf numFmtId="0" fontId="26" fillId="0" borderId="150" xfId="0" applyFont="1" applyFill="1" applyBorder="1" applyAlignment="1">
      <alignment horizontal="left" vertical="center"/>
    </xf>
    <xf numFmtId="0" fontId="26" fillId="0" borderId="151" xfId="0" applyFont="1" applyFill="1" applyBorder="1" applyAlignment="1">
      <alignment horizontal="left" vertical="center"/>
    </xf>
    <xf numFmtId="2" fontId="25" fillId="0" borderId="146" xfId="0" applyNumberFormat="1" applyFont="1" applyFill="1" applyBorder="1" applyAlignment="1">
      <alignment horizontal="center" vertical="center" shrinkToFit="1"/>
    </xf>
    <xf numFmtId="2" fontId="25" fillId="0" borderId="152" xfId="0" applyNumberFormat="1" applyFont="1" applyFill="1" applyBorder="1" applyAlignment="1">
      <alignment horizontal="center" vertical="center" shrinkToFit="1"/>
    </xf>
    <xf numFmtId="2" fontId="25" fillId="0" borderId="150" xfId="0" applyNumberFormat="1" applyFont="1" applyFill="1" applyBorder="1" applyAlignment="1">
      <alignment horizontal="center" shrinkToFit="1"/>
    </xf>
    <xf numFmtId="2" fontId="25" fillId="0" borderId="153" xfId="0" applyNumberFormat="1" applyFont="1" applyFill="1" applyBorder="1" applyAlignment="1">
      <alignment horizontal="center" shrinkToFit="1"/>
    </xf>
    <xf numFmtId="0" fontId="25" fillId="0" borderId="150" xfId="0" applyFont="1" applyFill="1" applyBorder="1" applyAlignment="1">
      <alignment horizontal="center" vertical="center" shrinkToFit="1"/>
    </xf>
    <xf numFmtId="0" fontId="25" fillId="0" borderId="153" xfId="0" applyFont="1" applyFill="1" applyBorder="1" applyAlignment="1">
      <alignment horizontal="center" vertical="center" shrinkToFit="1"/>
    </xf>
    <xf numFmtId="0" fontId="25" fillId="43" borderId="147" xfId="0" applyFont="1" applyFill="1" applyBorder="1" applyAlignment="1">
      <alignment horizontal="center" vertical="center" shrinkToFit="1"/>
    </xf>
    <xf numFmtId="0" fontId="25" fillId="43" borderId="148" xfId="0" applyFont="1" applyFill="1" applyBorder="1" applyAlignment="1">
      <alignment horizontal="center" vertical="center" shrinkToFit="1"/>
    </xf>
    <xf numFmtId="0" fontId="25" fillId="43" borderId="149" xfId="0" applyFont="1" applyFill="1" applyBorder="1" applyAlignment="1">
      <alignment horizontal="center" vertical="center" shrinkToFit="1"/>
    </xf>
    <xf numFmtId="2" fontId="25" fillId="0" borderId="150" xfId="0" applyNumberFormat="1" applyFont="1" applyFill="1" applyBorder="1" applyAlignment="1">
      <alignment horizontal="center" vertical="center" shrinkToFit="1"/>
    </xf>
    <xf numFmtId="2" fontId="25" fillId="0" borderId="15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74" xfId="0" applyFont="1" applyFill="1" applyBorder="1" applyAlignment="1">
      <alignment horizontal="center" vertical="center" shrinkToFit="1"/>
    </xf>
    <xf numFmtId="2" fontId="25" fillId="0" borderId="150" xfId="0" applyNumberFormat="1" applyFont="1" applyFill="1" applyBorder="1" applyAlignment="1">
      <alignment horizontal="left" vertical="center" wrapText="1" shrinkToFit="1"/>
    </xf>
    <xf numFmtId="2" fontId="25" fillId="0" borderId="153" xfId="0" applyNumberFormat="1" applyFont="1" applyFill="1" applyBorder="1" applyAlignment="1">
      <alignment horizontal="left" vertical="center" wrapText="1" shrinkToFit="1"/>
    </xf>
    <xf numFmtId="3" fontId="24" fillId="0" borderId="22" xfId="0" applyNumberFormat="1" applyFont="1" applyFill="1" applyBorder="1" applyAlignment="1">
      <alignment horizontal="left" vertical="center"/>
    </xf>
    <xf numFmtId="3" fontId="24" fillId="0" borderId="49" xfId="0" applyNumberFormat="1" applyFont="1" applyFill="1" applyBorder="1" applyAlignment="1">
      <alignment horizontal="left" vertical="center"/>
    </xf>
    <xf numFmtId="3" fontId="14" fillId="0" borderId="52" xfId="0" applyNumberFormat="1" applyFont="1" applyFill="1" applyBorder="1" applyAlignment="1">
      <alignment horizontal="center" vertical="center"/>
    </xf>
    <xf numFmtId="3" fontId="14" fillId="0" borderId="119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left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25" fillId="0" borderId="154" xfId="0" applyNumberFormat="1" applyFont="1" applyFill="1" applyBorder="1" applyAlignment="1">
      <alignment horizontal="center" vertical="center"/>
    </xf>
    <xf numFmtId="3" fontId="25" fillId="0" borderId="155" xfId="0" applyNumberFormat="1" applyFont="1" applyFill="1" applyBorder="1" applyAlignment="1">
      <alignment horizontal="center" vertical="center"/>
    </xf>
    <xf numFmtId="3" fontId="25" fillId="0" borderId="156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center" vertical="center"/>
    </xf>
    <xf numFmtId="3" fontId="109" fillId="0" borderId="126" xfId="0" applyNumberFormat="1" applyFont="1" applyFill="1" applyBorder="1" applyAlignment="1">
      <alignment horizontal="center" vertical="center" wrapText="1"/>
    </xf>
    <xf numFmtId="3" fontId="109" fillId="0" borderId="127" xfId="0" applyNumberFormat="1" applyFont="1" applyFill="1" applyBorder="1" applyAlignment="1">
      <alignment horizontal="center" vertical="center" wrapText="1"/>
    </xf>
    <xf numFmtId="3" fontId="105" fillId="0" borderId="21" xfId="0" applyNumberFormat="1" applyFont="1" applyFill="1" applyBorder="1" applyAlignment="1">
      <alignment horizontal="center" vertical="center" textRotation="1"/>
    </xf>
    <xf numFmtId="0" fontId="112" fillId="0" borderId="23" xfId="0" applyFont="1" applyBorder="1" applyAlignment="1">
      <alignment horizontal="center" vertical="center" textRotation="1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left" vertical="center"/>
    </xf>
    <xf numFmtId="3" fontId="16" fillId="0" borderId="85" xfId="0" applyNumberFormat="1" applyFont="1" applyFill="1" applyBorder="1" applyAlignment="1">
      <alignment horizontal="left" vertical="center"/>
    </xf>
    <xf numFmtId="3" fontId="16" fillId="0" borderId="53" xfId="0" applyNumberFormat="1" applyFont="1" applyFill="1" applyBorder="1" applyAlignment="1">
      <alignment horizontal="left" vertical="center"/>
    </xf>
    <xf numFmtId="3" fontId="14" fillId="0" borderId="50" xfId="0" applyNumberFormat="1" applyFont="1" applyFill="1" applyBorder="1" applyAlignment="1">
      <alignment horizontal="left" vertical="center"/>
    </xf>
    <xf numFmtId="3" fontId="14" fillId="0" borderId="49" xfId="0" applyNumberFormat="1" applyFont="1" applyFill="1" applyBorder="1" applyAlignment="1">
      <alignment horizontal="left" vertical="center"/>
    </xf>
    <xf numFmtId="3" fontId="36" fillId="0" borderId="86" xfId="0" applyNumberFormat="1" applyFont="1" applyFill="1" applyBorder="1" applyAlignment="1">
      <alignment horizontal="left" vertical="center"/>
    </xf>
    <xf numFmtId="3" fontId="36" fillId="0" borderId="85" xfId="0" applyNumberFormat="1" applyFont="1" applyFill="1" applyBorder="1" applyAlignment="1">
      <alignment horizontal="left" vertical="center"/>
    </xf>
    <xf numFmtId="3" fontId="36" fillId="0" borderId="43" xfId="0" applyNumberFormat="1" applyFont="1" applyFill="1" applyBorder="1" applyAlignment="1">
      <alignment horizontal="left" vertical="center"/>
    </xf>
    <xf numFmtId="3" fontId="16" fillId="0" borderId="43" xfId="0" applyNumberFormat="1" applyFont="1" applyFill="1" applyBorder="1" applyAlignment="1">
      <alignment horizontal="left" vertical="center"/>
    </xf>
    <xf numFmtId="3" fontId="105" fillId="0" borderId="21" xfId="0" applyNumberFormat="1" applyFont="1" applyFill="1" applyBorder="1" applyAlignment="1">
      <alignment horizontal="center" vertical="center" wrapText="1"/>
    </xf>
    <xf numFmtId="3" fontId="105" fillId="0" borderId="23" xfId="0" applyNumberFormat="1" applyFont="1" applyFill="1" applyBorder="1" applyAlignment="1">
      <alignment horizontal="center" vertical="center" wrapText="1"/>
    </xf>
    <xf numFmtId="3" fontId="16" fillId="0" borderId="80" xfId="0" applyNumberFormat="1" applyFont="1" applyFill="1" applyBorder="1" applyAlignment="1">
      <alignment horizontal="left" vertical="center"/>
    </xf>
    <xf numFmtId="3" fontId="16" fillId="0" borderId="157" xfId="0" applyNumberFormat="1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45" xfId="0" applyNumberFormat="1" applyFont="1" applyFill="1" applyBorder="1" applyAlignment="1">
      <alignment horizontal="left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left" vertical="center" wrapText="1"/>
    </xf>
    <xf numFmtId="3" fontId="14" fillId="0" borderId="27" xfId="0" applyNumberFormat="1" applyFont="1" applyFill="1" applyBorder="1" applyAlignment="1">
      <alignment horizontal="left" vertical="center" wrapText="1"/>
    </xf>
    <xf numFmtId="3" fontId="16" fillId="0" borderId="157" xfId="0" applyNumberFormat="1" applyFont="1" applyFill="1" applyBorder="1" applyAlignment="1">
      <alignment horizontal="center" vertical="center"/>
    </xf>
    <xf numFmtId="3" fontId="16" fillId="0" borderId="80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25" fillId="0" borderId="150" xfId="0" applyNumberFormat="1" applyFont="1" applyFill="1" applyBorder="1" applyAlignment="1">
      <alignment horizontal="center" vertical="center"/>
    </xf>
    <xf numFmtId="3" fontId="25" fillId="0" borderId="158" xfId="0" applyNumberFormat="1" applyFont="1" applyFill="1" applyBorder="1" applyAlignment="1">
      <alignment horizontal="center" vertical="center"/>
    </xf>
    <xf numFmtId="3" fontId="25" fillId="0" borderId="153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56" xfId="0" applyNumberFormat="1" applyFont="1" applyFill="1" applyBorder="1" applyAlignment="1">
      <alignment horizontal="center" vertical="center"/>
    </xf>
    <xf numFmtId="3" fontId="35" fillId="0" borderId="157" xfId="0" applyNumberFormat="1" applyFont="1" applyFill="1" applyBorder="1" applyAlignment="1">
      <alignment horizontal="center" vertical="center"/>
    </xf>
    <xf numFmtId="3" fontId="35" fillId="0" borderId="80" xfId="0" applyNumberFormat="1" applyFont="1" applyFill="1" applyBorder="1" applyAlignment="1">
      <alignment horizontal="center" vertical="center"/>
    </xf>
    <xf numFmtId="3" fontId="35" fillId="0" borderId="53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3" fontId="35" fillId="0" borderId="58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6" fillId="0" borderId="159" xfId="0" applyNumberFormat="1" applyFont="1" applyFill="1" applyBorder="1" applyAlignment="1">
      <alignment horizontal="center" vertical="center"/>
    </xf>
    <xf numFmtId="3" fontId="16" fillId="0" borderId="144" xfId="0" applyNumberFormat="1" applyFont="1" applyFill="1" applyBorder="1" applyAlignment="1">
      <alignment horizontal="center" vertical="center"/>
    </xf>
    <xf numFmtId="3" fontId="16" fillId="0" borderId="155" xfId="0" applyNumberFormat="1" applyFont="1" applyFill="1" applyBorder="1" applyAlignment="1">
      <alignment horizontal="center" vertical="center"/>
    </xf>
    <xf numFmtId="3" fontId="16" fillId="0" borderId="156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3" fontId="16" fillId="0" borderId="16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left" vertical="center" wrapText="1"/>
    </xf>
    <xf numFmtId="0" fontId="25" fillId="0" borderId="161" xfId="0" applyFont="1" applyBorder="1" applyAlignment="1">
      <alignment horizontal="center" vertical="center" wrapText="1"/>
    </xf>
    <xf numFmtId="0" fontId="25" fillId="0" borderId="162" xfId="0" applyFont="1" applyBorder="1" applyAlignment="1">
      <alignment horizontal="center" vertical="center" wrapText="1"/>
    </xf>
    <xf numFmtId="0" fontId="25" fillId="0" borderId="163" xfId="0" applyFont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35" fillId="0" borderId="42" xfId="0" applyNumberFormat="1" applyFont="1" applyFill="1" applyBorder="1" applyAlignment="1">
      <alignment horizontal="center" vertical="center"/>
    </xf>
    <xf numFmtId="3" fontId="35" fillId="0" borderId="85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16" fillId="0" borderId="147" xfId="0" applyNumberFormat="1" applyFont="1" applyFill="1" applyBorder="1" applyAlignment="1">
      <alignment horizontal="center" vertical="center"/>
    </xf>
    <xf numFmtId="3" fontId="16" fillId="0" borderId="148" xfId="0" applyNumberFormat="1" applyFont="1" applyFill="1" applyBorder="1" applyAlignment="1">
      <alignment horizontal="center" vertical="center"/>
    </xf>
    <xf numFmtId="3" fontId="16" fillId="0" borderId="103" xfId="0" applyNumberFormat="1" applyFont="1" applyFill="1" applyBorder="1" applyAlignment="1">
      <alignment horizontal="center" vertical="center"/>
    </xf>
    <xf numFmtId="3" fontId="16" fillId="43" borderId="147" xfId="0" applyNumberFormat="1" applyFont="1" applyFill="1" applyBorder="1" applyAlignment="1">
      <alignment horizontal="center" vertical="center"/>
    </xf>
    <xf numFmtId="3" fontId="16" fillId="43" borderId="148" xfId="0" applyNumberFormat="1" applyFont="1" applyFill="1" applyBorder="1" applyAlignment="1">
      <alignment horizontal="center" vertical="center"/>
    </xf>
    <xf numFmtId="3" fontId="16" fillId="43" borderId="149" xfId="0" applyNumberFormat="1" applyFont="1" applyFill="1" applyBorder="1" applyAlignment="1">
      <alignment horizontal="center" vertical="center"/>
    </xf>
    <xf numFmtId="3" fontId="36" fillId="0" borderId="164" xfId="0" applyNumberFormat="1" applyFont="1" applyFill="1" applyBorder="1" applyAlignment="1">
      <alignment horizontal="center" vertical="center"/>
    </xf>
    <xf numFmtId="3" fontId="36" fillId="0" borderId="141" xfId="0" applyNumberFormat="1" applyFont="1" applyFill="1" applyBorder="1" applyAlignment="1">
      <alignment horizontal="center" vertical="center"/>
    </xf>
    <xf numFmtId="0" fontId="25" fillId="0" borderId="165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150" xfId="0" applyFont="1" applyBorder="1" applyAlignment="1">
      <alignment horizontal="center" vertical="center" wrapText="1"/>
    </xf>
    <xf numFmtId="0" fontId="25" fillId="0" borderId="158" xfId="0" applyFont="1" applyBorder="1" applyAlignment="1">
      <alignment horizontal="center" vertical="center" wrapText="1"/>
    </xf>
    <xf numFmtId="0" fontId="25" fillId="0" borderId="153" xfId="0" applyFont="1" applyBorder="1" applyAlignment="1">
      <alignment horizontal="center" vertical="center" wrapText="1"/>
    </xf>
    <xf numFmtId="3" fontId="36" fillId="0" borderId="166" xfId="0" applyNumberFormat="1" applyFont="1" applyFill="1" applyBorder="1" applyAlignment="1" quotePrefix="1">
      <alignment horizontal="center" vertical="center"/>
    </xf>
    <xf numFmtId="3" fontId="36" fillId="0" borderId="138" xfId="0" applyNumberFormat="1" applyFont="1" applyFill="1" applyBorder="1" applyAlignment="1" quotePrefix="1">
      <alignment horizontal="center" vertical="center"/>
    </xf>
    <xf numFmtId="3" fontId="36" fillId="0" borderId="157" xfId="0" applyNumberFormat="1" applyFont="1" applyFill="1" applyBorder="1" applyAlignment="1">
      <alignment horizontal="center" vertical="center"/>
    </xf>
    <xf numFmtId="3" fontId="36" fillId="0" borderId="8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top"/>
    </xf>
    <xf numFmtId="3" fontId="14" fillId="0" borderId="47" xfId="0" applyNumberFormat="1" applyFont="1" applyFill="1" applyBorder="1" applyAlignment="1">
      <alignment horizontal="center" vertical="center"/>
    </xf>
    <xf numFmtId="3" fontId="109" fillId="0" borderId="21" xfId="0" applyNumberFormat="1" applyFont="1" applyFill="1" applyBorder="1" applyAlignment="1">
      <alignment horizontal="center" vertical="center" wrapText="1"/>
    </xf>
    <xf numFmtId="3" fontId="109" fillId="0" borderId="23" xfId="0" applyNumberFormat="1" applyFont="1" applyFill="1" applyBorder="1" applyAlignment="1">
      <alignment horizontal="center" vertical="center" wrapText="1"/>
    </xf>
    <xf numFmtId="3" fontId="107" fillId="0" borderId="20" xfId="0" applyNumberFormat="1" applyFont="1" applyFill="1" applyBorder="1" applyAlignment="1">
      <alignment horizontal="center" vertical="center"/>
    </xf>
    <xf numFmtId="3" fontId="107" fillId="0" borderId="62" xfId="0" applyNumberFormat="1" applyFont="1" applyFill="1" applyBorder="1" applyAlignment="1">
      <alignment horizontal="center" vertical="center"/>
    </xf>
    <xf numFmtId="3" fontId="107" fillId="43" borderId="147" xfId="0" applyNumberFormat="1" applyFont="1" applyFill="1" applyBorder="1" applyAlignment="1">
      <alignment horizontal="center" vertical="center"/>
    </xf>
    <xf numFmtId="3" fontId="107" fillId="43" borderId="148" xfId="0" applyNumberFormat="1" applyFont="1" applyFill="1" applyBorder="1" applyAlignment="1">
      <alignment horizontal="center" vertical="center"/>
    </xf>
    <xf numFmtId="3" fontId="107" fillId="43" borderId="149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center" vertical="center"/>
    </xf>
    <xf numFmtId="3" fontId="39" fillId="0" borderId="6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74" xfId="0" applyNumberFormat="1" applyFont="1" applyFill="1" applyBorder="1" applyAlignment="1">
      <alignment horizontal="center" vertical="center"/>
    </xf>
    <xf numFmtId="3" fontId="16" fillId="0" borderId="159" xfId="0" applyNumberFormat="1" applyFont="1" applyFill="1" applyBorder="1" applyAlignment="1">
      <alignment horizontal="left" vertical="center"/>
    </xf>
    <xf numFmtId="3" fontId="16" fillId="0" borderId="144" xfId="0" applyNumberFormat="1" applyFont="1" applyFill="1" applyBorder="1" applyAlignment="1">
      <alignment horizontal="left" vertical="center"/>
    </xf>
    <xf numFmtId="3" fontId="16" fillId="0" borderId="160" xfId="0" applyNumberFormat="1" applyFont="1" applyFill="1" applyBorder="1" applyAlignment="1">
      <alignment horizontal="left" vertical="center"/>
    </xf>
    <xf numFmtId="3" fontId="25" fillId="0" borderId="86" xfId="0" applyNumberFormat="1" applyFont="1" applyFill="1" applyBorder="1" applyAlignment="1">
      <alignment horizontal="left" vertical="center"/>
    </xf>
    <xf numFmtId="3" fontId="25" fillId="0" borderId="85" xfId="0" applyNumberFormat="1" applyFont="1" applyFill="1" applyBorder="1" applyAlignment="1">
      <alignment horizontal="left" vertical="center"/>
    </xf>
    <xf numFmtId="3" fontId="25" fillId="0" borderId="80" xfId="0" applyNumberFormat="1" applyFont="1" applyFill="1" applyBorder="1" applyAlignment="1">
      <alignment horizontal="left" vertical="center"/>
    </xf>
    <xf numFmtId="3" fontId="25" fillId="0" borderId="53" xfId="0" applyNumberFormat="1" applyFont="1" applyFill="1" applyBorder="1" applyAlignment="1">
      <alignment horizontal="left" vertical="center"/>
    </xf>
    <xf numFmtId="1" fontId="16" fillId="0" borderId="25" xfId="96" applyNumberFormat="1" applyFont="1" applyFill="1" applyBorder="1" applyAlignment="1">
      <alignment horizontal="center" vertical="center" wrapText="1"/>
      <protection/>
    </xf>
    <xf numFmtId="1" fontId="16" fillId="0" borderId="33" xfId="96" applyNumberFormat="1" applyFont="1" applyFill="1" applyBorder="1" applyAlignment="1">
      <alignment horizontal="center" vertical="center" wrapText="1"/>
      <protection/>
    </xf>
    <xf numFmtId="0" fontId="25" fillId="0" borderId="120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6" fillId="0" borderId="168" xfId="0" applyFont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 quotePrefix="1">
      <alignment horizontal="center" vertical="center" wrapText="1"/>
    </xf>
    <xf numFmtId="3" fontId="31" fillId="0" borderId="170" xfId="96" applyNumberFormat="1" applyFont="1" applyFill="1" applyBorder="1" applyAlignment="1">
      <alignment horizontal="center" vertical="center"/>
      <protection/>
    </xf>
    <xf numFmtId="3" fontId="31" fillId="0" borderId="145" xfId="96" applyNumberFormat="1" applyFont="1" applyFill="1" applyBorder="1" applyAlignment="1">
      <alignment horizontal="center" vertical="center"/>
      <protection/>
    </xf>
    <xf numFmtId="3" fontId="31" fillId="0" borderId="171" xfId="96" applyNumberFormat="1" applyFont="1" applyFill="1" applyBorder="1" applyAlignment="1">
      <alignment horizontal="center" vertical="center"/>
      <protection/>
    </xf>
    <xf numFmtId="3" fontId="21" fillId="0" borderId="35" xfId="96" applyNumberFormat="1" applyFont="1" applyFill="1" applyBorder="1" applyAlignment="1">
      <alignment horizontal="left" vertical="center" indent="1"/>
      <protection/>
    </xf>
    <xf numFmtId="3" fontId="21" fillId="0" borderId="23" xfId="96" applyNumberFormat="1" applyFont="1" applyFill="1" applyBorder="1" applyAlignment="1">
      <alignment horizontal="left" vertical="center" indent="1"/>
      <protection/>
    </xf>
    <xf numFmtId="3" fontId="15" fillId="0" borderId="37" xfId="96" applyNumberFormat="1" applyFont="1" applyFill="1" applyBorder="1" applyAlignment="1">
      <alignment horizontal="center" vertical="center"/>
      <protection/>
    </xf>
    <xf numFmtId="3" fontId="15" fillId="0" borderId="38" xfId="96" applyNumberFormat="1" applyFont="1" applyFill="1" applyBorder="1" applyAlignment="1">
      <alignment horizontal="center" vertical="center"/>
      <protection/>
    </xf>
    <xf numFmtId="3" fontId="31" fillId="0" borderId="142" xfId="96" applyNumberFormat="1" applyFont="1" applyFill="1" applyBorder="1" applyAlignment="1">
      <alignment horizontal="center" vertical="center"/>
      <protection/>
    </xf>
    <xf numFmtId="3" fontId="31" fillId="0" borderId="168" xfId="96" applyNumberFormat="1" applyFont="1" applyFill="1" applyBorder="1" applyAlignment="1">
      <alignment horizontal="center" vertical="center"/>
      <protection/>
    </xf>
    <xf numFmtId="3" fontId="31" fillId="0" borderId="169" xfId="96" applyNumberFormat="1" applyFont="1" applyFill="1" applyBorder="1" applyAlignment="1">
      <alignment horizontal="center" vertical="center"/>
      <protection/>
    </xf>
    <xf numFmtId="3" fontId="31" fillId="0" borderId="143" xfId="96" applyNumberFormat="1" applyFont="1" applyFill="1" applyBorder="1" applyAlignment="1">
      <alignment horizontal="center" vertical="center"/>
      <protection/>
    </xf>
    <xf numFmtId="3" fontId="31" fillId="0" borderId="172" xfId="96" applyNumberFormat="1" applyFont="1" applyFill="1" applyBorder="1" applyAlignment="1">
      <alignment horizontal="center" vertical="center"/>
      <protection/>
    </xf>
    <xf numFmtId="3" fontId="31" fillId="0" borderId="173" xfId="96" applyNumberFormat="1" applyFont="1" applyFill="1" applyBorder="1" applyAlignment="1">
      <alignment horizontal="center" vertical="center"/>
      <protection/>
    </xf>
    <xf numFmtId="3" fontId="31" fillId="0" borderId="24" xfId="96" applyNumberFormat="1" applyFont="1" applyFill="1" applyBorder="1" applyAlignment="1">
      <alignment horizontal="center" vertical="center"/>
      <protection/>
    </xf>
    <xf numFmtId="3" fontId="31" fillId="0" borderId="25" xfId="96" applyNumberFormat="1" applyFont="1" applyFill="1" applyBorder="1" applyAlignment="1">
      <alignment horizontal="center" vertical="center"/>
      <protection/>
    </xf>
    <xf numFmtId="3" fontId="11" fillId="0" borderId="147" xfId="96" applyNumberFormat="1" applyFont="1" applyFill="1" applyBorder="1" applyAlignment="1">
      <alignment horizontal="center" vertical="center"/>
      <protection/>
    </xf>
    <xf numFmtId="3" fontId="11" fillId="0" borderId="148" xfId="96" applyNumberFormat="1" applyFont="1" applyFill="1" applyBorder="1" applyAlignment="1">
      <alignment horizontal="center" vertical="center"/>
      <protection/>
    </xf>
    <xf numFmtId="3" fontId="21" fillId="0" borderId="21" xfId="96" applyNumberFormat="1" applyFont="1" applyFill="1" applyBorder="1" applyAlignment="1">
      <alignment horizontal="left" vertical="center" indent="1"/>
      <protection/>
    </xf>
    <xf numFmtId="1" fontId="13" fillId="0" borderId="35" xfId="96" applyNumberFormat="1" applyFont="1" applyFill="1" applyBorder="1" applyAlignment="1">
      <alignment horizontal="center" vertical="center"/>
      <protection/>
    </xf>
    <xf numFmtId="1" fontId="13" fillId="0" borderId="22" xfId="96" applyNumberFormat="1" applyFont="1" applyFill="1" applyBorder="1" applyAlignment="1">
      <alignment horizontal="center" vertical="center"/>
      <protection/>
    </xf>
    <xf numFmtId="1" fontId="13" fillId="0" borderId="27" xfId="96" applyNumberFormat="1" applyFont="1" applyFill="1" applyBorder="1" applyAlignment="1">
      <alignment horizontal="center" vertical="center"/>
      <protection/>
    </xf>
    <xf numFmtId="3" fontId="31" fillId="0" borderId="30" xfId="96" applyNumberFormat="1" applyFont="1" applyFill="1" applyBorder="1" applyAlignment="1">
      <alignment horizontal="center" vertical="center"/>
      <protection/>
    </xf>
    <xf numFmtId="3" fontId="31" fillId="0" borderId="31" xfId="96" applyNumberFormat="1" applyFont="1" applyFill="1" applyBorder="1" applyAlignment="1">
      <alignment horizontal="center" vertical="center"/>
      <protection/>
    </xf>
    <xf numFmtId="3" fontId="11" fillId="0" borderId="147" xfId="96" applyNumberFormat="1" applyFont="1" applyFill="1" applyBorder="1" applyAlignment="1">
      <alignment horizontal="center" vertical="center" wrapText="1"/>
      <protection/>
    </xf>
    <xf numFmtId="3" fontId="11" fillId="0" borderId="148" xfId="96" applyNumberFormat="1" applyFont="1" applyFill="1" applyBorder="1" applyAlignment="1">
      <alignment horizontal="center" vertical="center" wrapText="1"/>
      <protection/>
    </xf>
    <xf numFmtId="3" fontId="11" fillId="0" borderId="103" xfId="96" applyNumberFormat="1" applyFont="1" applyFill="1" applyBorder="1" applyAlignment="1">
      <alignment horizontal="center" vertical="center" wrapText="1"/>
      <protection/>
    </xf>
    <xf numFmtId="3" fontId="11" fillId="0" borderId="38" xfId="96" applyNumberFormat="1" applyFont="1" applyFill="1" applyBorder="1" applyAlignment="1">
      <alignment horizontal="center" vertical="center"/>
      <protection/>
    </xf>
    <xf numFmtId="3" fontId="11" fillId="0" borderId="23" xfId="96" applyNumberFormat="1" applyFont="1" applyFill="1" applyBorder="1" applyAlignment="1">
      <alignment horizontal="center" vertical="center"/>
      <protection/>
    </xf>
    <xf numFmtId="3" fontId="15" fillId="0" borderId="174" xfId="96" applyNumberFormat="1" applyFont="1" applyFill="1" applyBorder="1" applyAlignment="1">
      <alignment horizontal="left" vertical="center"/>
      <protection/>
    </xf>
    <xf numFmtId="0" fontId="0" fillId="0" borderId="174" xfId="0" applyFont="1" applyBorder="1" applyAlignment="1">
      <alignment horizontal="left" vertical="center"/>
    </xf>
    <xf numFmtId="3" fontId="13" fillId="0" borderId="35" xfId="96" applyNumberFormat="1" applyFont="1" applyFill="1" applyBorder="1" applyAlignment="1">
      <alignment horizontal="center" vertical="center"/>
      <protection/>
    </xf>
    <xf numFmtId="3" fontId="13" fillId="0" borderId="22" xfId="96" applyNumberFormat="1" applyFont="1" applyFill="1" applyBorder="1" applyAlignment="1">
      <alignment horizontal="center" vertical="center"/>
      <protection/>
    </xf>
    <xf numFmtId="3" fontId="13" fillId="0" borderId="27" xfId="96" applyNumberFormat="1" applyFont="1" applyFill="1" applyBorder="1" applyAlignment="1">
      <alignment horizontal="center" vertical="center"/>
      <protection/>
    </xf>
    <xf numFmtId="3" fontId="19" fillId="0" borderId="35" xfId="96" applyNumberFormat="1" applyFont="1" applyFill="1" applyBorder="1" applyAlignment="1">
      <alignment horizontal="left" vertical="center" shrinkToFit="1"/>
      <protection/>
    </xf>
    <xf numFmtId="3" fontId="19" fillId="0" borderId="27" xfId="96" applyNumberFormat="1" applyFont="1" applyFill="1" applyBorder="1" applyAlignment="1">
      <alignment horizontal="left" vertical="center" shrinkToFit="1"/>
      <protection/>
    </xf>
    <xf numFmtId="3" fontId="19" fillId="0" borderId="35" xfId="96" applyNumberFormat="1" applyFont="1" applyFill="1" applyBorder="1" applyAlignment="1">
      <alignment horizontal="left" vertical="center" indent="1" shrinkToFit="1"/>
      <protection/>
    </xf>
    <xf numFmtId="3" fontId="19" fillId="0" borderId="27" xfId="96" applyNumberFormat="1" applyFont="1" applyFill="1" applyBorder="1" applyAlignment="1">
      <alignment horizontal="left" vertical="center" indent="1" shrinkToFit="1"/>
      <protection/>
    </xf>
    <xf numFmtId="3" fontId="13" fillId="0" borderId="23" xfId="96" applyNumberFormat="1" applyFont="1" applyFill="1" applyBorder="1" applyAlignment="1">
      <alignment horizontal="center" vertical="center"/>
      <protection/>
    </xf>
    <xf numFmtId="3" fontId="6" fillId="0" borderId="0" xfId="96" applyNumberFormat="1" applyFont="1" applyFill="1" applyBorder="1" applyAlignment="1">
      <alignment horizontal="right" vertical="center"/>
      <protection/>
    </xf>
    <xf numFmtId="3" fontId="29" fillId="0" borderId="142" xfId="96" applyNumberFormat="1" applyFont="1" applyFill="1" applyBorder="1" applyAlignment="1">
      <alignment horizontal="center" vertical="center"/>
      <protection/>
    </xf>
    <xf numFmtId="3" fontId="29" fillId="0" borderId="168" xfId="96" applyNumberFormat="1" applyFont="1" applyFill="1" applyBorder="1" applyAlignment="1">
      <alignment horizontal="center" vertical="center"/>
      <protection/>
    </xf>
    <xf numFmtId="3" fontId="29" fillId="0" borderId="169" xfId="96" applyNumberFormat="1" applyFont="1" applyFill="1" applyBorder="1" applyAlignment="1">
      <alignment horizontal="center" vertical="center"/>
      <protection/>
    </xf>
    <xf numFmtId="3" fontId="29" fillId="0" borderId="143" xfId="96" applyNumberFormat="1" applyFont="1" applyFill="1" applyBorder="1" applyAlignment="1">
      <alignment horizontal="center" vertical="center"/>
      <protection/>
    </xf>
    <xf numFmtId="3" fontId="29" fillId="0" borderId="172" xfId="96" applyNumberFormat="1" applyFont="1" applyFill="1" applyBorder="1" applyAlignment="1">
      <alignment horizontal="center" vertical="center"/>
      <protection/>
    </xf>
    <xf numFmtId="3" fontId="29" fillId="0" borderId="173" xfId="96" applyNumberFormat="1" applyFont="1" applyFill="1" applyBorder="1" applyAlignment="1">
      <alignment horizontal="center" vertical="center"/>
      <protection/>
    </xf>
    <xf numFmtId="3" fontId="15" fillId="0" borderId="19" xfId="96" applyNumberFormat="1" applyFont="1" applyFill="1" applyBorder="1" applyAlignment="1">
      <alignment horizontal="center" vertical="center"/>
      <protection/>
    </xf>
    <xf numFmtId="3" fontId="15" fillId="0" borderId="45" xfId="96" applyNumberFormat="1" applyFont="1" applyFill="1" applyBorder="1" applyAlignment="1">
      <alignment horizontal="center" vertical="center"/>
      <protection/>
    </xf>
    <xf numFmtId="3" fontId="15" fillId="0" borderId="167" xfId="96" applyNumberFormat="1" applyFont="1" applyFill="1" applyBorder="1" applyAlignment="1">
      <alignment horizontal="center" vertical="center" wrapText="1"/>
      <protection/>
    </xf>
    <xf numFmtId="3" fontId="15" fillId="0" borderId="168" xfId="96" applyNumberFormat="1" applyFont="1" applyFill="1" applyBorder="1" applyAlignment="1">
      <alignment horizontal="center" vertical="center" wrapText="1"/>
      <protection/>
    </xf>
    <xf numFmtId="3" fontId="15" fillId="0" borderId="169" xfId="96" applyNumberFormat="1" applyFont="1" applyFill="1" applyBorder="1" applyAlignment="1">
      <alignment horizontal="center" vertical="center" wrapText="1"/>
      <protection/>
    </xf>
    <xf numFmtId="3" fontId="21" fillId="0" borderId="167" xfId="96" applyNumberFormat="1" applyFont="1" applyFill="1" applyBorder="1" applyAlignment="1">
      <alignment horizontal="center" vertical="center" wrapText="1"/>
      <protection/>
    </xf>
    <xf numFmtId="3" fontId="21" fillId="0" borderId="168" xfId="96" applyNumberFormat="1" applyFont="1" applyFill="1" applyBorder="1" applyAlignment="1">
      <alignment horizontal="center" vertical="center" wrapText="1"/>
      <protection/>
    </xf>
    <xf numFmtId="3" fontId="21" fillId="0" borderId="169" xfId="96" applyNumberFormat="1" applyFont="1" applyFill="1" applyBorder="1" applyAlignment="1">
      <alignment horizontal="center" vertical="center" wrapText="1"/>
      <protection/>
    </xf>
    <xf numFmtId="3" fontId="15" fillId="0" borderId="61" xfId="96" applyNumberFormat="1" applyFont="1" applyFill="1" applyBorder="1" applyAlignment="1">
      <alignment horizontal="center" vertical="center"/>
      <protection/>
    </xf>
    <xf numFmtId="3" fontId="15" fillId="0" borderId="62" xfId="96" applyNumberFormat="1" applyFont="1" applyFill="1" applyBorder="1" applyAlignment="1">
      <alignment horizontal="center" vertical="center"/>
      <protection/>
    </xf>
    <xf numFmtId="3" fontId="11" fillId="0" borderId="147" xfId="96" applyNumberFormat="1" applyFont="1" applyFill="1" applyBorder="1" applyAlignment="1">
      <alignment horizontal="center" vertical="center"/>
      <protection/>
    </xf>
    <xf numFmtId="3" fontId="11" fillId="0" borderId="148" xfId="96" applyNumberFormat="1" applyFont="1" applyFill="1" applyBorder="1" applyAlignment="1">
      <alignment horizontal="center" vertical="center"/>
      <protection/>
    </xf>
    <xf numFmtId="3" fontId="11" fillId="0" borderId="103" xfId="96" applyNumberFormat="1" applyFont="1" applyFill="1" applyBorder="1" applyAlignment="1">
      <alignment horizontal="center" vertical="center"/>
      <protection/>
    </xf>
    <xf numFmtId="1" fontId="15" fillId="0" borderId="21" xfId="96" applyNumberFormat="1" applyFont="1" applyFill="1" applyBorder="1" applyAlignment="1">
      <alignment horizontal="center" vertical="center" wrapText="1"/>
      <protection/>
    </xf>
    <xf numFmtId="1" fontId="15" fillId="0" borderId="22" xfId="96" applyNumberFormat="1" applyFont="1" applyFill="1" applyBorder="1" applyAlignment="1">
      <alignment horizontal="center" vertical="center" wrapText="1"/>
      <protection/>
    </xf>
    <xf numFmtId="1" fontId="15" fillId="0" borderId="23" xfId="96" applyNumberFormat="1" applyFont="1" applyFill="1" applyBorder="1" applyAlignment="1">
      <alignment horizontal="center" vertical="center" wrapText="1"/>
      <protection/>
    </xf>
    <xf numFmtId="3" fontId="29" fillId="0" borderId="170" xfId="96" applyNumberFormat="1" applyFont="1" applyFill="1" applyBorder="1" applyAlignment="1">
      <alignment horizontal="center" vertical="center"/>
      <protection/>
    </xf>
    <xf numFmtId="3" fontId="29" fillId="0" borderId="145" xfId="96" applyNumberFormat="1" applyFont="1" applyFill="1" applyBorder="1" applyAlignment="1">
      <alignment horizontal="center" vertical="center"/>
      <protection/>
    </xf>
    <xf numFmtId="3" fontId="29" fillId="0" borderId="171" xfId="96" applyNumberFormat="1" applyFont="1" applyFill="1" applyBorder="1" applyAlignment="1">
      <alignment horizontal="center" vertical="center"/>
      <protection/>
    </xf>
    <xf numFmtId="3" fontId="11" fillId="0" borderId="24" xfId="96" applyNumberFormat="1" applyFont="1" applyFill="1" applyBorder="1" applyAlignment="1">
      <alignment horizontal="center" vertical="center"/>
      <protection/>
    </xf>
    <xf numFmtId="3" fontId="11" fillId="0" borderId="25" xfId="96" applyNumberFormat="1" applyFont="1" applyFill="1" applyBorder="1" applyAlignment="1">
      <alignment horizontal="center" vertical="center"/>
      <protection/>
    </xf>
    <xf numFmtId="3" fontId="19" fillId="0" borderId="35" xfId="96" applyNumberFormat="1" applyFont="1" applyFill="1" applyBorder="1" applyAlignment="1">
      <alignment horizontal="left" vertical="center" wrapText="1" indent="1"/>
      <protection/>
    </xf>
    <xf numFmtId="3" fontId="19" fillId="0" borderId="27" xfId="96" applyNumberFormat="1" applyFont="1" applyFill="1" applyBorder="1" applyAlignment="1">
      <alignment horizontal="left" vertical="center" wrapText="1" indent="1"/>
      <protection/>
    </xf>
    <xf numFmtId="3" fontId="15" fillId="0" borderId="59" xfId="96" applyNumberFormat="1" applyFont="1" applyFill="1" applyBorder="1" applyAlignment="1">
      <alignment horizontal="center" vertical="center"/>
      <protection/>
    </xf>
    <xf numFmtId="3" fontId="15" fillId="0" borderId="20" xfId="96" applyNumberFormat="1" applyFont="1" applyFill="1" applyBorder="1" applyAlignment="1">
      <alignment horizontal="center" vertical="center"/>
      <protection/>
    </xf>
    <xf numFmtId="3" fontId="21" fillId="0" borderId="22" xfId="96" applyNumberFormat="1" applyFont="1" applyFill="1" applyBorder="1" applyAlignment="1">
      <alignment horizontal="center" vertical="center" wrapText="1"/>
      <protection/>
    </xf>
    <xf numFmtId="3" fontId="21" fillId="0" borderId="23" xfId="96" applyNumberFormat="1" applyFont="1" applyFill="1" applyBorder="1" applyAlignment="1">
      <alignment horizontal="center" vertical="center" wrapText="1"/>
      <protection/>
    </xf>
    <xf numFmtId="3" fontId="21" fillId="0" borderId="35" xfId="96" applyNumberFormat="1" applyFont="1" applyFill="1" applyBorder="1" applyAlignment="1">
      <alignment horizontal="center" vertical="center" wrapText="1"/>
      <protection/>
    </xf>
    <xf numFmtId="3" fontId="0" fillId="0" borderId="23" xfId="0" applyNumberFormat="1" applyFont="1" applyBorder="1" applyAlignment="1">
      <alignment horizontal="center" vertical="center" wrapText="1"/>
    </xf>
    <xf numFmtId="3" fontId="7" fillId="0" borderId="117" xfId="0" applyNumberFormat="1" applyFont="1" applyFill="1" applyBorder="1" applyAlignment="1">
      <alignment horizontal="right" vertical="center"/>
    </xf>
    <xf numFmtId="3" fontId="7" fillId="0" borderId="12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0" fontId="50" fillId="0" borderId="147" xfId="0" applyFont="1" applyFill="1" applyBorder="1" applyAlignment="1">
      <alignment horizontal="center" vertical="center" shrinkToFit="1"/>
    </xf>
    <xf numFmtId="0" fontId="50" fillId="0" borderId="148" xfId="0" applyFont="1" applyFill="1" applyBorder="1" applyAlignment="1">
      <alignment horizontal="center" vertical="center" shrinkToFit="1"/>
    </xf>
    <xf numFmtId="0" fontId="50" fillId="0" borderId="103" xfId="0" applyFont="1" applyFill="1" applyBorder="1" applyAlignment="1">
      <alignment horizontal="center" vertical="center" shrinkToFit="1"/>
    </xf>
    <xf numFmtId="0" fontId="7" fillId="0" borderId="146" xfId="0" applyFont="1" applyFill="1" applyBorder="1" applyAlignment="1">
      <alignment horizontal="left" vertical="center" shrinkToFit="1"/>
    </xf>
    <xf numFmtId="0" fontId="7" fillId="0" borderId="82" xfId="0" applyFont="1" applyFill="1" applyBorder="1" applyAlignment="1">
      <alignment horizontal="left" vertical="center" shrinkToFit="1"/>
    </xf>
    <xf numFmtId="0" fontId="7" fillId="0" borderId="152" xfId="0" applyFont="1" applyFill="1" applyBorder="1" applyAlignment="1">
      <alignment horizontal="left" vertical="center" shrinkToFit="1"/>
    </xf>
    <xf numFmtId="0" fontId="7" fillId="0" borderId="150" xfId="0" applyFont="1" applyFill="1" applyBorder="1" applyAlignment="1">
      <alignment vertical="center" shrinkToFit="1"/>
    </xf>
    <xf numFmtId="0" fontId="6" fillId="0" borderId="158" xfId="0" applyFont="1" applyFill="1" applyBorder="1" applyAlignment="1">
      <alignment vertical="center" shrinkToFit="1"/>
    </xf>
    <xf numFmtId="0" fontId="6" fillId="0" borderId="153" xfId="0" applyFont="1" applyFill="1" applyBorder="1" applyAlignment="1">
      <alignment vertical="center" shrinkToFit="1"/>
    </xf>
    <xf numFmtId="0" fontId="24" fillId="0" borderId="109" xfId="95" applyFont="1" applyBorder="1" applyAlignment="1">
      <alignment horizontal="left" vertical="center" wrapText="1" shrinkToFit="1"/>
      <protection/>
    </xf>
    <xf numFmtId="0" fontId="24" fillId="0" borderId="171" xfId="95" applyFont="1" applyBorder="1" applyAlignment="1">
      <alignment horizontal="left" vertical="center" wrapText="1" shrinkToFit="1"/>
      <protection/>
    </xf>
    <xf numFmtId="0" fontId="24" fillId="0" borderId="3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49" borderId="35" xfId="95" applyFont="1" applyFill="1" applyBorder="1" applyAlignment="1">
      <alignment horizontal="left" vertical="center" wrapText="1" shrinkToFit="1"/>
      <protection/>
    </xf>
    <xf numFmtId="0" fontId="24" fillId="49" borderId="22" xfId="95" applyFont="1" applyFill="1" applyBorder="1" applyAlignment="1">
      <alignment horizontal="left" vertical="center" wrapText="1" shrinkToFit="1"/>
      <protection/>
    </xf>
    <xf numFmtId="0" fontId="24" fillId="49" borderId="27" xfId="95" applyFont="1" applyFill="1" applyBorder="1" applyAlignment="1">
      <alignment horizontal="left" vertical="center" wrapText="1" shrinkToFit="1"/>
      <protection/>
    </xf>
    <xf numFmtId="0" fontId="24" fillId="48" borderId="35" xfId="95" applyFont="1" applyFill="1" applyBorder="1" applyAlignment="1">
      <alignment horizontal="center" vertical="center" wrapText="1" shrinkToFit="1"/>
      <protection/>
    </xf>
    <xf numFmtId="0" fontId="24" fillId="48" borderId="22" xfId="95" applyFont="1" applyFill="1" applyBorder="1" applyAlignment="1">
      <alignment horizontal="center" vertical="center" wrapText="1" shrinkToFit="1"/>
      <protection/>
    </xf>
    <xf numFmtId="0" fontId="24" fillId="48" borderId="27" xfId="95" applyFont="1" applyFill="1" applyBorder="1" applyAlignment="1">
      <alignment horizontal="center" vertical="center" wrapText="1" shrinkToFit="1"/>
      <protection/>
    </xf>
    <xf numFmtId="0" fontId="24" fillId="48" borderId="35" xfId="0" applyFont="1" applyFill="1" applyBorder="1" applyAlignment="1">
      <alignment horizontal="center" vertical="center" wrapText="1"/>
    </xf>
    <xf numFmtId="0" fontId="24" fillId="48" borderId="27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25" fillId="0" borderId="58" xfId="93" applyFont="1" applyBorder="1" applyAlignment="1">
      <alignment vertical="center"/>
      <protection/>
    </xf>
    <xf numFmtId="0" fontId="23" fillId="0" borderId="58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110" xfId="0" applyFont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0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48" borderId="33" xfId="95" applyFont="1" applyFill="1" applyBorder="1" applyAlignment="1">
      <alignment horizontal="center" vertical="center" wrapText="1" shrinkToFit="1"/>
      <protection/>
    </xf>
    <xf numFmtId="0" fontId="24" fillId="0" borderId="109" xfId="0" applyFont="1" applyBorder="1" applyAlignment="1">
      <alignment horizontal="center" vertical="center"/>
    </xf>
    <xf numFmtId="0" fontId="24" fillId="0" borderId="171" xfId="0" applyFont="1" applyBorder="1" applyAlignment="1">
      <alignment horizontal="center" vertical="center"/>
    </xf>
    <xf numFmtId="0" fontId="24" fillId="49" borderId="110" xfId="95" applyFont="1" applyFill="1" applyBorder="1" applyAlignment="1">
      <alignment vertical="center" wrapText="1" shrinkToFit="1"/>
      <protection/>
    </xf>
    <xf numFmtId="0" fontId="24" fillId="49" borderId="160" xfId="95" applyFont="1" applyFill="1" applyBorder="1" applyAlignment="1">
      <alignment vertical="center" wrapText="1" shrinkToFit="1"/>
      <protection/>
    </xf>
    <xf numFmtId="0" fontId="24" fillId="49" borderId="52" xfId="95" applyFont="1" applyFill="1" applyBorder="1" applyAlignment="1">
      <alignment vertical="center" wrapText="1" shrinkToFit="1"/>
      <protection/>
    </xf>
    <xf numFmtId="0" fontId="24" fillId="49" borderId="45" xfId="95" applyFont="1" applyFill="1" applyBorder="1" applyAlignment="1">
      <alignment vertical="center" wrapText="1" shrinkToFit="1"/>
      <protection/>
    </xf>
    <xf numFmtId="0" fontId="24" fillId="49" borderId="106" xfId="95" applyFont="1" applyFill="1" applyBorder="1" applyAlignment="1">
      <alignment vertical="center" wrapText="1" shrinkToFit="1"/>
      <protection/>
    </xf>
    <xf numFmtId="0" fontId="24" fillId="49" borderId="56" xfId="95" applyFont="1" applyFill="1" applyBorder="1" applyAlignment="1">
      <alignment vertical="center" wrapText="1" shrinkToFit="1"/>
      <protection/>
    </xf>
    <xf numFmtId="0" fontId="24" fillId="0" borderId="110" xfId="0" applyFont="1" applyBorder="1" applyAlignment="1">
      <alignment horizontal="left" vertical="center" wrapText="1"/>
    </xf>
    <xf numFmtId="0" fontId="24" fillId="0" borderId="160" xfId="0" applyFont="1" applyBorder="1" applyAlignment="1">
      <alignment horizontal="left" vertical="center" wrapText="1"/>
    </xf>
    <xf numFmtId="0" fontId="24" fillId="0" borderId="106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110" xfId="95" applyFont="1" applyBorder="1" applyAlignment="1">
      <alignment horizontal="left" vertical="center" wrapText="1" shrinkToFit="1"/>
      <protection/>
    </xf>
    <xf numFmtId="0" fontId="24" fillId="0" borderId="160" xfId="95" applyFont="1" applyBorder="1" applyAlignment="1">
      <alignment horizontal="left" vertical="center" wrapText="1" shrinkToFit="1"/>
      <protection/>
    </xf>
    <xf numFmtId="0" fontId="24" fillId="0" borderId="106" xfId="95" applyFont="1" applyBorder="1" applyAlignment="1">
      <alignment horizontal="left" vertical="center" wrapText="1" shrinkToFit="1"/>
      <protection/>
    </xf>
    <xf numFmtId="0" fontId="24" fillId="0" borderId="56" xfId="95" applyFont="1" applyBorder="1" applyAlignment="1">
      <alignment horizontal="left" vertical="center" wrapText="1" shrinkToFit="1"/>
      <protection/>
    </xf>
    <xf numFmtId="0" fontId="24" fillId="0" borderId="35" xfId="95" applyFont="1" applyBorder="1" applyAlignment="1">
      <alignment horizontal="center" vertical="center" wrapText="1" shrinkToFit="1"/>
      <protection/>
    </xf>
    <xf numFmtId="0" fontId="24" fillId="0" borderId="27" xfId="95" applyFont="1" applyBorder="1" applyAlignment="1">
      <alignment horizontal="center" vertical="center" wrapText="1" shrinkToFit="1"/>
      <protection/>
    </xf>
    <xf numFmtId="0" fontId="24" fillId="0" borderId="110" xfId="95" applyFont="1" applyBorder="1" applyAlignment="1">
      <alignment vertical="center" wrapText="1" shrinkToFit="1"/>
      <protection/>
    </xf>
    <xf numFmtId="0" fontId="24" fillId="0" borderId="160" xfId="95" applyFont="1" applyBorder="1" applyAlignment="1">
      <alignment vertical="center" wrapText="1" shrinkToFit="1"/>
      <protection/>
    </xf>
    <xf numFmtId="0" fontId="24" fillId="0" borderId="52" xfId="95" applyFont="1" applyBorder="1" applyAlignment="1">
      <alignment vertical="center" wrapText="1" shrinkToFit="1"/>
      <protection/>
    </xf>
    <xf numFmtId="0" fontId="24" fillId="0" borderId="45" xfId="95" applyFont="1" applyBorder="1" applyAlignment="1">
      <alignment vertical="center" wrapText="1" shrinkToFit="1"/>
      <protection/>
    </xf>
    <xf numFmtId="0" fontId="24" fillId="0" borderId="106" xfId="95" applyFont="1" applyBorder="1" applyAlignment="1">
      <alignment vertical="center" wrapText="1" shrinkToFit="1"/>
      <protection/>
    </xf>
    <xf numFmtId="0" fontId="24" fillId="0" borderId="56" xfId="95" applyFont="1" applyBorder="1" applyAlignment="1">
      <alignment vertical="center" wrapText="1" shrinkToFit="1"/>
      <protection/>
    </xf>
    <xf numFmtId="0" fontId="24" fillId="0" borderId="22" xfId="95" applyFont="1" applyBorder="1" applyAlignment="1">
      <alignment horizontal="center" vertical="center" wrapText="1" shrinkToFit="1"/>
      <protection/>
    </xf>
    <xf numFmtId="0" fontId="24" fillId="0" borderId="52" xfId="95" applyFont="1" applyBorder="1" applyAlignment="1">
      <alignment horizontal="left" vertical="center" wrapText="1" shrinkToFit="1"/>
      <protection/>
    </xf>
    <xf numFmtId="0" fontId="24" fillId="0" borderId="45" xfId="95" applyFont="1" applyBorder="1" applyAlignment="1">
      <alignment horizontal="left" vertical="center" wrapText="1" shrinkToFit="1"/>
      <protection/>
    </xf>
    <xf numFmtId="0" fontId="106" fillId="0" borderId="35" xfId="95" applyFont="1" applyBorder="1" applyAlignment="1">
      <alignment horizontal="center" vertical="center" wrapText="1" shrinkToFit="1"/>
      <protection/>
    </xf>
    <xf numFmtId="0" fontId="106" fillId="0" borderId="22" xfId="95" applyFont="1" applyBorder="1" applyAlignment="1">
      <alignment horizontal="center" vertical="center" wrapText="1" shrinkToFit="1"/>
      <protection/>
    </xf>
    <xf numFmtId="0" fontId="106" fillId="0" borderId="27" xfId="95" applyFont="1" applyBorder="1" applyAlignment="1">
      <alignment horizontal="center" vertical="center" wrapText="1" shrinkToFit="1"/>
      <protection/>
    </xf>
    <xf numFmtId="0" fontId="24" fillId="0" borderId="0" xfId="0" applyFont="1" applyBorder="1" applyAlignment="1">
      <alignment horizontal="right" vertical="center"/>
    </xf>
    <xf numFmtId="0" fontId="72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144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33" xfId="93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right" vertical="center" wrapText="1"/>
    </xf>
    <xf numFmtId="0" fontId="24" fillId="0" borderId="33" xfId="93" applyFont="1" applyBorder="1" applyAlignment="1">
      <alignment horizontal="right"/>
      <protection/>
    </xf>
    <xf numFmtId="0" fontId="24" fillId="0" borderId="33" xfId="93" applyFont="1" applyBorder="1" applyAlignment="1">
      <alignment horizontal="center" vertical="center"/>
      <protection/>
    </xf>
    <xf numFmtId="0" fontId="24" fillId="0" borderId="33" xfId="93" applyFont="1" applyBorder="1" applyAlignment="1">
      <alignment horizontal="left" vertical="center" wrapText="1"/>
      <protection/>
    </xf>
    <xf numFmtId="3" fontId="24" fillId="0" borderId="109" xfId="93" applyNumberFormat="1" applyFont="1" applyBorder="1" applyAlignment="1">
      <alignment horizontal="right"/>
      <protection/>
    </xf>
    <xf numFmtId="3" fontId="24" fillId="0" borderId="171" xfId="93" applyNumberFormat="1" applyFont="1" applyBorder="1" applyAlignment="1">
      <alignment horizontal="right"/>
      <protection/>
    </xf>
  </cellXfs>
  <cellStyles count="9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ál_2009.évi 2" xfId="93"/>
    <cellStyle name="Normal_KARSZJ3" xfId="94"/>
    <cellStyle name="Normál_Munka1" xfId="95"/>
    <cellStyle name="Normál_végső rend. képv.mód-sal" xfId="96"/>
    <cellStyle name="Normál_végső rend. képv.mód-sal 2" xfId="97"/>
    <cellStyle name="Összesen" xfId="98"/>
    <cellStyle name="Összesen 2" xfId="99"/>
    <cellStyle name="Currency" xfId="100"/>
    <cellStyle name="Currency [0]" xfId="101"/>
    <cellStyle name="Rossz" xfId="102"/>
    <cellStyle name="Rossz 2" xfId="103"/>
    <cellStyle name="Semleges" xfId="104"/>
    <cellStyle name="Semleges 2" xfId="105"/>
    <cellStyle name="Számítás" xfId="106"/>
    <cellStyle name="Számítás 2" xfId="107"/>
    <cellStyle name="Percen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10</xdr:col>
      <xdr:colOff>485775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181350" y="38100"/>
          <a:ext cx="67341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a 3/2018. (II.15.)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2018.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95250</xdr:rowOff>
    </xdr:from>
    <xdr:to>
      <xdr:col>3</xdr:col>
      <xdr:colOff>561975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47800" y="276225"/>
          <a:ext cx="4267200" cy="4476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</a:t>
          </a:r>
          <a:r>
            <a:rPr lang="en-US" cap="none" sz="700" b="0" i="0" u="none" baseline="0">
              <a:solidFill>
                <a:srgbClr val="000000"/>
              </a:solidFill>
            </a:rPr>
            <a:t>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2018. ÉVI KÖLTSÉGVETÉSÉNEK
</a:t>
          </a:r>
          <a:r>
            <a:rPr lang="en-US" cap="none" sz="700" b="1" i="0" u="none" baseline="0">
              <a:solidFill>
                <a:srgbClr val="000000"/>
              </a:solidFill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0</xdr:row>
      <xdr:rowOff>85725</xdr:rowOff>
    </xdr:from>
    <xdr:to>
      <xdr:col>4</xdr:col>
      <xdr:colOff>5648325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009900" y="85725"/>
          <a:ext cx="46196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3.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2018.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</xdr:row>
      <xdr:rowOff>0</xdr:rowOff>
    </xdr:from>
    <xdr:to>
      <xdr:col>9</xdr:col>
      <xdr:colOff>485775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047875" y="200025"/>
          <a:ext cx="6096000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 AZ ÖNKORMÁNYZAT ÁLTAL IRÁNYÍTOTT KÖLTSÉGVETÉSI SZERVEK  2018.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2476500</xdr:colOff>
      <xdr:row>0</xdr:row>
      <xdr:rowOff>57150</xdr:rowOff>
    </xdr:from>
    <xdr:to>
      <xdr:col>13</xdr:col>
      <xdr:colOff>47625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467100" y="57150"/>
          <a:ext cx="6210300" cy="390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2018. ÉVI KÖLTSÉGVETÉSI KIADÁSOK
</a:t>
          </a:r>
          <a:r>
            <a:rPr lang="en-US" cap="none" sz="7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2</xdr:col>
      <xdr:colOff>4924425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61925"/>
          <a:ext cx="475297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 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123825</xdr:rowOff>
    </xdr:from>
    <xdr:to>
      <xdr:col>10</xdr:col>
      <xdr:colOff>247650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923925" y="123825"/>
          <a:ext cx="10067925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  melléklet a 3/2018. (II.15.) 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KISKŐRÖS VÁROS 2017. ÉVI EURÓPAI UNIÓS FORRÁSBÓL FINANSZÍROZOTT TÁMOGATÁSSAL MEGVALÓSULÓ TERVEZETT PROGRAMJAI, PROJEKTJEI, ILLETVE ILYEN PROJEKTEKHEZ TÖRTÉNŐ HOZZÁJÁRULÁSAI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nareva.KISKOROSPH\Documents\2018\k&#246;lts&#233;gvet&#233;s\el&#337;terjeszt&#233;s\2018%20ktg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"/>
      <sheetName val="2.mell"/>
      <sheetName val="3.mell"/>
      <sheetName val="4.mell "/>
      <sheetName val="5.mell"/>
      <sheetName val="6.mell"/>
      <sheetName val="7.mell"/>
      <sheetName val="8.mell"/>
      <sheetName val="9 több év"/>
      <sheetName val="10.mell.2018"/>
      <sheetName val="1.kim"/>
      <sheetName val="2.kim"/>
      <sheetName val="3.kim"/>
    </sheetNames>
    <sheetDataSet>
      <sheetData sheetId="2">
        <row r="51">
          <cell r="F51">
            <v>108824582</v>
          </cell>
        </row>
        <row r="60">
          <cell r="G60">
            <v>85963753</v>
          </cell>
        </row>
      </sheetData>
      <sheetData sheetId="3">
        <row r="12">
          <cell r="F12">
            <v>317895</v>
          </cell>
        </row>
      </sheetData>
      <sheetData sheetId="4">
        <row r="11">
          <cell r="Q11">
            <v>29057901</v>
          </cell>
        </row>
        <row r="62">
          <cell r="Q62">
            <v>9828573</v>
          </cell>
        </row>
        <row r="92">
          <cell r="Q92">
            <v>818717483</v>
          </cell>
        </row>
      </sheetData>
      <sheetData sheetId="5">
        <row r="19">
          <cell r="D19">
            <v>49771400</v>
          </cell>
        </row>
        <row r="32">
          <cell r="D32">
            <v>3449359</v>
          </cell>
        </row>
        <row r="33">
          <cell r="D33">
            <v>50000000</v>
          </cell>
        </row>
        <row r="50">
          <cell r="D50">
            <v>4365702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D13" sqref="D13"/>
    </sheetView>
  </sheetViews>
  <sheetFormatPr defaultColWidth="7.75390625" defaultRowHeight="12.75"/>
  <cols>
    <col min="1" max="1" width="3.125" style="261" customWidth="1"/>
    <col min="2" max="2" width="27.00390625" style="261" customWidth="1"/>
    <col min="3" max="3" width="11.25390625" style="261" customWidth="1"/>
    <col min="4" max="4" width="12.25390625" style="261" customWidth="1"/>
    <col min="5" max="5" width="11.25390625" style="261" customWidth="1"/>
    <col min="6" max="6" width="11.625" style="261" customWidth="1"/>
    <col min="7" max="7" width="11.375" style="261" customWidth="1"/>
    <col min="8" max="8" width="12.25390625" style="261" customWidth="1"/>
    <col min="9" max="9" width="11.375" style="261" customWidth="1"/>
    <col min="10" max="12" width="12.25390625" style="261" customWidth="1"/>
    <col min="13" max="13" width="12.125" style="261" customWidth="1"/>
    <col min="14" max="15" width="12.25390625" style="261" customWidth="1"/>
    <col min="16" max="16384" width="7.75390625" style="1" customWidth="1"/>
  </cols>
  <sheetData>
    <row r="1" spans="12:15" ht="12.75">
      <c r="L1" s="785" t="s">
        <v>427</v>
      </c>
      <c r="M1" s="785"/>
      <c r="N1" s="785"/>
      <c r="O1" s="785"/>
    </row>
    <row r="3" spans="12:15" ht="13.5" customHeight="1" thickBot="1">
      <c r="L3" s="262"/>
      <c r="O3" s="263" t="s">
        <v>364</v>
      </c>
    </row>
    <row r="4" spans="1:15" ht="17.25" customHeight="1" thickBot="1">
      <c r="A4" s="786" t="s">
        <v>1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8"/>
    </row>
    <row r="5" spans="1:15" s="2" customFormat="1" ht="12.75">
      <c r="A5" s="287"/>
      <c r="B5" s="264"/>
      <c r="C5" s="288" t="s">
        <v>2</v>
      </c>
      <c r="D5" s="288" t="s">
        <v>3</v>
      </c>
      <c r="E5" s="288" t="s">
        <v>4</v>
      </c>
      <c r="F5" s="288" t="s">
        <v>5</v>
      </c>
      <c r="G5" s="288" t="s">
        <v>6</v>
      </c>
      <c r="H5" s="288" t="s">
        <v>7</v>
      </c>
      <c r="I5" s="288" t="s">
        <v>8</v>
      </c>
      <c r="J5" s="288" t="s">
        <v>9</v>
      </c>
      <c r="K5" s="288" t="s">
        <v>10</v>
      </c>
      <c r="L5" s="288" t="s">
        <v>11</v>
      </c>
      <c r="M5" s="288" t="s">
        <v>12</v>
      </c>
      <c r="N5" s="288" t="s">
        <v>13</v>
      </c>
      <c r="O5" s="323" t="s">
        <v>14</v>
      </c>
    </row>
    <row r="6" spans="1:16" ht="27" customHeight="1">
      <c r="A6" s="289" t="s">
        <v>15</v>
      </c>
      <c r="B6" s="265" t="s">
        <v>134</v>
      </c>
      <c r="C6" s="290">
        <v>10625000</v>
      </c>
      <c r="D6" s="290">
        <v>10625000</v>
      </c>
      <c r="E6" s="290">
        <f>1328000+350000+10625000+160000</f>
        <v>12463000</v>
      </c>
      <c r="F6" s="290">
        <v>10625000</v>
      </c>
      <c r="G6" s="290">
        <v>10625000</v>
      </c>
      <c r="H6" s="290">
        <f>1328000+350000+10625000+480000</f>
        <v>12783000</v>
      </c>
      <c r="I6" s="290">
        <f>10625000+1163227+255000</f>
        <v>12043227</v>
      </c>
      <c r="J6" s="290">
        <v>10625000</v>
      </c>
      <c r="K6" s="290">
        <f>1328000+350000+10625000+480000</f>
        <v>12783000</v>
      </c>
      <c r="L6" s="290">
        <v>10625000</v>
      </c>
      <c r="M6" s="290">
        <f>10625000+489132</f>
        <v>11114132</v>
      </c>
      <c r="N6" s="290">
        <f>1328000+350000+10625000+2562+480000+900000</f>
        <v>13685562</v>
      </c>
      <c r="O6" s="291">
        <f>'2.mell'!C12+'2.mell'!D12</f>
        <v>138621921</v>
      </c>
      <c r="P6" s="125"/>
    </row>
    <row r="7" spans="1:16" ht="25.5" customHeight="1">
      <c r="A7" s="292" t="s">
        <v>16</v>
      </c>
      <c r="B7" s="266" t="s">
        <v>239</v>
      </c>
      <c r="C7" s="293">
        <f>58167000+1370800</f>
        <v>59537800</v>
      </c>
      <c r="D7" s="293">
        <v>58167000</v>
      </c>
      <c r="E7" s="293">
        <f>270000+58167000</f>
        <v>58437000</v>
      </c>
      <c r="F7" s="293">
        <f>3896422+58167000</f>
        <v>62063422</v>
      </c>
      <c r="G7" s="293">
        <f>39972629+5000000+58167000</f>
        <v>103139629</v>
      </c>
      <c r="H7" s="293">
        <f>270000+58167000</f>
        <v>58437000</v>
      </c>
      <c r="I7" s="293">
        <f>58167000+999534</f>
        <v>59166534</v>
      </c>
      <c r="J7" s="293">
        <v>58167000</v>
      </c>
      <c r="K7" s="293">
        <f>270000+50000000+58167000+2000000+300000</f>
        <v>110737000</v>
      </c>
      <c r="L7" s="293">
        <f>58167000+50808156+8000000</f>
        <v>116975156</v>
      </c>
      <c r="M7" s="293">
        <f>58167000+3546588+8000000+1443388</f>
        <v>71156976</v>
      </c>
      <c r="N7" s="293">
        <f>270000+12000000+58341074+8755042</f>
        <v>79366116</v>
      </c>
      <c r="O7" s="294">
        <f>'2.mell'!E15</f>
        <v>895350633</v>
      </c>
      <c r="P7" s="125"/>
    </row>
    <row r="8" spans="1:16" ht="24" customHeight="1">
      <c r="A8" s="292" t="s">
        <v>17</v>
      </c>
      <c r="B8" s="267" t="s">
        <v>240</v>
      </c>
      <c r="C8" s="290"/>
      <c r="D8" s="290"/>
      <c r="E8" s="290"/>
      <c r="F8" s="290"/>
      <c r="G8" s="290">
        <v>60000000</v>
      </c>
      <c r="H8" s="290"/>
      <c r="I8" s="290">
        <v>30000000</v>
      </c>
      <c r="J8" s="290"/>
      <c r="K8" s="290">
        <v>60000000</v>
      </c>
      <c r="L8" s="290">
        <v>100000000</v>
      </c>
      <c r="M8" s="290">
        <f>50000000+387965537+324377</f>
        <v>438289914</v>
      </c>
      <c r="N8" s="293">
        <f>297770764-8105+102584000</f>
        <v>400346659</v>
      </c>
      <c r="O8" s="294">
        <f>'2.mell'!E16</f>
        <v>1088636573</v>
      </c>
      <c r="P8" s="125"/>
    </row>
    <row r="9" spans="1:16" ht="12.75">
      <c r="A9" s="292" t="s">
        <v>18</v>
      </c>
      <c r="B9" s="266" t="s">
        <v>120</v>
      </c>
      <c r="C9" s="293">
        <v>120000</v>
      </c>
      <c r="D9" s="293">
        <v>130000</v>
      </c>
      <c r="E9" s="293">
        <v>120000</v>
      </c>
      <c r="F9" s="293">
        <v>250000000</v>
      </c>
      <c r="G9" s="293">
        <v>120000</v>
      </c>
      <c r="H9" s="293">
        <v>120000</v>
      </c>
      <c r="I9" s="293">
        <v>120000</v>
      </c>
      <c r="J9" s="293">
        <v>120000</v>
      </c>
      <c r="K9" s="293">
        <v>400000000</v>
      </c>
      <c r="L9" s="293">
        <v>125000</v>
      </c>
      <c r="M9" s="293">
        <f>125000+200000</f>
        <v>325000</v>
      </c>
      <c r="N9" s="293">
        <v>70100000</v>
      </c>
      <c r="O9" s="294">
        <f>'2.mell'!E17</f>
        <v>721400000</v>
      </c>
      <c r="P9" s="125"/>
    </row>
    <row r="10" spans="1:16" ht="12.75">
      <c r="A10" s="292" t="s">
        <v>19</v>
      </c>
      <c r="B10" s="266" t="s">
        <v>241</v>
      </c>
      <c r="C10" s="293">
        <f>2500000+6000000</f>
        <v>8500000</v>
      </c>
      <c r="D10" s="293">
        <f>2500000+6000000</f>
        <v>8500000</v>
      </c>
      <c r="E10" s="293">
        <f>2500000+5000000</f>
        <v>7500000</v>
      </c>
      <c r="F10" s="293">
        <f>2500000+6000000</f>
        <v>8500000</v>
      </c>
      <c r="G10" s="293">
        <f>2500000+6000000</f>
        <v>8500000</v>
      </c>
      <c r="H10" s="293">
        <f>2500000+6000000</f>
        <v>8500000</v>
      </c>
      <c r="I10" s="293">
        <v>6000000</v>
      </c>
      <c r="J10" s="293">
        <v>6000000</v>
      </c>
      <c r="K10" s="293">
        <f>2500000+6000000+110000</f>
        <v>8610000</v>
      </c>
      <c r="L10" s="293">
        <f>2500000+6000000+20000000+110000</f>
        <v>28610000</v>
      </c>
      <c r="M10" s="293">
        <f>2500000+6000000+40000000+110000-895290</f>
        <v>47714710</v>
      </c>
      <c r="N10" s="293">
        <f>2500000+7000000+15698955+1833558+112019+1+1773001</f>
        <v>28917534</v>
      </c>
      <c r="O10" s="294">
        <f>'2.mell'!E18</f>
        <v>175852244</v>
      </c>
      <c r="P10" s="125"/>
    </row>
    <row r="11" spans="1:16" ht="13.5" customHeight="1">
      <c r="A11" s="292" t="s">
        <v>20</v>
      </c>
      <c r="B11" s="266" t="s">
        <v>242</v>
      </c>
      <c r="C11" s="293"/>
      <c r="D11" s="293"/>
      <c r="E11" s="293"/>
      <c r="F11" s="293"/>
      <c r="G11" s="293"/>
      <c r="H11" s="293"/>
      <c r="I11" s="293">
        <v>51000000</v>
      </c>
      <c r="J11" s="293"/>
      <c r="K11" s="293"/>
      <c r="L11" s="293"/>
      <c r="M11" s="293"/>
      <c r="N11" s="293">
        <v>2191012</v>
      </c>
      <c r="O11" s="294">
        <f>'2.mell'!E19</f>
        <v>53191012</v>
      </c>
      <c r="P11" s="125"/>
    </row>
    <row r="12" spans="1:16" ht="25.5">
      <c r="A12" s="292" t="s">
        <v>21</v>
      </c>
      <c r="B12" s="266" t="s">
        <v>238</v>
      </c>
      <c r="C12" s="293"/>
      <c r="D12" s="293"/>
      <c r="E12" s="293"/>
      <c r="F12" s="293"/>
      <c r="G12" s="293"/>
      <c r="H12" s="293"/>
      <c r="I12" s="293">
        <v>21072860</v>
      </c>
      <c r="J12" s="293"/>
      <c r="K12" s="293"/>
      <c r="L12" s="293"/>
      <c r="M12" s="293">
        <v>612000</v>
      </c>
      <c r="N12" s="293">
        <v>1000000</v>
      </c>
      <c r="O12" s="294">
        <f>'2.mell'!E20</f>
        <v>22684860</v>
      </c>
      <c r="P12" s="125"/>
    </row>
    <row r="13" spans="1:16" ht="27" customHeight="1">
      <c r="A13" s="292" t="s">
        <v>22</v>
      </c>
      <c r="B13" s="266" t="s">
        <v>237</v>
      </c>
      <c r="C13" s="293"/>
      <c r="D13" s="293"/>
      <c r="E13" s="293">
        <v>450000</v>
      </c>
      <c r="F13" s="293"/>
      <c r="G13" s="293"/>
      <c r="H13" s="293">
        <v>450000</v>
      </c>
      <c r="I13" s="293"/>
      <c r="J13" s="293"/>
      <c r="K13" s="293">
        <v>450000</v>
      </c>
      <c r="L13" s="293"/>
      <c r="M13" s="293"/>
      <c r="N13" s="293">
        <v>450000</v>
      </c>
      <c r="O13" s="294">
        <f>'2.mell'!E21</f>
        <v>1800000</v>
      </c>
      <c r="P13" s="125"/>
    </row>
    <row r="14" spans="1:16" ht="13.5" thickBot="1">
      <c r="A14" s="292" t="s">
        <v>23</v>
      </c>
      <c r="B14" s="266" t="s">
        <v>179</v>
      </c>
      <c r="C14" s="293">
        <v>300000000</v>
      </c>
      <c r="D14" s="293">
        <v>1000000000</v>
      </c>
      <c r="E14" s="293">
        <v>450000000</v>
      </c>
      <c r="F14" s="293"/>
      <c r="G14" s="293">
        <v>420000000</v>
      </c>
      <c r="H14" s="293"/>
      <c r="I14" s="293">
        <v>500000000</v>
      </c>
      <c r="J14" s="293">
        <v>500000000</v>
      </c>
      <c r="K14" s="293">
        <v>500000000</v>
      </c>
      <c r="L14" s="293">
        <v>500000000</v>
      </c>
      <c r="M14" s="293">
        <v>500000000</v>
      </c>
      <c r="N14" s="293">
        <f>1143114558-5000000-3000000-2427041</f>
        <v>1132687517</v>
      </c>
      <c r="O14" s="294">
        <f>'2.mell'!E26+'2.mell'!E27+'2.mell'!E28</f>
        <v>5802687517</v>
      </c>
      <c r="P14" s="125"/>
    </row>
    <row r="15" spans="1:16" s="3" customFormat="1" ht="14.25" thickBot="1" thickTop="1">
      <c r="A15" s="789" t="s">
        <v>14</v>
      </c>
      <c r="B15" s="790"/>
      <c r="C15" s="295">
        <f>SUM(C6:C14)</f>
        <v>378782800</v>
      </c>
      <c r="D15" s="295">
        <f aca="true" t="shared" si="0" ref="D15:N15">SUM(D6:D14)</f>
        <v>1077422000</v>
      </c>
      <c r="E15" s="295">
        <f t="shared" si="0"/>
        <v>528970000</v>
      </c>
      <c r="F15" s="295">
        <f t="shared" si="0"/>
        <v>331188422</v>
      </c>
      <c r="G15" s="295">
        <f>SUM(G6:G14)</f>
        <v>602384629</v>
      </c>
      <c r="H15" s="295">
        <f t="shared" si="0"/>
        <v>80290000</v>
      </c>
      <c r="I15" s="295">
        <f t="shared" si="0"/>
        <v>679402621</v>
      </c>
      <c r="J15" s="295">
        <f t="shared" si="0"/>
        <v>574912000</v>
      </c>
      <c r="K15" s="295">
        <f t="shared" si="0"/>
        <v>1092580000</v>
      </c>
      <c r="L15" s="295">
        <f t="shared" si="0"/>
        <v>756335156</v>
      </c>
      <c r="M15" s="295">
        <f t="shared" si="0"/>
        <v>1069212732</v>
      </c>
      <c r="N15" s="295">
        <f t="shared" si="0"/>
        <v>1728744400</v>
      </c>
      <c r="O15" s="296">
        <f>SUM(O6:O14)</f>
        <v>8900224760</v>
      </c>
      <c r="P15" s="125"/>
    </row>
    <row r="16" spans="1:16" ht="7.5" customHeight="1" thickBot="1" thickTop="1">
      <c r="A16" s="297"/>
      <c r="B16" s="268"/>
      <c r="C16" s="269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1"/>
      <c r="P16" s="125"/>
    </row>
    <row r="17" spans="1:16" ht="3.7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3"/>
      <c r="P17" s="125"/>
    </row>
    <row r="18" spans="1:16" ht="7.5" customHeight="1" thickBo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98" t="s">
        <v>72</v>
      </c>
      <c r="P18" s="125"/>
    </row>
    <row r="19" spans="1:16" ht="16.5" customHeight="1" thickBot="1">
      <c r="A19" s="786" t="s">
        <v>26</v>
      </c>
      <c r="B19" s="787"/>
      <c r="C19" s="787"/>
      <c r="D19" s="787"/>
      <c r="E19" s="787"/>
      <c r="F19" s="787"/>
      <c r="G19" s="787"/>
      <c r="H19" s="787"/>
      <c r="I19" s="787"/>
      <c r="J19" s="787"/>
      <c r="K19" s="787"/>
      <c r="L19" s="787"/>
      <c r="M19" s="787"/>
      <c r="N19" s="787"/>
      <c r="O19" s="788"/>
      <c r="P19" s="125"/>
    </row>
    <row r="20" spans="1:16" s="2" customFormat="1" ht="12.75">
      <c r="A20" s="287"/>
      <c r="B20" s="264"/>
      <c r="C20" s="299" t="s">
        <v>2</v>
      </c>
      <c r="D20" s="299" t="s">
        <v>3</v>
      </c>
      <c r="E20" s="299" t="s">
        <v>4</v>
      </c>
      <c r="F20" s="299" t="s">
        <v>5</v>
      </c>
      <c r="G20" s="299" t="s">
        <v>6</v>
      </c>
      <c r="H20" s="299" t="s">
        <v>7</v>
      </c>
      <c r="I20" s="299" t="s">
        <v>8</v>
      </c>
      <c r="J20" s="299" t="s">
        <v>9</v>
      </c>
      <c r="K20" s="299" t="s">
        <v>10</v>
      </c>
      <c r="L20" s="299" t="s">
        <v>11</v>
      </c>
      <c r="M20" s="299" t="s">
        <v>12</v>
      </c>
      <c r="N20" s="299" t="s">
        <v>13</v>
      </c>
      <c r="O20" s="324" t="s">
        <v>14</v>
      </c>
      <c r="P20" s="125"/>
    </row>
    <row r="21" spans="1:16" ht="5.25" customHeight="1">
      <c r="A21" s="274"/>
      <c r="B21" s="272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  <c r="P21" s="125"/>
    </row>
    <row r="22" spans="1:16" ht="12.75">
      <c r="A22" s="300" t="s">
        <v>15</v>
      </c>
      <c r="B22" s="277" t="s">
        <v>27</v>
      </c>
      <c r="C22" s="290">
        <f>63670000+500000+176000</f>
        <v>64346000</v>
      </c>
      <c r="D22" s="290">
        <f>63670000+1147113+500000+176000</f>
        <v>65493113</v>
      </c>
      <c r="E22" s="290">
        <f>63670000+500000+176000</f>
        <v>64346000</v>
      </c>
      <c r="F22" s="290">
        <f>2840800+2000000+63670000+500000+176000</f>
        <v>69186800</v>
      </c>
      <c r="G22" s="290">
        <f>63670000+500000+176000</f>
        <v>64346000</v>
      </c>
      <c r="H22" s="290">
        <f>1668000+63670000+500000+179888-1584837</f>
        <v>64433051</v>
      </c>
      <c r="I22" s="290">
        <f>1000000+63670000</f>
        <v>64670000</v>
      </c>
      <c r="J22" s="290">
        <f>63670000+1000000</f>
        <v>64670000</v>
      </c>
      <c r="K22" s="290">
        <f>2000000+63670000+1000000+1000000+690000+665000+510000</f>
        <v>69535000</v>
      </c>
      <c r="L22" s="290">
        <f>2000000+63670000+500000+665000+510000+8000000</f>
        <v>75345000</v>
      </c>
      <c r="M22" s="290">
        <f>63670000+500000+665000+510000</f>
        <v>65345000</v>
      </c>
      <c r="N22" s="290">
        <f>63827951+500000+655000+5266696+665000+510767+8093469-722000</f>
        <v>78796883</v>
      </c>
      <c r="O22" s="291">
        <f>'2.mell'!E35</f>
        <v>810512847</v>
      </c>
      <c r="P22" s="125"/>
    </row>
    <row r="23" spans="1:16" ht="25.5">
      <c r="A23" s="292" t="s">
        <v>16</v>
      </c>
      <c r="B23" s="278" t="s">
        <v>138</v>
      </c>
      <c r="C23" s="293">
        <f>14207000+17000</f>
        <v>14224000</v>
      </c>
      <c r="D23" s="293">
        <f>12740000+423687+17000</f>
        <v>13180687</v>
      </c>
      <c r="E23" s="293">
        <f>12940000+17000</f>
        <v>12957000</v>
      </c>
      <c r="F23" s="293">
        <f>586422+390000+12940000+17000</f>
        <v>13933422</v>
      </c>
      <c r="G23" s="293">
        <f>12940000+17000</f>
        <v>12957000</v>
      </c>
      <c r="H23" s="293">
        <f>525000+12740000+18339-1437763</f>
        <v>11845576</v>
      </c>
      <c r="I23" s="293">
        <f>460000+12740000</f>
        <v>13200000</v>
      </c>
      <c r="J23" s="293">
        <v>12940000</v>
      </c>
      <c r="K23" s="293">
        <f>590000+12740000+546588+134550+129000</f>
        <v>14140138</v>
      </c>
      <c r="L23" s="293">
        <f>590000+12740000+129000+1500000</f>
        <v>14959000</v>
      </c>
      <c r="M23" s="293">
        <f>12940000+129000</f>
        <v>13069000</v>
      </c>
      <c r="N23" s="293">
        <f>12745487+365601+4900843+129000+124975+1999521-140790</f>
        <v>20124637</v>
      </c>
      <c r="O23" s="294">
        <f>'2.mell'!E36</f>
        <v>167530460</v>
      </c>
      <c r="P23" s="125"/>
    </row>
    <row r="24" spans="1:16" ht="12.75">
      <c r="A24" s="292" t="s">
        <v>17</v>
      </c>
      <c r="B24" s="279" t="s">
        <v>28</v>
      </c>
      <c r="C24" s="293">
        <f>15000000+5000000+12780000+62990000</f>
        <v>95770000</v>
      </c>
      <c r="D24" s="293">
        <f>20251000+4000000+12780000+62990000</f>
        <v>100021000</v>
      </c>
      <c r="E24" s="293">
        <f>10000000+12780000+62990000+19133858</f>
        <v>104903858</v>
      </c>
      <c r="F24" s="293">
        <f>469200+20000000+12780000+62990000</f>
        <v>96239200</v>
      </c>
      <c r="G24" s="293">
        <f>12780000+62990000</f>
        <v>75770000</v>
      </c>
      <c r="H24" s="293">
        <f>10000000+12780000+62990000</f>
        <v>85770000</v>
      </c>
      <c r="I24" s="293">
        <f>12780000+62990000</f>
        <v>75770000</v>
      </c>
      <c r="J24" s="293">
        <f>12780000+62990000</f>
        <v>75770000</v>
      </c>
      <c r="K24" s="293">
        <f>20000000+10000000+12780000+62990000-13017400+6857102+110000</f>
        <v>99719702</v>
      </c>
      <c r="L24" s="293">
        <f>12780000+62990000+6969461+110000</f>
        <v>82849461</v>
      </c>
      <c r="M24" s="293">
        <f>4000000+12780000+62990000+2000000+20000000+110000</f>
        <v>101880000</v>
      </c>
      <c r="N24" s="293">
        <f>10000000+4000000+12780000+62997284+300000-5000000+300000+20332814+26836859+112019+1+27883255+1500020</f>
        <v>162042252</v>
      </c>
      <c r="O24" s="294">
        <f>'2.mell'!E37</f>
        <v>1156505473</v>
      </c>
      <c r="P24" s="125"/>
    </row>
    <row r="25" spans="1:16" ht="12.75">
      <c r="A25" s="301" t="s">
        <v>18</v>
      </c>
      <c r="B25" s="280" t="s">
        <v>73</v>
      </c>
      <c r="C25" s="290">
        <v>706670</v>
      </c>
      <c r="D25" s="290">
        <v>706670</v>
      </c>
      <c r="E25" s="290">
        <v>706670</v>
      </c>
      <c r="F25" s="290">
        <v>706670</v>
      </c>
      <c r="G25" s="290">
        <v>706670</v>
      </c>
      <c r="H25" s="290">
        <v>706670</v>
      </c>
      <c r="I25" s="290">
        <v>706670</v>
      </c>
      <c r="J25" s="290">
        <v>706670</v>
      </c>
      <c r="K25" s="290">
        <f>706660+300000</f>
        <v>1006660</v>
      </c>
      <c r="L25" s="290">
        <v>706660</v>
      </c>
      <c r="M25" s="290">
        <v>706660</v>
      </c>
      <c r="N25" s="290">
        <v>2706660</v>
      </c>
      <c r="O25" s="291">
        <f>'2.mell'!C38</f>
        <v>10780000</v>
      </c>
      <c r="P25" s="125"/>
    </row>
    <row r="26" spans="1:16" ht="13.5" customHeight="1">
      <c r="A26" s="301" t="s">
        <v>19</v>
      </c>
      <c r="B26" s="281" t="s">
        <v>105</v>
      </c>
      <c r="C26" s="290">
        <v>16861000</v>
      </c>
      <c r="D26" s="290">
        <v>16861000</v>
      </c>
      <c r="E26" s="290">
        <f>530000+800000+16861000</f>
        <v>18191000</v>
      </c>
      <c r="F26" s="290">
        <f>500000+16861000+400000</f>
        <v>17761000</v>
      </c>
      <c r="G26" s="290">
        <f>39972629+16861000+4000000</f>
        <v>60833629</v>
      </c>
      <c r="H26" s="290">
        <f>530000+16861000+1000000</f>
        <v>18391000</v>
      </c>
      <c r="I26" s="290">
        <f>750000+16861000+800000</f>
        <v>18411000</v>
      </c>
      <c r="J26" s="290">
        <f>400000+16861000+500000</f>
        <v>17761000</v>
      </c>
      <c r="K26" s="290">
        <f>690000+16861000+4000000</f>
        <v>21551000</v>
      </c>
      <c r="L26" s="290">
        <f>500000+16861000+2000000</f>
        <v>19361000</v>
      </c>
      <c r="M26" s="290">
        <f>650000+16863743+2000000+30000000-20336202</f>
        <v>29177541</v>
      </c>
      <c r="N26" s="290">
        <f>16861000+590000+2000000+940000-100000+17912000</f>
        <v>38203000</v>
      </c>
      <c r="O26" s="291">
        <f>'2.mell'!C39</f>
        <v>293363170</v>
      </c>
      <c r="P26" s="125"/>
    </row>
    <row r="27" spans="1:16" ht="14.25" customHeight="1">
      <c r="A27" s="301" t="s">
        <v>20</v>
      </c>
      <c r="B27" s="282" t="s">
        <v>38</v>
      </c>
      <c r="C27" s="290">
        <v>50000000</v>
      </c>
      <c r="D27" s="290">
        <f>360000000+158173547</f>
        <v>518173547</v>
      </c>
      <c r="E27" s="290">
        <f>300000000-55367083</f>
        <v>244632917</v>
      </c>
      <c r="F27" s="290">
        <v>80000000</v>
      </c>
      <c r="G27" s="290">
        <v>340000000</v>
      </c>
      <c r="H27" s="290">
        <f>50000000-6178740</f>
        <v>43821260</v>
      </c>
      <c r="I27" s="290">
        <v>20000000</v>
      </c>
      <c r="J27" s="290">
        <v>20000000</v>
      </c>
      <c r="K27" s="290">
        <v>306000000</v>
      </c>
      <c r="L27" s="290">
        <v>2500000</v>
      </c>
      <c r="M27" s="290">
        <f>20000000+282715522+10000000+18948202</f>
        <v>331663724</v>
      </c>
      <c r="N27" s="290">
        <f>829000000+5473641-3000000-190010601-8105+34490800+75749940+20182645-144558-3000000+88468798+724377</f>
        <v>857926937</v>
      </c>
      <c r="O27" s="291">
        <f>'2.mell'!D42</f>
        <v>2814718385</v>
      </c>
      <c r="P27" s="125"/>
    </row>
    <row r="28" spans="1:16" ht="12.75">
      <c r="A28" s="301" t="s">
        <v>21</v>
      </c>
      <c r="B28" s="283" t="s">
        <v>39</v>
      </c>
      <c r="C28" s="302">
        <v>1500000</v>
      </c>
      <c r="D28" s="293">
        <v>50000000</v>
      </c>
      <c r="E28" s="293"/>
      <c r="F28" s="293">
        <v>50000000</v>
      </c>
      <c r="G28" s="293">
        <v>50000000</v>
      </c>
      <c r="H28" s="293">
        <v>6178740</v>
      </c>
      <c r="I28" s="293"/>
      <c r="J28" s="293"/>
      <c r="K28" s="293">
        <v>70000000</v>
      </c>
      <c r="L28" s="293"/>
      <c r="M28" s="293">
        <v>6009200</v>
      </c>
      <c r="N28" s="293">
        <f>77649196-5473641+508442+144558-4833000</f>
        <v>67995555</v>
      </c>
      <c r="O28" s="294">
        <f>'2.mell'!D43</f>
        <v>301683495</v>
      </c>
      <c r="P28" s="125"/>
    </row>
    <row r="29" spans="1:16" ht="12.75">
      <c r="A29" s="301" t="s">
        <v>22</v>
      </c>
      <c r="B29" s="284" t="s">
        <v>54</v>
      </c>
      <c r="C29" s="302"/>
      <c r="D29" s="293">
        <v>60000000</v>
      </c>
      <c r="E29" s="293">
        <f>10627500+36233225</f>
        <v>46860725</v>
      </c>
      <c r="F29" s="293">
        <v>1200000</v>
      </c>
      <c r="G29" s="293">
        <v>61200000</v>
      </c>
      <c r="H29" s="293">
        <f>10627500</f>
        <v>10627500</v>
      </c>
      <c r="I29" s="293">
        <v>20000000</v>
      </c>
      <c r="J29" s="293">
        <v>20000000</v>
      </c>
      <c r="K29" s="293">
        <f>10627500</f>
        <v>10627500</v>
      </c>
      <c r="L29" s="293">
        <f>62114035+1000000</f>
        <v>63114035</v>
      </c>
      <c r="M29" s="293">
        <v>20000000</v>
      </c>
      <c r="N29" s="293">
        <f>10627500+3000000</f>
        <v>13627500</v>
      </c>
      <c r="O29" s="294">
        <f>'2.mell'!D44</f>
        <v>327257260</v>
      </c>
      <c r="P29" s="125"/>
    </row>
    <row r="30" spans="1:16" ht="14.25" customHeight="1" thickBot="1">
      <c r="A30" s="303" t="s">
        <v>23</v>
      </c>
      <c r="B30" s="285" t="s">
        <v>81</v>
      </c>
      <c r="C30" s="293"/>
      <c r="D30" s="293"/>
      <c r="E30" s="293"/>
      <c r="F30" s="293"/>
      <c r="G30" s="293"/>
      <c r="H30" s="293"/>
      <c r="I30" s="293">
        <v>500000000</v>
      </c>
      <c r="J30" s="293">
        <v>500000000</v>
      </c>
      <c r="K30" s="293">
        <v>500000000</v>
      </c>
      <c r="L30" s="293">
        <v>500000000</v>
      </c>
      <c r="M30" s="293">
        <v>500000000</v>
      </c>
      <c r="N30" s="293">
        <v>517873670</v>
      </c>
      <c r="O30" s="304">
        <f>'2.mell'!E48</f>
        <v>3017873670</v>
      </c>
      <c r="P30" s="125"/>
    </row>
    <row r="31" spans="1:16" ht="14.25" thickBot="1" thickTop="1">
      <c r="A31" s="783" t="s">
        <v>14</v>
      </c>
      <c r="B31" s="784"/>
      <c r="C31" s="305">
        <f>SUM(C22:C30)</f>
        <v>243407670</v>
      </c>
      <c r="D31" s="305">
        <f aca="true" t="shared" si="1" ref="D31:M31">SUM(D22:D30)</f>
        <v>824436017</v>
      </c>
      <c r="E31" s="305">
        <f t="shared" si="1"/>
        <v>492598170</v>
      </c>
      <c r="F31" s="305">
        <f t="shared" si="1"/>
        <v>329027092</v>
      </c>
      <c r="G31" s="305">
        <f t="shared" si="1"/>
        <v>665813299</v>
      </c>
      <c r="H31" s="305">
        <f>SUM(H22:H30)</f>
        <v>241773797</v>
      </c>
      <c r="I31" s="305">
        <f t="shared" si="1"/>
        <v>712757670</v>
      </c>
      <c r="J31" s="305">
        <f t="shared" si="1"/>
        <v>711847670</v>
      </c>
      <c r="K31" s="305">
        <f t="shared" si="1"/>
        <v>1092580000</v>
      </c>
      <c r="L31" s="305">
        <f>SUM(L22:L30)</f>
        <v>758835156</v>
      </c>
      <c r="M31" s="305">
        <f t="shared" si="1"/>
        <v>1067851125</v>
      </c>
      <c r="N31" s="305">
        <f>SUM(N22:N30)</f>
        <v>1759297094</v>
      </c>
      <c r="O31" s="306">
        <f>SUM(O22:O30)</f>
        <v>8900224760</v>
      </c>
      <c r="P31" s="125"/>
    </row>
    <row r="32" spans="1:15" ht="7.5" customHeight="1">
      <c r="A32" s="286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</row>
    <row r="34" spans="3:15" ht="12.75"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</row>
    <row r="35" spans="3:14" ht="12.75"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</row>
    <row r="38" spans="12:15" ht="12.75">
      <c r="L38" s="307"/>
      <c r="O38" s="307"/>
    </row>
    <row r="39" ht="12.75">
      <c r="O39" s="307"/>
    </row>
    <row r="40" ht="12.75">
      <c r="O40" s="307"/>
    </row>
  </sheetData>
  <sheetProtection/>
  <mergeCells count="5">
    <mergeCell ref="A31:B31"/>
    <mergeCell ref="L1:O1"/>
    <mergeCell ref="A4:O4"/>
    <mergeCell ref="A15:B15"/>
    <mergeCell ref="A19:O19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71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6">
      <selection activeCell="I49" sqref="I49"/>
    </sheetView>
  </sheetViews>
  <sheetFormatPr defaultColWidth="9.00390625" defaultRowHeight="12.75"/>
  <cols>
    <col min="1" max="1" width="4.125" style="193" customWidth="1"/>
    <col min="2" max="2" width="51.375" style="194" customWidth="1"/>
    <col min="3" max="3" width="12.125" style="259" customWidth="1"/>
    <col min="4" max="4" width="13.125" style="259" customWidth="1"/>
    <col min="5" max="5" width="13.125" style="260" customWidth="1"/>
    <col min="6" max="6" width="9.125" style="4" customWidth="1"/>
    <col min="7" max="7" width="10.375" style="458" customWidth="1"/>
    <col min="8" max="8" width="12.375" style="458" customWidth="1"/>
    <col min="9" max="9" width="13.625" style="458" customWidth="1"/>
    <col min="10" max="10" width="9.125" style="451" customWidth="1"/>
    <col min="11" max="16384" width="9.125" style="4" customWidth="1"/>
  </cols>
  <sheetData>
    <row r="1" spans="3:6" ht="12.75" customHeight="1">
      <c r="C1" s="802" t="s">
        <v>428</v>
      </c>
      <c r="D1" s="802"/>
      <c r="E1" s="802"/>
      <c r="F1" s="329"/>
    </row>
    <row r="6" spans="3:5" ht="16.5" thickBot="1">
      <c r="C6" s="195"/>
      <c r="D6" s="195"/>
      <c r="E6" s="196" t="s">
        <v>365</v>
      </c>
    </row>
    <row r="7" spans="1:5" ht="5.25" customHeight="1">
      <c r="A7" s="197"/>
      <c r="B7" s="198"/>
      <c r="C7" s="199"/>
      <c r="D7" s="199"/>
      <c r="E7" s="200"/>
    </row>
    <row r="8" spans="1:10" s="5" customFormat="1" ht="15.75">
      <c r="A8" s="803" t="s">
        <v>29</v>
      </c>
      <c r="B8" s="804"/>
      <c r="C8" s="202" t="s">
        <v>30</v>
      </c>
      <c r="D8" s="202" t="s">
        <v>31</v>
      </c>
      <c r="E8" s="805" t="s">
        <v>32</v>
      </c>
      <c r="G8" s="458"/>
      <c r="H8" s="458"/>
      <c r="I8" s="458"/>
      <c r="J8" s="452"/>
    </row>
    <row r="9" spans="1:10" s="5" customFormat="1" ht="15.75">
      <c r="A9" s="803"/>
      <c r="B9" s="804"/>
      <c r="C9" s="202" t="s">
        <v>33</v>
      </c>
      <c r="D9" s="202" t="s">
        <v>33</v>
      </c>
      <c r="E9" s="805"/>
      <c r="G9" s="458"/>
      <c r="H9" s="458"/>
      <c r="I9" s="458"/>
      <c r="J9" s="452"/>
    </row>
    <row r="10" spans="1:5" ht="4.5" customHeight="1" thickBot="1">
      <c r="A10" s="203"/>
      <c r="B10" s="204"/>
      <c r="C10" s="205"/>
      <c r="D10" s="205"/>
      <c r="E10" s="206"/>
    </row>
    <row r="11" spans="1:5" ht="13.5" customHeight="1" thickBot="1">
      <c r="A11" s="797" t="s">
        <v>34</v>
      </c>
      <c r="B11" s="798"/>
      <c r="C11" s="798"/>
      <c r="D11" s="798"/>
      <c r="E11" s="799"/>
    </row>
    <row r="12" spans="1:10" s="6" customFormat="1" ht="25.5" customHeight="1">
      <c r="A12" s="201" t="s">
        <v>35</v>
      </c>
      <c r="B12" s="207" t="s">
        <v>296</v>
      </c>
      <c r="C12" s="208">
        <f>'3.mell'!F9+'3.mell'!F12</f>
        <v>137221921</v>
      </c>
      <c r="D12" s="208">
        <f>'3.mell'!G15</f>
        <v>1400000</v>
      </c>
      <c r="E12" s="209">
        <f>SUM(C12:D12)</f>
        <v>138621921</v>
      </c>
      <c r="G12" s="459"/>
      <c r="H12" s="459"/>
      <c r="I12" s="459"/>
      <c r="J12" s="453"/>
    </row>
    <row r="13" spans="1:10" s="6" customFormat="1" ht="12.75" customHeight="1">
      <c r="A13" s="201"/>
      <c r="B13" s="210" t="s">
        <v>135</v>
      </c>
      <c r="C13" s="211">
        <f>'4.mell '!G10</f>
        <v>55144000</v>
      </c>
      <c r="D13" s="211">
        <v>0</v>
      </c>
      <c r="E13" s="212">
        <f>C13</f>
        <v>55144000</v>
      </c>
      <c r="G13" s="459"/>
      <c r="H13" s="459"/>
      <c r="I13" s="459"/>
      <c r="J13" s="453"/>
    </row>
    <row r="14" spans="1:10" s="6" customFormat="1" ht="27.75" customHeight="1">
      <c r="A14" s="201" t="s">
        <v>36</v>
      </c>
      <c r="B14" s="213" t="s">
        <v>297</v>
      </c>
      <c r="C14" s="214"/>
      <c r="D14" s="214"/>
      <c r="E14" s="215"/>
      <c r="G14" s="459"/>
      <c r="H14" s="459"/>
      <c r="I14" s="459"/>
      <c r="J14" s="453"/>
    </row>
    <row r="15" spans="1:10" s="7" customFormat="1" ht="12" customHeight="1">
      <c r="A15" s="216" t="s">
        <v>15</v>
      </c>
      <c r="B15" s="217" t="s">
        <v>239</v>
      </c>
      <c r="C15" s="218">
        <f>'3.mell'!F18</f>
        <v>895350633</v>
      </c>
      <c r="D15" s="219"/>
      <c r="E15" s="220">
        <f aca="true" t="shared" si="0" ref="E15:E21">SUM(C15:D15)</f>
        <v>895350633</v>
      </c>
      <c r="G15" s="458"/>
      <c r="H15" s="458"/>
      <c r="I15" s="458"/>
      <c r="J15" s="454"/>
    </row>
    <row r="16" spans="1:10" s="7" customFormat="1" ht="12" customHeight="1">
      <c r="A16" s="216" t="s">
        <v>16</v>
      </c>
      <c r="B16" s="221" t="s">
        <v>240</v>
      </c>
      <c r="C16" s="219"/>
      <c r="D16" s="218">
        <f>'3.mell'!G59</f>
        <v>1088636573</v>
      </c>
      <c r="E16" s="220">
        <f>D16+C16</f>
        <v>1088636573</v>
      </c>
      <c r="F16" s="110"/>
      <c r="G16" s="458"/>
      <c r="H16" s="458"/>
      <c r="I16" s="458"/>
      <c r="J16" s="454"/>
    </row>
    <row r="17" spans="1:10" s="7" customFormat="1" ht="12" customHeight="1">
      <c r="A17" s="216" t="s">
        <v>17</v>
      </c>
      <c r="B17" s="217" t="s">
        <v>120</v>
      </c>
      <c r="C17" s="218">
        <f>'3.mell'!F72</f>
        <v>721400000</v>
      </c>
      <c r="D17" s="721"/>
      <c r="E17" s="220">
        <f>D17+C17</f>
        <v>721400000</v>
      </c>
      <c r="G17" s="458"/>
      <c r="H17" s="458"/>
      <c r="I17" s="458"/>
      <c r="J17" s="454"/>
    </row>
    <row r="18" spans="1:10" s="7" customFormat="1" ht="12" customHeight="1">
      <c r="A18" s="216" t="s">
        <v>18</v>
      </c>
      <c r="B18" s="222" t="s">
        <v>241</v>
      </c>
      <c r="C18" s="223">
        <f>'3.mell'!F90</f>
        <v>175852244</v>
      </c>
      <c r="D18" s="224"/>
      <c r="E18" s="220">
        <f t="shared" si="0"/>
        <v>175852244</v>
      </c>
      <c r="G18" s="458"/>
      <c r="H18" s="458"/>
      <c r="I18" s="458"/>
      <c r="J18" s="454"/>
    </row>
    <row r="19" spans="1:10" s="7" customFormat="1" ht="12" customHeight="1">
      <c r="A19" s="216" t="s">
        <v>19</v>
      </c>
      <c r="B19" s="222" t="s">
        <v>242</v>
      </c>
      <c r="C19" s="224"/>
      <c r="D19" s="223">
        <f>'3.mell'!G117</f>
        <v>53191012</v>
      </c>
      <c r="E19" s="220">
        <f t="shared" si="0"/>
        <v>53191012</v>
      </c>
      <c r="G19" s="458"/>
      <c r="H19" s="458"/>
      <c r="I19" s="458"/>
      <c r="J19" s="454"/>
    </row>
    <row r="20" spans="1:10" s="7" customFormat="1" ht="12" customHeight="1">
      <c r="A20" s="216" t="s">
        <v>20</v>
      </c>
      <c r="B20" s="222" t="s">
        <v>238</v>
      </c>
      <c r="C20" s="223">
        <f>'3.mell'!F120</f>
        <v>22684860</v>
      </c>
      <c r="D20" s="224"/>
      <c r="E20" s="220">
        <f t="shared" si="0"/>
        <v>22684860</v>
      </c>
      <c r="G20" s="458"/>
      <c r="H20" s="458"/>
      <c r="I20" s="458"/>
      <c r="J20" s="454"/>
    </row>
    <row r="21" spans="1:10" s="7" customFormat="1" ht="12" customHeight="1" thickBot="1">
      <c r="A21" s="216" t="s">
        <v>21</v>
      </c>
      <c r="B21" s="222" t="s">
        <v>237</v>
      </c>
      <c r="C21" s="224"/>
      <c r="D21" s="223">
        <f>'3.mell'!G123</f>
        <v>1800000</v>
      </c>
      <c r="E21" s="220">
        <f t="shared" si="0"/>
        <v>1800000</v>
      </c>
      <c r="G21" s="458"/>
      <c r="H21" s="458"/>
      <c r="I21" s="458"/>
      <c r="J21" s="454"/>
    </row>
    <row r="22" spans="1:10" s="8" customFormat="1" ht="14.25" customHeight="1" thickBot="1" thickTop="1">
      <c r="A22" s="793" t="s">
        <v>243</v>
      </c>
      <c r="B22" s="794"/>
      <c r="C22" s="225">
        <f>C15+C17+C18+C20</f>
        <v>1815287737</v>
      </c>
      <c r="D22" s="225">
        <f>D16+D17+D19+D21</f>
        <v>1143627585</v>
      </c>
      <c r="E22" s="226">
        <f>SUM(C22:D22)</f>
        <v>2958915322</v>
      </c>
      <c r="G22" s="458"/>
      <c r="H22" s="458"/>
      <c r="I22" s="458"/>
      <c r="J22" s="455"/>
    </row>
    <row r="23" spans="1:10" s="9" customFormat="1" ht="15" customHeight="1" thickBot="1" thickTop="1">
      <c r="A23" s="800" t="s">
        <v>295</v>
      </c>
      <c r="B23" s="801"/>
      <c r="C23" s="227">
        <f>SUM(C12)+C22</f>
        <v>1952509658</v>
      </c>
      <c r="D23" s="227">
        <f>SUM(D12)+D22</f>
        <v>1145027585</v>
      </c>
      <c r="E23" s="228">
        <f>SUM(E12)+E22</f>
        <v>3097537243</v>
      </c>
      <c r="G23" s="459"/>
      <c r="H23" s="459"/>
      <c r="I23" s="459"/>
      <c r="J23" s="456"/>
    </row>
    <row r="24" spans="1:10" s="9" customFormat="1" ht="30.75" customHeight="1" thickBot="1" thickTop="1">
      <c r="A24" s="806" t="s">
        <v>299</v>
      </c>
      <c r="B24" s="807"/>
      <c r="C24" s="227">
        <f>C23-C40</f>
        <v>-486182292</v>
      </c>
      <c r="D24" s="227">
        <f>D23-D45</f>
        <v>-2298631555</v>
      </c>
      <c r="E24" s="229">
        <f>E23-E46</f>
        <v>-2784813847</v>
      </c>
      <c r="G24" s="459"/>
      <c r="H24" s="459"/>
      <c r="I24" s="459"/>
      <c r="J24" s="456"/>
    </row>
    <row r="25" spans="1:10" s="9" customFormat="1" ht="18.75" customHeight="1" thickTop="1">
      <c r="A25" s="230" t="s">
        <v>40</v>
      </c>
      <c r="B25" s="231" t="s">
        <v>178</v>
      </c>
      <c r="C25" s="232"/>
      <c r="D25" s="232"/>
      <c r="E25" s="233"/>
      <c r="G25" s="459"/>
      <c r="H25" s="459"/>
      <c r="I25" s="459"/>
      <c r="J25" s="456"/>
    </row>
    <row r="26" spans="1:10" s="9" customFormat="1" ht="31.5" customHeight="1">
      <c r="A26" s="234" t="s">
        <v>15</v>
      </c>
      <c r="B26" s="235" t="s">
        <v>327</v>
      </c>
      <c r="C26" s="236">
        <f>'3.mell'!F127+'3.mell'!F128+'4.mell '!K16+'4.mell '!K19</f>
        <v>374927193</v>
      </c>
      <c r="D26" s="236">
        <f>'3.mell'!G127+'3.mell'!G128</f>
        <v>683760324</v>
      </c>
      <c r="E26" s="237">
        <f>C26+D26</f>
        <v>1058687517</v>
      </c>
      <c r="G26" s="459"/>
      <c r="H26" s="459"/>
      <c r="I26" s="459"/>
      <c r="J26" s="456"/>
    </row>
    <row r="27" spans="1:10" s="9" customFormat="1" ht="34.5" customHeight="1">
      <c r="A27" s="336" t="s">
        <v>16</v>
      </c>
      <c r="B27" s="419" t="s">
        <v>357</v>
      </c>
      <c r="C27" s="420">
        <f>'3.mell'!F130+'3.mell'!F129</f>
        <v>3129128769</v>
      </c>
      <c r="D27" s="420">
        <f>'3.mell'!G129+'3.mell'!G130</f>
        <v>1194871231</v>
      </c>
      <c r="E27" s="421">
        <f>C27+D27</f>
        <v>4324000000</v>
      </c>
      <c r="G27" s="459"/>
      <c r="H27" s="459"/>
      <c r="I27" s="459"/>
      <c r="J27" s="456"/>
    </row>
    <row r="28" spans="1:10" s="9" customFormat="1" ht="28.5" customHeight="1" thickBot="1">
      <c r="A28" s="336" t="s">
        <v>17</v>
      </c>
      <c r="B28" s="337" t="s">
        <v>341</v>
      </c>
      <c r="C28" s="338">
        <f>'3.mell'!F131</f>
        <v>0</v>
      </c>
      <c r="D28" s="338">
        <f>'3.mell'!G131</f>
        <v>420000000</v>
      </c>
      <c r="E28" s="422">
        <f>C28+D28</f>
        <v>420000000</v>
      </c>
      <c r="G28" s="459"/>
      <c r="H28" s="459"/>
      <c r="I28" s="459"/>
      <c r="J28" s="456"/>
    </row>
    <row r="29" spans="1:10" s="114" customFormat="1" ht="24.75" customHeight="1" thickBot="1" thickTop="1">
      <c r="A29" s="795" t="s">
        <v>180</v>
      </c>
      <c r="B29" s="796"/>
      <c r="C29" s="227">
        <f>C23+C26+C27+C28</f>
        <v>5456565620</v>
      </c>
      <c r="D29" s="227">
        <f>D23+D26+D27+D28</f>
        <v>3443659140</v>
      </c>
      <c r="E29" s="228">
        <f>D29+C29</f>
        <v>8900224760</v>
      </c>
      <c r="G29" s="459"/>
      <c r="H29" s="459"/>
      <c r="I29" s="459"/>
      <c r="J29" s="457"/>
    </row>
    <row r="30" spans="1:10" s="5" customFormat="1" ht="16.5" thickTop="1">
      <c r="A30" s="803" t="s">
        <v>29</v>
      </c>
      <c r="B30" s="804"/>
      <c r="C30" s="202" t="s">
        <v>30</v>
      </c>
      <c r="D30" s="202" t="s">
        <v>31</v>
      </c>
      <c r="E30" s="805" t="s">
        <v>32</v>
      </c>
      <c r="G30" s="458"/>
      <c r="H30" s="458"/>
      <c r="I30" s="458"/>
      <c r="J30" s="452"/>
    </row>
    <row r="31" spans="1:10" s="5" customFormat="1" ht="15.75">
      <c r="A31" s="803"/>
      <c r="B31" s="804"/>
      <c r="C31" s="202" t="s">
        <v>33</v>
      </c>
      <c r="D31" s="202" t="s">
        <v>33</v>
      </c>
      <c r="E31" s="805"/>
      <c r="G31" s="458"/>
      <c r="H31" s="458"/>
      <c r="I31" s="458"/>
      <c r="J31" s="452"/>
    </row>
    <row r="32" spans="1:5" ht="4.5" customHeight="1" thickBot="1">
      <c r="A32" s="203"/>
      <c r="B32" s="238"/>
      <c r="C32" s="205"/>
      <c r="D32" s="205"/>
      <c r="E32" s="206"/>
    </row>
    <row r="33" spans="1:5" ht="13.5" customHeight="1" thickBot="1">
      <c r="A33" s="797" t="s">
        <v>37</v>
      </c>
      <c r="B33" s="798"/>
      <c r="C33" s="798"/>
      <c r="D33" s="798"/>
      <c r="E33" s="799"/>
    </row>
    <row r="34" spans="1:10" s="6" customFormat="1" ht="11.25" customHeight="1">
      <c r="A34" s="201" t="s">
        <v>35</v>
      </c>
      <c r="B34" s="239" t="s">
        <v>139</v>
      </c>
      <c r="C34" s="240"/>
      <c r="D34" s="327"/>
      <c r="E34" s="241"/>
      <c r="G34" s="459"/>
      <c r="H34" s="459"/>
      <c r="I34" s="459"/>
      <c r="J34" s="453"/>
    </row>
    <row r="35" spans="1:10" s="7" customFormat="1" ht="13.5" customHeight="1">
      <c r="A35" s="216" t="s">
        <v>15</v>
      </c>
      <c r="B35" s="217" t="s">
        <v>27</v>
      </c>
      <c r="C35" s="218">
        <f>'3.mell'!F147</f>
        <v>810512847</v>
      </c>
      <c r="D35" s="219"/>
      <c r="E35" s="220">
        <f>SUM(C35:D35)</f>
        <v>810512847</v>
      </c>
      <c r="G35" s="458"/>
      <c r="H35" s="458"/>
      <c r="I35" s="458"/>
      <c r="J35" s="454"/>
    </row>
    <row r="36" spans="1:10" s="7" customFormat="1" ht="13.5" customHeight="1">
      <c r="A36" s="216" t="s">
        <v>16</v>
      </c>
      <c r="B36" s="222" t="s">
        <v>138</v>
      </c>
      <c r="C36" s="218">
        <f>'3.mell'!F148</f>
        <v>167530460</v>
      </c>
      <c r="D36" s="224"/>
      <c r="E36" s="220">
        <f>SUM(C36:D36)</f>
        <v>167530460</v>
      </c>
      <c r="G36" s="458"/>
      <c r="H36" s="458"/>
      <c r="I36" s="458"/>
      <c r="J36" s="454"/>
    </row>
    <row r="37" spans="1:10" s="7" customFormat="1" ht="13.5" customHeight="1">
      <c r="A37" s="216" t="s">
        <v>17</v>
      </c>
      <c r="B37" s="222" t="s">
        <v>28</v>
      </c>
      <c r="C37" s="218">
        <f>'3.mell'!F149</f>
        <v>1156505473</v>
      </c>
      <c r="D37" s="224"/>
      <c r="E37" s="220">
        <f>SUM(C37:D37)</f>
        <v>1156505473</v>
      </c>
      <c r="G37" s="458"/>
      <c r="H37" s="458"/>
      <c r="I37" s="458"/>
      <c r="J37" s="454"/>
    </row>
    <row r="38" spans="1:10" s="7" customFormat="1" ht="13.5" customHeight="1">
      <c r="A38" s="216" t="s">
        <v>18</v>
      </c>
      <c r="B38" s="165" t="s">
        <v>107</v>
      </c>
      <c r="C38" s="218">
        <f>'3.mell'!F150</f>
        <v>10780000</v>
      </c>
      <c r="D38" s="224"/>
      <c r="E38" s="220">
        <f>C38</f>
        <v>10780000</v>
      </c>
      <c r="G38" s="458"/>
      <c r="H38" s="458"/>
      <c r="I38" s="458"/>
      <c r="J38" s="454"/>
    </row>
    <row r="39" spans="1:10" s="7" customFormat="1" ht="13.5" customHeight="1" thickBot="1">
      <c r="A39" s="216" t="s">
        <v>20</v>
      </c>
      <c r="B39" s="173" t="s">
        <v>105</v>
      </c>
      <c r="C39" s="218">
        <f>'3.mell'!F151</f>
        <v>293363170</v>
      </c>
      <c r="D39" s="224"/>
      <c r="E39" s="220">
        <f>SUM(C39:D39)</f>
        <v>293363170</v>
      </c>
      <c r="G39" s="458"/>
      <c r="H39" s="458"/>
      <c r="I39" s="458"/>
      <c r="J39" s="454"/>
    </row>
    <row r="40" spans="1:10" s="8" customFormat="1" ht="14.25" customHeight="1" thickBot="1" thickTop="1">
      <c r="A40" s="793" t="s">
        <v>140</v>
      </c>
      <c r="B40" s="794"/>
      <c r="C40" s="225">
        <f>SUM(C35:C39)</f>
        <v>2438691950</v>
      </c>
      <c r="D40" s="326"/>
      <c r="E40" s="242">
        <f>SUM(C40:D40)</f>
        <v>2438691950</v>
      </c>
      <c r="G40" s="458"/>
      <c r="H40" s="458"/>
      <c r="I40" s="458"/>
      <c r="J40" s="455"/>
    </row>
    <row r="41" spans="1:10" s="6" customFormat="1" ht="15" customHeight="1" thickTop="1">
      <c r="A41" s="201" t="s">
        <v>36</v>
      </c>
      <c r="B41" s="239" t="s">
        <v>141</v>
      </c>
      <c r="C41" s="325"/>
      <c r="D41" s="243"/>
      <c r="E41" s="237"/>
      <c r="G41" s="459"/>
      <c r="H41" s="459"/>
      <c r="I41" s="459"/>
      <c r="J41" s="453"/>
    </row>
    <row r="42" spans="1:10" s="7" customFormat="1" ht="13.5" customHeight="1">
      <c r="A42" s="216" t="s">
        <v>15</v>
      </c>
      <c r="B42" s="217" t="s">
        <v>38</v>
      </c>
      <c r="C42" s="219"/>
      <c r="D42" s="218">
        <f>'3.mell'!G154</f>
        <v>2814718385</v>
      </c>
      <c r="E42" s="220">
        <f>SUM(C42:D42)</f>
        <v>2814718385</v>
      </c>
      <c r="G42" s="458"/>
      <c r="H42" s="458"/>
      <c r="I42" s="458"/>
      <c r="J42" s="454"/>
    </row>
    <row r="43" spans="1:10" s="7" customFormat="1" ht="12" customHeight="1">
      <c r="A43" s="216" t="s">
        <v>16</v>
      </c>
      <c r="B43" s="222" t="s">
        <v>39</v>
      </c>
      <c r="C43" s="224"/>
      <c r="D43" s="218">
        <f>'3.mell'!G155</f>
        <v>301683495</v>
      </c>
      <c r="E43" s="220">
        <f>SUM(C43:D43)</f>
        <v>301683495</v>
      </c>
      <c r="G43" s="458"/>
      <c r="H43" s="458"/>
      <c r="I43" s="458"/>
      <c r="J43" s="454"/>
    </row>
    <row r="44" spans="1:10" s="7" customFormat="1" ht="12" customHeight="1" thickBot="1">
      <c r="A44" s="216" t="s">
        <v>17</v>
      </c>
      <c r="B44" s="222" t="s">
        <v>54</v>
      </c>
      <c r="C44" s="224"/>
      <c r="D44" s="218">
        <f>'3.mell'!G156</f>
        <v>327257260</v>
      </c>
      <c r="E44" s="220">
        <f>SUM(C44:D44)</f>
        <v>327257260</v>
      </c>
      <c r="G44" s="458"/>
      <c r="H44" s="458"/>
      <c r="I44" s="458"/>
      <c r="J44" s="454"/>
    </row>
    <row r="45" spans="1:10" s="8" customFormat="1" ht="12.75" customHeight="1" thickBot="1" thickTop="1">
      <c r="A45" s="793" t="s">
        <v>142</v>
      </c>
      <c r="B45" s="794"/>
      <c r="C45" s="326"/>
      <c r="D45" s="225">
        <f>SUM(D42:D44)</f>
        <v>3443659140</v>
      </c>
      <c r="E45" s="242">
        <f>SUM(C45:D45)</f>
        <v>3443659140</v>
      </c>
      <c r="F45" s="339"/>
      <c r="G45" s="458"/>
      <c r="H45" s="458"/>
      <c r="I45" s="458"/>
      <c r="J45" s="455"/>
    </row>
    <row r="46" spans="1:10" s="8" customFormat="1" ht="15" customHeight="1" thickBot="1" thickTop="1">
      <c r="A46" s="800" t="s">
        <v>298</v>
      </c>
      <c r="B46" s="801"/>
      <c r="C46" s="246">
        <f>C40</f>
        <v>2438691950</v>
      </c>
      <c r="D46" s="246">
        <f>D45</f>
        <v>3443659140</v>
      </c>
      <c r="E46" s="247">
        <f>D46+C46</f>
        <v>5882351090</v>
      </c>
      <c r="F46" s="339"/>
      <c r="G46" s="458"/>
      <c r="H46" s="458"/>
      <c r="I46" s="458"/>
      <c r="J46" s="455"/>
    </row>
    <row r="47" spans="1:10" s="8" customFormat="1" ht="12.75" customHeight="1" thickTop="1">
      <c r="A47" s="244" t="s">
        <v>40</v>
      </c>
      <c r="B47" s="245"/>
      <c r="C47" s="246"/>
      <c r="D47" s="246"/>
      <c r="E47" s="247"/>
      <c r="G47" s="458"/>
      <c r="H47" s="458"/>
      <c r="I47" s="458"/>
      <c r="J47" s="455"/>
    </row>
    <row r="48" spans="1:10" s="8" customFormat="1" ht="12.75" customHeight="1">
      <c r="A48" s="248"/>
      <c r="B48" s="249" t="s">
        <v>81</v>
      </c>
      <c r="C48" s="250">
        <f>'3.mell'!H158</f>
        <v>3017873670</v>
      </c>
      <c r="D48" s="250">
        <f>'3.mell'!G158</f>
        <v>0</v>
      </c>
      <c r="E48" s="251">
        <f>D48+C48</f>
        <v>3017873670</v>
      </c>
      <c r="G48" s="458"/>
      <c r="H48" s="458"/>
      <c r="I48" s="458"/>
      <c r="J48" s="455"/>
    </row>
    <row r="49" spans="1:10" s="8" customFormat="1" ht="6.75" customHeight="1" thickBot="1">
      <c r="A49" s="252"/>
      <c r="B49" s="253"/>
      <c r="C49" s="254"/>
      <c r="D49" s="254"/>
      <c r="E49" s="255"/>
      <c r="G49" s="458"/>
      <c r="H49" s="458"/>
      <c r="I49" s="458"/>
      <c r="J49" s="455"/>
    </row>
    <row r="50" spans="1:10" s="9" customFormat="1" ht="15" customHeight="1" thickBot="1" thickTop="1">
      <c r="A50" s="791" t="s">
        <v>233</v>
      </c>
      <c r="B50" s="792"/>
      <c r="C50" s="256">
        <f>SUM(C40,C45)+C48</f>
        <v>5456565620</v>
      </c>
      <c r="D50" s="256">
        <f>SUM(D40,D45)+D48</f>
        <v>3443659140</v>
      </c>
      <c r="E50" s="257">
        <f>SUM(C50:D50)</f>
        <v>8900224760</v>
      </c>
      <c r="G50" s="459"/>
      <c r="H50" s="459"/>
      <c r="I50" s="459"/>
      <c r="J50" s="456"/>
    </row>
    <row r="51" spans="3:5" ht="15.75">
      <c r="C51" s="258"/>
      <c r="D51" s="258"/>
      <c r="E51" s="258"/>
    </row>
    <row r="52" spans="3:5" ht="15.75">
      <c r="C52" s="328"/>
      <c r="D52" s="328"/>
      <c r="E52" s="328"/>
    </row>
    <row r="53" spans="3:5" ht="15.75">
      <c r="C53" s="258"/>
      <c r="D53" s="258"/>
      <c r="E53" s="258"/>
    </row>
    <row r="54" spans="3:5" ht="15.75">
      <c r="C54" s="258"/>
      <c r="D54" s="258"/>
      <c r="E54" s="258"/>
    </row>
    <row r="55" spans="3:5" ht="15.75">
      <c r="C55" s="258"/>
      <c r="D55" s="258"/>
      <c r="E55" s="258"/>
    </row>
    <row r="57" ht="15.75">
      <c r="C57" s="258"/>
    </row>
    <row r="58" spans="3:6" ht="15.75">
      <c r="C58" s="328"/>
      <c r="D58" s="328"/>
      <c r="E58" s="328"/>
      <c r="F58" s="334"/>
    </row>
  </sheetData>
  <sheetProtection/>
  <mergeCells count="15">
    <mergeCell ref="C1:E1"/>
    <mergeCell ref="A8:B9"/>
    <mergeCell ref="E8:E9"/>
    <mergeCell ref="A11:E11"/>
    <mergeCell ref="A30:B31"/>
    <mergeCell ref="E30:E31"/>
    <mergeCell ref="A22:B22"/>
    <mergeCell ref="A23:B23"/>
    <mergeCell ref="A24:B24"/>
    <mergeCell ref="A50:B50"/>
    <mergeCell ref="A40:B40"/>
    <mergeCell ref="A45:B45"/>
    <mergeCell ref="A29:B29"/>
    <mergeCell ref="A33:E33"/>
    <mergeCell ref="A46:B4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workbookViewId="0" topLeftCell="A1">
      <selection activeCell="F22" sqref="F22"/>
    </sheetView>
  </sheetViews>
  <sheetFormatPr defaultColWidth="9.00390625" defaultRowHeight="12" customHeight="1"/>
  <cols>
    <col min="1" max="1" width="3.125" style="127" customWidth="1"/>
    <col min="2" max="2" width="3.875" style="127" customWidth="1"/>
    <col min="3" max="3" width="7.375" style="127" customWidth="1"/>
    <col min="4" max="4" width="11.625" style="127" customWidth="1"/>
    <col min="5" max="5" width="85.00390625" style="183" customWidth="1"/>
    <col min="6" max="6" width="12.875" style="482" customWidth="1"/>
    <col min="7" max="7" width="12.625" style="482" customWidth="1"/>
    <col min="8" max="8" width="12.375" style="482" customWidth="1"/>
    <col min="9" max="16384" width="9.125" style="10" customWidth="1"/>
  </cols>
  <sheetData>
    <row r="1" spans="5:8" ht="13.5" customHeight="1">
      <c r="E1" s="900" t="s">
        <v>429</v>
      </c>
      <c r="F1" s="900"/>
      <c r="G1" s="900"/>
      <c r="H1" s="900"/>
    </row>
    <row r="2" spans="1:8" ht="15" customHeight="1">
      <c r="A2" s="128"/>
      <c r="B2" s="128"/>
      <c r="C2" s="128"/>
      <c r="D2" s="128"/>
      <c r="E2" s="129"/>
      <c r="F2" s="473"/>
      <c r="G2" s="473"/>
      <c r="H2" s="474"/>
    </row>
    <row r="3" spans="1:8" ht="14.25" customHeight="1" thickBot="1">
      <c r="A3" s="483"/>
      <c r="B3" s="483"/>
      <c r="C3" s="483"/>
      <c r="D3" s="483"/>
      <c r="E3" s="484"/>
      <c r="F3" s="485"/>
      <c r="G3" s="485"/>
      <c r="H3" s="486" t="s">
        <v>366</v>
      </c>
    </row>
    <row r="4" spans="1:8" ht="27" customHeight="1">
      <c r="A4" s="487"/>
      <c r="B4" s="488"/>
      <c r="C4" s="821" t="s">
        <v>187</v>
      </c>
      <c r="D4" s="834" t="s">
        <v>292</v>
      </c>
      <c r="E4" s="904" t="s">
        <v>41</v>
      </c>
      <c r="F4" s="902" t="s">
        <v>250</v>
      </c>
      <c r="G4" s="902" t="s">
        <v>263</v>
      </c>
      <c r="H4" s="819" t="s">
        <v>32</v>
      </c>
    </row>
    <row r="5" spans="1:8" ht="27" customHeight="1" thickBot="1">
      <c r="A5" s="489"/>
      <c r="B5" s="490"/>
      <c r="C5" s="822"/>
      <c r="D5" s="835"/>
      <c r="E5" s="905"/>
      <c r="F5" s="903"/>
      <c r="G5" s="903"/>
      <c r="H5" s="820"/>
    </row>
    <row r="6" spans="1:8" ht="21" customHeight="1" thickBot="1">
      <c r="A6" s="906" t="s">
        <v>188</v>
      </c>
      <c r="B6" s="907"/>
      <c r="C6" s="907"/>
      <c r="D6" s="907"/>
      <c r="E6" s="907"/>
      <c r="F6" s="907"/>
      <c r="G6" s="907"/>
      <c r="H6" s="908"/>
    </row>
    <row r="7" spans="1:8" s="11" customFormat="1" ht="13.5" customHeight="1">
      <c r="A7" s="130" t="s">
        <v>189</v>
      </c>
      <c r="B7" s="131"/>
      <c r="C7" s="132"/>
      <c r="D7" s="909" t="s">
        <v>368</v>
      </c>
      <c r="E7" s="909"/>
      <c r="F7" s="909"/>
      <c r="G7" s="909"/>
      <c r="H7" s="910"/>
    </row>
    <row r="8" spans="1:8" ht="4.5" customHeight="1">
      <c r="A8" s="133"/>
      <c r="B8" s="128"/>
      <c r="C8" s="128"/>
      <c r="D8" s="128"/>
      <c r="E8" s="134"/>
      <c r="F8" s="475"/>
      <c r="G8" s="475"/>
      <c r="H8" s="476"/>
    </row>
    <row r="9" spans="1:8" ht="15" customHeight="1">
      <c r="A9" s="135" t="s">
        <v>15</v>
      </c>
      <c r="B9" s="136"/>
      <c r="C9" s="136"/>
      <c r="D9" s="136"/>
      <c r="E9" s="137" t="s">
        <v>241</v>
      </c>
      <c r="F9" s="550">
        <f>F10+F11</f>
        <v>69016932</v>
      </c>
      <c r="G9" s="551"/>
      <c r="H9" s="552">
        <f aca="true" t="shared" si="0" ref="H9:H14">F9+G9</f>
        <v>69016932</v>
      </c>
    </row>
    <row r="10" spans="1:8" s="89" customFormat="1" ht="15" customHeight="1">
      <c r="A10" s="138"/>
      <c r="B10" s="139"/>
      <c r="C10" s="140" t="s">
        <v>306</v>
      </c>
      <c r="D10" s="139" t="s">
        <v>136</v>
      </c>
      <c r="E10" s="141" t="s">
        <v>163</v>
      </c>
      <c r="F10" s="589">
        <f>'4.mell '!D17</f>
        <v>6472800</v>
      </c>
      <c r="G10" s="590"/>
      <c r="H10" s="591">
        <f t="shared" si="0"/>
        <v>6472800</v>
      </c>
    </row>
    <row r="11" spans="1:8" s="89" customFormat="1" ht="15" customHeight="1">
      <c r="A11" s="142"/>
      <c r="B11" s="143"/>
      <c r="C11" s="144"/>
      <c r="D11" s="143" t="s">
        <v>137</v>
      </c>
      <c r="E11" s="141" t="s">
        <v>161</v>
      </c>
      <c r="F11" s="589">
        <f>'4.mell '!D18</f>
        <v>62544132</v>
      </c>
      <c r="G11" s="590"/>
      <c r="H11" s="591">
        <f t="shared" si="0"/>
        <v>62544132</v>
      </c>
    </row>
    <row r="12" spans="1:8" ht="15" customHeight="1">
      <c r="A12" s="133" t="s">
        <v>16</v>
      </c>
      <c r="B12" s="140"/>
      <c r="C12" s="140"/>
      <c r="D12" s="140"/>
      <c r="E12" s="137" t="s">
        <v>308</v>
      </c>
      <c r="F12" s="550">
        <f>F13+F14</f>
        <v>68204989</v>
      </c>
      <c r="G12" s="580">
        <f>G13+G14</f>
        <v>1400000</v>
      </c>
      <c r="H12" s="552">
        <f t="shared" si="0"/>
        <v>69604989</v>
      </c>
    </row>
    <row r="13" spans="1:8" ht="15" customHeight="1">
      <c r="A13" s="133"/>
      <c r="B13" s="140"/>
      <c r="C13" s="140" t="s">
        <v>309</v>
      </c>
      <c r="D13" s="140" t="s">
        <v>136</v>
      </c>
      <c r="E13" s="141" t="s">
        <v>163</v>
      </c>
      <c r="F13" s="589">
        <f>'4.mell '!F17</f>
        <v>66360989</v>
      </c>
      <c r="G13" s="595">
        <f>'4.mell '!E17</f>
        <v>0</v>
      </c>
      <c r="H13" s="591">
        <f t="shared" si="0"/>
        <v>66360989</v>
      </c>
    </row>
    <row r="14" spans="1:8" ht="15" customHeight="1" thickBot="1">
      <c r="A14" s="133"/>
      <c r="B14" s="140"/>
      <c r="C14" s="140" t="s">
        <v>307</v>
      </c>
      <c r="D14" s="140" t="s">
        <v>137</v>
      </c>
      <c r="E14" s="141" t="s">
        <v>161</v>
      </c>
      <c r="F14" s="589">
        <f>'4.mell '!F18+'4.mell '!H18</f>
        <v>1844000</v>
      </c>
      <c r="G14" s="595">
        <f>'4.mell '!E18+'4.mell '!I18</f>
        <v>1400000</v>
      </c>
      <c r="H14" s="591">
        <f t="shared" si="0"/>
        <v>3244000</v>
      </c>
    </row>
    <row r="15" spans="1:8" s="12" customFormat="1" ht="15" customHeight="1" thickBot="1" thickTop="1">
      <c r="A15" s="848" t="s">
        <v>177</v>
      </c>
      <c r="B15" s="849"/>
      <c r="C15" s="849"/>
      <c r="D15" s="849"/>
      <c r="E15" s="850"/>
      <c r="F15" s="653">
        <f>F9+F12</f>
        <v>137221921</v>
      </c>
      <c r="G15" s="654">
        <f>G12+G9</f>
        <v>1400000</v>
      </c>
      <c r="H15" s="655">
        <f>H9+H12</f>
        <v>138621921</v>
      </c>
    </row>
    <row r="16" spans="1:8" s="11" customFormat="1" ht="16.5" customHeight="1" thickTop="1">
      <c r="A16" s="130" t="s">
        <v>190</v>
      </c>
      <c r="B16" s="131"/>
      <c r="C16" s="145"/>
      <c r="D16" s="911" t="s">
        <v>152</v>
      </c>
      <c r="E16" s="911"/>
      <c r="F16" s="911"/>
      <c r="G16" s="911"/>
      <c r="H16" s="912"/>
    </row>
    <row r="17" spans="1:8" s="12" customFormat="1" ht="5.25" customHeight="1">
      <c r="A17" s="146"/>
      <c r="B17" s="147"/>
      <c r="C17" s="128"/>
      <c r="D17" s="147"/>
      <c r="E17" s="148"/>
      <c r="F17" s="477"/>
      <c r="G17" s="477"/>
      <c r="H17" s="478"/>
    </row>
    <row r="18" spans="1:8" s="12" customFormat="1" ht="14.25" customHeight="1">
      <c r="A18" s="823" t="s">
        <v>251</v>
      </c>
      <c r="B18" s="824"/>
      <c r="C18" s="824"/>
      <c r="D18" s="824"/>
      <c r="E18" s="824"/>
      <c r="F18" s="498">
        <f>F20+F33+F36+F37+F39+F40</f>
        <v>895350633</v>
      </c>
      <c r="G18" s="499"/>
      <c r="H18" s="500">
        <f>H20+H33+H36+H37+H39+H40</f>
        <v>895350633</v>
      </c>
    </row>
    <row r="19" spans="1:8" s="12" customFormat="1" ht="5.25" customHeight="1">
      <c r="A19" s="146"/>
      <c r="B19" s="147"/>
      <c r="C19" s="128"/>
      <c r="D19" s="147"/>
      <c r="E19" s="148"/>
      <c r="F19" s="501"/>
      <c r="G19" s="502"/>
      <c r="H19" s="503"/>
    </row>
    <row r="20" spans="1:8" ht="17.25" customHeight="1">
      <c r="A20" s="916" t="s">
        <v>254</v>
      </c>
      <c r="B20" s="917"/>
      <c r="C20" s="918"/>
      <c r="D20" s="918"/>
      <c r="E20" s="919"/>
      <c r="F20" s="504">
        <f>F23+F22+F21+F30+F31+F32</f>
        <v>550204802</v>
      </c>
      <c r="G20" s="505"/>
      <c r="H20" s="506">
        <f>H23+H22+H21+H30+H31+H32</f>
        <v>550204802</v>
      </c>
    </row>
    <row r="21" spans="1:8" s="89" customFormat="1" ht="12.75" customHeight="1">
      <c r="A21" s="150"/>
      <c r="B21" s="151">
        <v>1</v>
      </c>
      <c r="C21" s="140" t="s">
        <v>191</v>
      </c>
      <c r="D21" s="139" t="s">
        <v>136</v>
      </c>
      <c r="E21" s="331" t="s">
        <v>164</v>
      </c>
      <c r="F21" s="491">
        <v>101806635</v>
      </c>
      <c r="G21" s="507"/>
      <c r="H21" s="497">
        <f aca="true" t="shared" si="1" ref="H21:H30">G21+F21</f>
        <v>101806635</v>
      </c>
    </row>
    <row r="22" spans="1:8" s="89" customFormat="1" ht="12.75" customHeight="1">
      <c r="A22" s="150"/>
      <c r="B22" s="151">
        <v>2</v>
      </c>
      <c r="C22" s="140" t="s">
        <v>192</v>
      </c>
      <c r="D22" s="139" t="s">
        <v>136</v>
      </c>
      <c r="E22" s="332" t="s">
        <v>193</v>
      </c>
      <c r="F22" s="492">
        <f>231356200+2205504+1341084+1786233</f>
        <v>236689021</v>
      </c>
      <c r="G22" s="496"/>
      <c r="H22" s="497">
        <f t="shared" si="1"/>
        <v>236689021</v>
      </c>
    </row>
    <row r="23" spans="1:8" s="89" customFormat="1" ht="12.75" customHeight="1">
      <c r="A23" s="150"/>
      <c r="B23" s="151">
        <v>3</v>
      </c>
      <c r="C23" s="140" t="s">
        <v>194</v>
      </c>
      <c r="D23" s="139" t="s">
        <v>136</v>
      </c>
      <c r="E23" s="332" t="s">
        <v>244</v>
      </c>
      <c r="F23" s="492">
        <f>SUM(F24:F29)</f>
        <v>182016106</v>
      </c>
      <c r="G23" s="496"/>
      <c r="H23" s="497">
        <f t="shared" si="1"/>
        <v>182016106</v>
      </c>
    </row>
    <row r="24" spans="1:8" s="89" customFormat="1" ht="12.75" customHeight="1">
      <c r="A24" s="150"/>
      <c r="B24" s="151"/>
      <c r="C24" s="140"/>
      <c r="D24" s="139"/>
      <c r="E24" s="330" t="s">
        <v>333</v>
      </c>
      <c r="F24" s="493">
        <f>6120000+29700000</f>
        <v>35820000</v>
      </c>
      <c r="G24" s="494"/>
      <c r="H24" s="495">
        <f t="shared" si="1"/>
        <v>35820000</v>
      </c>
    </row>
    <row r="25" spans="1:8" s="89" customFormat="1" ht="12.75" customHeight="1">
      <c r="A25" s="150"/>
      <c r="B25" s="151"/>
      <c r="C25" s="140"/>
      <c r="D25" s="139"/>
      <c r="E25" s="330" t="s">
        <v>269</v>
      </c>
      <c r="F25" s="493">
        <f>4419000+23345400+2448000</f>
        <v>30212400</v>
      </c>
      <c r="G25" s="494"/>
      <c r="H25" s="495">
        <f t="shared" si="1"/>
        <v>30212400</v>
      </c>
    </row>
    <row r="26" spans="1:8" s="89" customFormat="1" ht="12.75" customHeight="1">
      <c r="A26" s="150"/>
      <c r="B26" s="151"/>
      <c r="C26" s="140"/>
      <c r="D26" s="139"/>
      <c r="E26" s="330" t="s">
        <v>271</v>
      </c>
      <c r="F26" s="493">
        <f>45568000+10043000</f>
        <v>55611000</v>
      </c>
      <c r="G26" s="494"/>
      <c r="H26" s="495">
        <f t="shared" si="1"/>
        <v>55611000</v>
      </c>
    </row>
    <row r="27" spans="1:8" s="89" customFormat="1" ht="12.75" customHeight="1">
      <c r="A27" s="150"/>
      <c r="B27" s="151"/>
      <c r="C27" s="140"/>
      <c r="D27" s="139"/>
      <c r="E27" s="330" t="s">
        <v>270</v>
      </c>
      <c r="F27" s="493">
        <f>38133000+30379202+254790-30379202-18468</f>
        <v>38369322</v>
      </c>
      <c r="G27" s="494"/>
      <c r="H27" s="495">
        <f t="shared" si="1"/>
        <v>38369322</v>
      </c>
    </row>
    <row r="28" spans="1:8" s="89" customFormat="1" ht="12.75" customHeight="1">
      <c r="A28" s="150"/>
      <c r="B28" s="151"/>
      <c r="C28" s="140"/>
      <c r="D28" s="139"/>
      <c r="E28" s="330" t="s">
        <v>527</v>
      </c>
      <c r="F28" s="493">
        <v>6248748</v>
      </c>
      <c r="G28" s="494"/>
      <c r="H28" s="495">
        <f>F28</f>
        <v>6248748</v>
      </c>
    </row>
    <row r="29" spans="1:8" s="89" customFormat="1" ht="12.75" customHeight="1">
      <c r="A29" s="150"/>
      <c r="B29" s="151"/>
      <c r="C29" s="140"/>
      <c r="D29" s="139"/>
      <c r="E29" s="330" t="s">
        <v>349</v>
      </c>
      <c r="F29" s="493">
        <f>1753147+1772604+1729888+1734951+6988037+1776009</f>
        <v>15754636</v>
      </c>
      <c r="G29" s="494"/>
      <c r="H29" s="495">
        <f>F29</f>
        <v>15754636</v>
      </c>
    </row>
    <row r="30" spans="1:8" s="89" customFormat="1" ht="12.75" customHeight="1">
      <c r="A30" s="150"/>
      <c r="B30" s="151">
        <v>4</v>
      </c>
      <c r="C30" s="140" t="s">
        <v>195</v>
      </c>
      <c r="D30" s="139" t="s">
        <v>136</v>
      </c>
      <c r="E30" s="332" t="s">
        <v>196</v>
      </c>
      <c r="F30" s="492">
        <f>20376810+337967+303425+1125570+2054928+352527</f>
        <v>24551227</v>
      </c>
      <c r="G30" s="496"/>
      <c r="H30" s="497">
        <f t="shared" si="1"/>
        <v>24551227</v>
      </c>
    </row>
    <row r="31" spans="1:8" s="89" customFormat="1" ht="12.75" customHeight="1">
      <c r="A31" s="150"/>
      <c r="B31" s="151">
        <v>5</v>
      </c>
      <c r="C31" s="140" t="s">
        <v>197</v>
      </c>
      <c r="D31" s="139"/>
      <c r="E31" s="332" t="s">
        <v>245</v>
      </c>
      <c r="F31" s="492">
        <f>312854+222760+406382+1370800+540000+1678635+266367</f>
        <v>4797798</v>
      </c>
      <c r="G31" s="496"/>
      <c r="H31" s="497">
        <f>G31+F31</f>
        <v>4797798</v>
      </c>
    </row>
    <row r="32" spans="1:8" ht="12.75" customHeight="1">
      <c r="A32" s="152" t="s">
        <v>72</v>
      </c>
      <c r="B32" s="151">
        <v>6</v>
      </c>
      <c r="C32" s="140" t="s">
        <v>198</v>
      </c>
      <c r="D32" s="140" t="s">
        <v>136</v>
      </c>
      <c r="E32" s="333" t="s">
        <v>199</v>
      </c>
      <c r="F32" s="547">
        <f>341600+2415</f>
        <v>344015</v>
      </c>
      <c r="G32" s="548"/>
      <c r="H32" s="549">
        <f>F32</f>
        <v>344015</v>
      </c>
    </row>
    <row r="33" spans="1:8" ht="15.75" customHeight="1">
      <c r="A33" s="825" t="s">
        <v>369</v>
      </c>
      <c r="B33" s="826"/>
      <c r="C33" s="836"/>
      <c r="D33" s="836"/>
      <c r="E33" s="827"/>
      <c r="F33" s="550">
        <f>SUM(F34:F35)</f>
        <v>39972629</v>
      </c>
      <c r="G33" s="551"/>
      <c r="H33" s="552">
        <f>F33</f>
        <v>39972629</v>
      </c>
    </row>
    <row r="34" spans="1:8" ht="12.75" customHeight="1">
      <c r="A34" s="358"/>
      <c r="B34" s="855">
        <v>1</v>
      </c>
      <c r="C34" s="356"/>
      <c r="D34" s="169" t="s">
        <v>136</v>
      </c>
      <c r="E34" s="828" t="s">
        <v>402</v>
      </c>
      <c r="F34" s="553">
        <f>'5.mell'!J9+'5.mell'!J12+'5.mell'!J14+'5.mell'!J21</f>
        <v>31632031</v>
      </c>
      <c r="G34" s="551"/>
      <c r="H34" s="554">
        <f>F34</f>
        <v>31632031</v>
      </c>
    </row>
    <row r="35" spans="1:8" ht="12.75" customHeight="1">
      <c r="A35" s="357"/>
      <c r="B35" s="901"/>
      <c r="C35" s="359"/>
      <c r="D35" s="360" t="s">
        <v>137</v>
      </c>
      <c r="E35" s="829"/>
      <c r="F35" s="553">
        <f>'5.mell'!J10+'5.mell'!J13</f>
        <v>8340598</v>
      </c>
      <c r="G35" s="551"/>
      <c r="H35" s="554">
        <f>F35</f>
        <v>8340598</v>
      </c>
    </row>
    <row r="36" spans="1:8" ht="14.25" customHeight="1">
      <c r="A36" s="837" t="s">
        <v>200</v>
      </c>
      <c r="B36" s="836"/>
      <c r="C36" s="836"/>
      <c r="D36" s="836"/>
      <c r="E36" s="827"/>
      <c r="F36" s="550">
        <v>0</v>
      </c>
      <c r="G36" s="551"/>
      <c r="H36" s="552">
        <v>0</v>
      </c>
    </row>
    <row r="37" spans="1:8" ht="16.5" customHeight="1">
      <c r="A37" s="825" t="s">
        <v>201</v>
      </c>
      <c r="B37" s="826"/>
      <c r="C37" s="836"/>
      <c r="D37" s="836"/>
      <c r="E37" s="827"/>
      <c r="F37" s="550">
        <f>F38</f>
        <v>0</v>
      </c>
      <c r="G37" s="551"/>
      <c r="H37" s="552">
        <f>F37</f>
        <v>0</v>
      </c>
    </row>
    <row r="38" spans="1:8" ht="16.5" customHeight="1">
      <c r="A38" s="357"/>
      <c r="B38" s="425">
        <v>1</v>
      </c>
      <c r="C38" s="417"/>
      <c r="D38" s="416"/>
      <c r="E38" s="415" t="s">
        <v>370</v>
      </c>
      <c r="F38" s="553"/>
      <c r="G38" s="555"/>
      <c r="H38" s="554">
        <f>F38</f>
        <v>0</v>
      </c>
    </row>
    <row r="39" spans="1:8" ht="15.75" customHeight="1">
      <c r="A39" s="837" t="s">
        <v>202</v>
      </c>
      <c r="B39" s="836"/>
      <c r="C39" s="836"/>
      <c r="D39" s="836"/>
      <c r="E39" s="827"/>
      <c r="F39" s="550">
        <v>0</v>
      </c>
      <c r="G39" s="551"/>
      <c r="H39" s="552">
        <v>0</v>
      </c>
    </row>
    <row r="40" spans="1:8" ht="15" customHeight="1">
      <c r="A40" s="825" t="s">
        <v>203</v>
      </c>
      <c r="B40" s="826"/>
      <c r="C40" s="826"/>
      <c r="D40" s="826"/>
      <c r="E40" s="833"/>
      <c r="F40" s="550">
        <f>F41+F44</f>
        <v>305173202</v>
      </c>
      <c r="G40" s="551"/>
      <c r="H40" s="552">
        <f>H41+H44</f>
        <v>305173202</v>
      </c>
    </row>
    <row r="41" spans="1:8" ht="12" customHeight="1">
      <c r="A41" s="152"/>
      <c r="B41" s="140"/>
      <c r="C41" s="830" t="s">
        <v>252</v>
      </c>
      <c r="D41" s="831"/>
      <c r="E41" s="832"/>
      <c r="F41" s="583">
        <f>SUM(F42:F43)</f>
        <v>9270213</v>
      </c>
      <c r="G41" s="584"/>
      <c r="H41" s="585">
        <f>SUM(H42:H43)</f>
        <v>9270213</v>
      </c>
    </row>
    <row r="42" spans="1:8" ht="14.25" customHeight="1">
      <c r="A42" s="152"/>
      <c r="B42" s="140">
        <v>1</v>
      </c>
      <c r="C42" s="153" t="s">
        <v>264</v>
      </c>
      <c r="D42" s="153" t="s">
        <v>136</v>
      </c>
      <c r="E42" s="156" t="s">
        <v>204</v>
      </c>
      <c r="F42" s="553">
        <f>4712607+600000</f>
        <v>5312607</v>
      </c>
      <c r="G42" s="579"/>
      <c r="H42" s="554">
        <f>F42+G42</f>
        <v>5312607</v>
      </c>
    </row>
    <row r="43" spans="1:8" ht="14.25" customHeight="1">
      <c r="A43" s="152"/>
      <c r="B43" s="140">
        <v>2</v>
      </c>
      <c r="C43" s="701" t="s">
        <v>264</v>
      </c>
      <c r="D43" s="703" t="s">
        <v>136</v>
      </c>
      <c r="E43" s="702" t="s">
        <v>413</v>
      </c>
      <c r="F43" s="578">
        <f>3896422-466+61650</f>
        <v>3957606</v>
      </c>
      <c r="G43" s="579"/>
      <c r="H43" s="530">
        <f>F43</f>
        <v>3957606</v>
      </c>
    </row>
    <row r="44" spans="1:8" ht="11.25" customHeight="1">
      <c r="A44" s="152"/>
      <c r="B44" s="140"/>
      <c r="C44" s="830" t="s">
        <v>253</v>
      </c>
      <c r="D44" s="831"/>
      <c r="E44" s="832"/>
      <c r="F44" s="656">
        <f>SUM(F45:F58)</f>
        <v>295902989</v>
      </c>
      <c r="G44" s="657"/>
      <c r="H44" s="658">
        <f>F44</f>
        <v>295902989</v>
      </c>
    </row>
    <row r="45" spans="1:8" ht="14.25" customHeight="1">
      <c r="A45" s="152"/>
      <c r="B45" s="140">
        <v>1</v>
      </c>
      <c r="C45" s="153" t="s">
        <v>264</v>
      </c>
      <c r="D45" s="153" t="s">
        <v>136</v>
      </c>
      <c r="E45" s="156" t="s">
        <v>185</v>
      </c>
      <c r="F45" s="578">
        <v>600000</v>
      </c>
      <c r="G45" s="579"/>
      <c r="H45" s="530">
        <f>F45+G45</f>
        <v>600000</v>
      </c>
    </row>
    <row r="46" spans="1:8" ht="14.25" customHeight="1">
      <c r="A46" s="152"/>
      <c r="B46" s="140">
        <v>2</v>
      </c>
      <c r="C46" s="153" t="s">
        <v>264</v>
      </c>
      <c r="D46" s="153" t="s">
        <v>136</v>
      </c>
      <c r="E46" s="156" t="s">
        <v>104</v>
      </c>
      <c r="F46" s="553">
        <f>16321548+3584448+16651128+2971514+22000000</f>
        <v>61528638</v>
      </c>
      <c r="G46" s="555"/>
      <c r="H46" s="530">
        <f>F46+G46</f>
        <v>61528638</v>
      </c>
    </row>
    <row r="47" spans="1:8" ht="14.25" customHeight="1">
      <c r="A47" s="152"/>
      <c r="B47" s="140">
        <v>3</v>
      </c>
      <c r="C47" s="153" t="s">
        <v>264</v>
      </c>
      <c r="D47" s="153" t="s">
        <v>137</v>
      </c>
      <c r="E47" s="156" t="s">
        <v>44</v>
      </c>
      <c r="F47" s="553">
        <v>1080000</v>
      </c>
      <c r="G47" s="555"/>
      <c r="H47" s="530">
        <f>F47+G47</f>
        <v>1080000</v>
      </c>
    </row>
    <row r="48" spans="1:8" ht="14.25" customHeight="1">
      <c r="A48" s="152"/>
      <c r="B48" s="140">
        <v>4</v>
      </c>
      <c r="C48" s="153" t="s">
        <v>264</v>
      </c>
      <c r="D48" s="153" t="s">
        <v>136</v>
      </c>
      <c r="E48" s="155" t="s">
        <v>74</v>
      </c>
      <c r="F48" s="553">
        <v>500000</v>
      </c>
      <c r="G48" s="555"/>
      <c r="H48" s="530">
        <f>F48+G48</f>
        <v>500000</v>
      </c>
    </row>
    <row r="49" spans="1:8" ht="13.5" customHeight="1">
      <c r="A49" s="152"/>
      <c r="B49" s="140">
        <v>5</v>
      </c>
      <c r="C49" s="340" t="s">
        <v>264</v>
      </c>
      <c r="D49" s="157" t="s">
        <v>136</v>
      </c>
      <c r="E49" s="158" t="s">
        <v>351</v>
      </c>
      <c r="F49" s="547">
        <f>19500000+4500000+4316000-8573978+7417908-10721600-6248748-2394903</f>
        <v>7794679</v>
      </c>
      <c r="G49" s="548"/>
      <c r="H49" s="549">
        <f aca="true" t="shared" si="2" ref="H49:H55">F49</f>
        <v>7794679</v>
      </c>
    </row>
    <row r="50" spans="1:8" ht="13.5" customHeight="1">
      <c r="A50" s="152"/>
      <c r="B50" s="140">
        <v>6</v>
      </c>
      <c r="C50" s="340" t="s">
        <v>264</v>
      </c>
      <c r="D50" s="157" t="s">
        <v>136</v>
      </c>
      <c r="E50" s="158" t="s">
        <v>419</v>
      </c>
      <c r="F50" s="547">
        <f>2000000+300000</f>
        <v>2300000</v>
      </c>
      <c r="G50" s="548"/>
      <c r="H50" s="549">
        <f>F50</f>
        <v>2300000</v>
      </c>
    </row>
    <row r="51" spans="1:8" ht="13.5" customHeight="1">
      <c r="A51" s="152"/>
      <c r="B51" s="140">
        <v>7</v>
      </c>
      <c r="C51" s="157" t="s">
        <v>264</v>
      </c>
      <c r="D51" s="157" t="s">
        <v>137</v>
      </c>
      <c r="E51" s="158" t="s">
        <v>322</v>
      </c>
      <c r="F51" s="547">
        <f>25200000-324377</f>
        <v>24875623</v>
      </c>
      <c r="G51" s="548"/>
      <c r="H51" s="549">
        <f t="shared" si="2"/>
        <v>24875623</v>
      </c>
    </row>
    <row r="52" spans="1:8" ht="13.5" customHeight="1">
      <c r="A52" s="152"/>
      <c r="B52" s="140">
        <v>8</v>
      </c>
      <c r="C52" s="157" t="s">
        <v>264</v>
      </c>
      <c r="D52" s="157" t="s">
        <v>136</v>
      </c>
      <c r="E52" s="629" t="s">
        <v>408</v>
      </c>
      <c r="F52" s="547">
        <v>108824582</v>
      </c>
      <c r="G52" s="548"/>
      <c r="H52" s="549">
        <f t="shared" si="2"/>
        <v>108824582</v>
      </c>
    </row>
    <row r="53" spans="1:8" ht="13.5" customHeight="1">
      <c r="A53" s="152"/>
      <c r="B53" s="140">
        <v>9</v>
      </c>
      <c r="C53" s="157" t="s">
        <v>264</v>
      </c>
      <c r="D53" s="157" t="s">
        <v>136</v>
      </c>
      <c r="E53" s="612" t="s">
        <v>407</v>
      </c>
      <c r="F53" s="547">
        <v>1187210</v>
      </c>
      <c r="G53" s="548"/>
      <c r="H53" s="549">
        <f t="shared" si="2"/>
        <v>1187210</v>
      </c>
    </row>
    <row r="54" spans="1:8" ht="13.5" customHeight="1">
      <c r="A54" s="152"/>
      <c r="B54" s="140">
        <v>10</v>
      </c>
      <c r="C54" s="157" t="s">
        <v>264</v>
      </c>
      <c r="D54" s="157" t="s">
        <v>136</v>
      </c>
      <c r="E54" s="612" t="s">
        <v>405</v>
      </c>
      <c r="F54" s="547">
        <v>2250000</v>
      </c>
      <c r="G54" s="548"/>
      <c r="H54" s="549">
        <f t="shared" si="2"/>
        <v>2250000</v>
      </c>
    </row>
    <row r="55" spans="1:8" ht="13.5" customHeight="1">
      <c r="A55" s="152"/>
      <c r="B55" s="128">
        <v>11</v>
      </c>
      <c r="C55" s="157" t="s">
        <v>264</v>
      </c>
      <c r="D55" s="157" t="s">
        <v>136</v>
      </c>
      <c r="E55" s="612" t="s">
        <v>418</v>
      </c>
      <c r="F55" s="547">
        <f>1370800-1370800</f>
        <v>0</v>
      </c>
      <c r="G55" s="548"/>
      <c r="H55" s="549">
        <f t="shared" si="2"/>
        <v>0</v>
      </c>
    </row>
    <row r="56" spans="1:8" ht="13.5" customHeight="1">
      <c r="A56" s="152"/>
      <c r="B56" s="128">
        <v>12</v>
      </c>
      <c r="C56" s="157" t="s">
        <v>264</v>
      </c>
      <c r="D56" s="157" t="s">
        <v>136</v>
      </c>
      <c r="E56" s="612" t="s">
        <v>520</v>
      </c>
      <c r="F56" s="547">
        <v>824550</v>
      </c>
      <c r="G56" s="548"/>
      <c r="H56" s="549">
        <f>F56</f>
        <v>824550</v>
      </c>
    </row>
    <row r="57" spans="1:8" ht="13.5" customHeight="1">
      <c r="A57" s="152"/>
      <c r="B57" s="128">
        <v>13</v>
      </c>
      <c r="C57" s="157" t="s">
        <v>264</v>
      </c>
      <c r="D57" s="157" t="s">
        <v>136</v>
      </c>
      <c r="E57" s="612" t="s">
        <v>487</v>
      </c>
      <c r="F57" s="547">
        <v>42034463</v>
      </c>
      <c r="G57" s="548"/>
      <c r="H57" s="549">
        <f>F57</f>
        <v>42034463</v>
      </c>
    </row>
    <row r="58" spans="1:8" ht="13.5" customHeight="1">
      <c r="A58" s="152"/>
      <c r="B58" s="128">
        <v>14</v>
      </c>
      <c r="C58" s="470" t="s">
        <v>264</v>
      </c>
      <c r="D58" s="470" t="s">
        <v>136</v>
      </c>
      <c r="E58" s="471" t="s">
        <v>526</v>
      </c>
      <c r="F58" s="586">
        <v>42103244</v>
      </c>
      <c r="G58" s="607"/>
      <c r="H58" s="588">
        <f>F58</f>
        <v>42103244</v>
      </c>
    </row>
    <row r="59" spans="1:8" ht="16.5" customHeight="1">
      <c r="A59" s="815" t="s">
        <v>255</v>
      </c>
      <c r="B59" s="816"/>
      <c r="C59" s="816"/>
      <c r="D59" s="816"/>
      <c r="E59" s="817"/>
      <c r="F59" s="525"/>
      <c r="G59" s="526">
        <f>SUM(G60:G71)</f>
        <v>1088636573</v>
      </c>
      <c r="H59" s="527">
        <f aca="true" t="shared" si="3" ref="H59:H67">G59</f>
        <v>1088636573</v>
      </c>
    </row>
    <row r="60" spans="1:8" ht="13.5" customHeight="1">
      <c r="A60" s="149"/>
      <c r="B60" s="159">
        <v>1</v>
      </c>
      <c r="C60" s="160" t="s">
        <v>378</v>
      </c>
      <c r="D60" s="160" t="s">
        <v>137</v>
      </c>
      <c r="E60" s="158" t="s">
        <v>379</v>
      </c>
      <c r="F60" s="613"/>
      <c r="G60" s="582">
        <v>6975500</v>
      </c>
      <c r="H60" s="549">
        <f t="shared" si="3"/>
        <v>6975500</v>
      </c>
    </row>
    <row r="61" spans="1:8" ht="13.5" customHeight="1">
      <c r="A61" s="149"/>
      <c r="B61" s="159">
        <v>2</v>
      </c>
      <c r="C61" s="160" t="s">
        <v>378</v>
      </c>
      <c r="D61" s="160" t="s">
        <v>136</v>
      </c>
      <c r="E61" s="610" t="s">
        <v>405</v>
      </c>
      <c r="F61" s="614"/>
      <c r="G61" s="581">
        <f>420000000-F54</f>
        <v>417750000</v>
      </c>
      <c r="H61" s="549">
        <f t="shared" si="3"/>
        <v>417750000</v>
      </c>
    </row>
    <row r="62" spans="1:8" ht="13.5" customHeight="1">
      <c r="A62" s="149"/>
      <c r="B62" s="159">
        <v>3</v>
      </c>
      <c r="C62" s="160" t="s">
        <v>378</v>
      </c>
      <c r="D62" s="160" t="s">
        <v>136</v>
      </c>
      <c r="E62" s="610" t="s">
        <v>406</v>
      </c>
      <c r="F62" s="614"/>
      <c r="G62" s="581">
        <v>5117100</v>
      </c>
      <c r="H62" s="549">
        <f t="shared" si="3"/>
        <v>5117100</v>
      </c>
    </row>
    <row r="63" spans="1:8" ht="13.5" customHeight="1">
      <c r="A63" s="149"/>
      <c r="B63" s="159">
        <v>4</v>
      </c>
      <c r="C63" s="160" t="s">
        <v>378</v>
      </c>
      <c r="D63" s="160" t="s">
        <v>136</v>
      </c>
      <c r="E63" s="611" t="s">
        <v>407</v>
      </c>
      <c r="F63" s="615"/>
      <c r="G63" s="616">
        <f>30000000-F53</f>
        <v>28812790</v>
      </c>
      <c r="H63" s="549">
        <f t="shared" si="3"/>
        <v>28812790</v>
      </c>
    </row>
    <row r="64" spans="1:8" ht="14.25" customHeight="1">
      <c r="A64" s="149"/>
      <c r="B64" s="159">
        <v>5</v>
      </c>
      <c r="C64" s="160" t="s">
        <v>378</v>
      </c>
      <c r="D64" s="160" t="s">
        <v>136</v>
      </c>
      <c r="E64" s="612" t="s">
        <v>408</v>
      </c>
      <c r="F64" s="613"/>
      <c r="G64" s="582">
        <f>194788335-108824582</f>
        <v>85963753</v>
      </c>
      <c r="H64" s="549">
        <f t="shared" si="3"/>
        <v>85963753</v>
      </c>
    </row>
    <row r="65" spans="1:8" ht="14.25" customHeight="1">
      <c r="A65" s="149"/>
      <c r="B65" s="159">
        <v>6</v>
      </c>
      <c r="C65" s="160" t="s">
        <v>506</v>
      </c>
      <c r="D65" s="160" t="s">
        <v>136</v>
      </c>
      <c r="E65" s="612" t="s">
        <v>410</v>
      </c>
      <c r="F65" s="613"/>
      <c r="G65" s="582">
        <v>29991895</v>
      </c>
      <c r="H65" s="549">
        <f t="shared" si="3"/>
        <v>29991895</v>
      </c>
    </row>
    <row r="66" spans="1:8" ht="15" customHeight="1">
      <c r="A66" s="149"/>
      <c r="B66" s="159">
        <v>7</v>
      </c>
      <c r="C66" s="160" t="s">
        <v>378</v>
      </c>
      <c r="D66" s="160" t="s">
        <v>136</v>
      </c>
      <c r="E66" s="158" t="s">
        <v>104</v>
      </c>
      <c r="F66" s="479"/>
      <c r="G66" s="582">
        <f>537210+241300</f>
        <v>778510</v>
      </c>
      <c r="H66" s="549">
        <f t="shared" si="3"/>
        <v>778510</v>
      </c>
    </row>
    <row r="67" spans="1:8" ht="15" customHeight="1">
      <c r="A67" s="149"/>
      <c r="B67" s="159">
        <v>8</v>
      </c>
      <c r="C67" s="160" t="s">
        <v>378</v>
      </c>
      <c r="D67" s="160" t="s">
        <v>137</v>
      </c>
      <c r="E67" s="612" t="s">
        <v>409</v>
      </c>
      <c r="F67" s="479"/>
      <c r="G67" s="582">
        <v>22373111</v>
      </c>
      <c r="H67" s="549">
        <f t="shared" si="3"/>
        <v>22373111</v>
      </c>
    </row>
    <row r="68" spans="1:8" ht="15" customHeight="1">
      <c r="A68" s="149"/>
      <c r="B68" s="159">
        <v>9</v>
      </c>
      <c r="C68" s="160" t="s">
        <v>378</v>
      </c>
      <c r="D68" s="160" t="s">
        <v>136</v>
      </c>
      <c r="E68" s="612" t="s">
        <v>487</v>
      </c>
      <c r="F68" s="479"/>
      <c r="G68" s="582">
        <v>387965537</v>
      </c>
      <c r="H68" s="549">
        <f>G68</f>
        <v>387965537</v>
      </c>
    </row>
    <row r="69" spans="1:8" ht="15" customHeight="1">
      <c r="A69" s="149"/>
      <c r="B69" s="159">
        <v>10</v>
      </c>
      <c r="C69" s="160" t="s">
        <v>378</v>
      </c>
      <c r="D69" s="160" t="s">
        <v>136</v>
      </c>
      <c r="E69" s="610" t="s">
        <v>389</v>
      </c>
      <c r="F69" s="781"/>
      <c r="G69" s="553">
        <v>2584000</v>
      </c>
      <c r="H69" s="554">
        <f>G69</f>
        <v>2584000</v>
      </c>
    </row>
    <row r="70" spans="1:8" ht="26.25" customHeight="1">
      <c r="A70" s="149"/>
      <c r="B70" s="159">
        <v>11</v>
      </c>
      <c r="C70" s="160" t="s">
        <v>378</v>
      </c>
      <c r="D70" s="160" t="s">
        <v>136</v>
      </c>
      <c r="E70" s="611" t="s">
        <v>525</v>
      </c>
      <c r="F70" s="780"/>
      <c r="G70" s="616">
        <v>100000000</v>
      </c>
      <c r="H70" s="593">
        <f>G70</f>
        <v>100000000</v>
      </c>
    </row>
    <row r="71" spans="1:8" ht="15.75" customHeight="1">
      <c r="A71" s="149"/>
      <c r="B71" s="159">
        <v>12</v>
      </c>
      <c r="C71" s="465" t="s">
        <v>378</v>
      </c>
      <c r="D71" s="465" t="s">
        <v>137</v>
      </c>
      <c r="E71" s="471" t="s">
        <v>322</v>
      </c>
      <c r="F71" s="782"/>
      <c r="G71" s="586">
        <v>324377</v>
      </c>
      <c r="H71" s="588">
        <f>G71</f>
        <v>324377</v>
      </c>
    </row>
    <row r="72" spans="1:8" ht="15" customHeight="1">
      <c r="A72" s="815" t="s">
        <v>246</v>
      </c>
      <c r="B72" s="816"/>
      <c r="C72" s="816"/>
      <c r="D72" s="816"/>
      <c r="E72" s="817"/>
      <c r="F72" s="594">
        <f>F83+F78+F76+F75+F74+F73</f>
        <v>721400000</v>
      </c>
      <c r="G72" s="712"/>
      <c r="H72" s="527">
        <f>H73+H74+H75+H76+H78+H83</f>
        <v>721400000</v>
      </c>
    </row>
    <row r="73" spans="1:8" ht="14.25" customHeight="1">
      <c r="A73" s="837" t="s">
        <v>205</v>
      </c>
      <c r="B73" s="836"/>
      <c r="C73" s="836"/>
      <c r="D73" s="836"/>
      <c r="E73" s="827"/>
      <c r="F73" s="553">
        <v>0</v>
      </c>
      <c r="G73" s="713"/>
      <c r="H73" s="554">
        <v>0</v>
      </c>
    </row>
    <row r="74" spans="1:8" ht="14.25" customHeight="1">
      <c r="A74" s="837" t="s">
        <v>206</v>
      </c>
      <c r="B74" s="836"/>
      <c r="C74" s="836"/>
      <c r="D74" s="836"/>
      <c r="E74" s="827"/>
      <c r="F74" s="553">
        <v>0</v>
      </c>
      <c r="G74" s="713"/>
      <c r="H74" s="554">
        <v>0</v>
      </c>
    </row>
    <row r="75" spans="1:8" ht="14.25" customHeight="1">
      <c r="A75" s="837" t="s">
        <v>249</v>
      </c>
      <c r="B75" s="836"/>
      <c r="C75" s="836"/>
      <c r="D75" s="836"/>
      <c r="E75" s="827"/>
      <c r="F75" s="553">
        <v>0</v>
      </c>
      <c r="G75" s="713"/>
      <c r="H75" s="554">
        <v>0</v>
      </c>
    </row>
    <row r="76" spans="1:8" ht="14.25" customHeight="1">
      <c r="A76" s="825" t="s">
        <v>256</v>
      </c>
      <c r="B76" s="826"/>
      <c r="C76" s="826"/>
      <c r="D76" s="826"/>
      <c r="E76" s="827"/>
      <c r="F76" s="550">
        <f>F77</f>
        <v>60000000</v>
      </c>
      <c r="G76" s="714"/>
      <c r="H76" s="552">
        <f>H77</f>
        <v>60000000</v>
      </c>
    </row>
    <row r="77" spans="1:8" ht="14.25" customHeight="1">
      <c r="A77" s="166"/>
      <c r="B77" s="144">
        <v>1</v>
      </c>
      <c r="C77" s="168" t="s">
        <v>266</v>
      </c>
      <c r="D77" s="144" t="s">
        <v>137</v>
      </c>
      <c r="E77" s="161" t="s">
        <v>207</v>
      </c>
      <c r="F77" s="553">
        <v>60000000</v>
      </c>
      <c r="G77" s="713"/>
      <c r="H77" s="554">
        <f>F77+G77</f>
        <v>60000000</v>
      </c>
    </row>
    <row r="78" spans="1:8" ht="14.25" customHeight="1">
      <c r="A78" s="838" t="s">
        <v>257</v>
      </c>
      <c r="B78" s="839"/>
      <c r="C78" s="839"/>
      <c r="D78" s="839"/>
      <c r="E78" s="840"/>
      <c r="F78" s="601">
        <f>F82+F81+F80+F79</f>
        <v>656300000</v>
      </c>
      <c r="G78" s="715"/>
      <c r="H78" s="603">
        <f>H82+H81+H80+H79</f>
        <v>656300000</v>
      </c>
    </row>
    <row r="79" spans="1:8" ht="14.25" customHeight="1">
      <c r="A79" s="152"/>
      <c r="B79" s="140">
        <v>1</v>
      </c>
      <c r="C79" s="140" t="s">
        <v>265</v>
      </c>
      <c r="D79" s="140" t="s">
        <v>137</v>
      </c>
      <c r="E79" s="164" t="s">
        <v>208</v>
      </c>
      <c r="F79" s="553">
        <f>470000000+47000000+83000000</f>
        <v>600000000</v>
      </c>
      <c r="G79" s="713"/>
      <c r="H79" s="554">
        <f>F79+G79</f>
        <v>600000000</v>
      </c>
    </row>
    <row r="80" spans="1:8" ht="14.25" customHeight="1">
      <c r="A80" s="152"/>
      <c r="B80" s="140">
        <v>2</v>
      </c>
      <c r="C80" s="140" t="s">
        <v>267</v>
      </c>
      <c r="D80" s="140" t="s">
        <v>136</v>
      </c>
      <c r="E80" s="156" t="s">
        <v>42</v>
      </c>
      <c r="F80" s="553">
        <v>50000000</v>
      </c>
      <c r="G80" s="713"/>
      <c r="H80" s="554">
        <f>F80+G80</f>
        <v>50000000</v>
      </c>
    </row>
    <row r="81" spans="1:8" ht="14.25" customHeight="1">
      <c r="A81" s="152"/>
      <c r="B81" s="140">
        <v>3</v>
      </c>
      <c r="C81" s="140" t="s">
        <v>268</v>
      </c>
      <c r="D81" s="151" t="s">
        <v>137</v>
      </c>
      <c r="E81" s="156" t="s">
        <v>209</v>
      </c>
      <c r="F81" s="156">
        <v>6000000</v>
      </c>
      <c r="G81" s="716"/>
      <c r="H81" s="554">
        <f>F81+G81</f>
        <v>6000000</v>
      </c>
    </row>
    <row r="82" spans="1:8" ht="14.25" customHeight="1">
      <c r="A82" s="152"/>
      <c r="B82" s="140">
        <v>4</v>
      </c>
      <c r="C82" s="140" t="s">
        <v>274</v>
      </c>
      <c r="D82" s="140" t="s">
        <v>136</v>
      </c>
      <c r="E82" s="165" t="s">
        <v>43</v>
      </c>
      <c r="F82" s="547">
        <v>300000</v>
      </c>
      <c r="G82" s="717"/>
      <c r="H82" s="549">
        <f>F82+G82</f>
        <v>300000</v>
      </c>
    </row>
    <row r="83" spans="1:8" ht="14.25" customHeight="1">
      <c r="A83" s="913" t="s">
        <v>210</v>
      </c>
      <c r="B83" s="914"/>
      <c r="C83" s="914"/>
      <c r="D83" s="914"/>
      <c r="E83" s="915"/>
      <c r="F83" s="594">
        <f>F84+F87</f>
        <v>5100000</v>
      </c>
      <c r="G83" s="712"/>
      <c r="H83" s="527">
        <f>H84+H87</f>
        <v>5100000</v>
      </c>
    </row>
    <row r="84" spans="1:8" ht="12.75" customHeight="1">
      <c r="A84" s="162"/>
      <c r="B84" s="163"/>
      <c r="C84" s="830" t="s">
        <v>253</v>
      </c>
      <c r="D84" s="831"/>
      <c r="E84" s="832"/>
      <c r="F84" s="589">
        <f>F85+F86</f>
        <v>3000000</v>
      </c>
      <c r="G84" s="718"/>
      <c r="H84" s="591">
        <f>H85+H86</f>
        <v>3000000</v>
      </c>
    </row>
    <row r="85" spans="1:8" ht="14.25" customHeight="1">
      <c r="A85" s="152"/>
      <c r="B85" s="140">
        <v>1</v>
      </c>
      <c r="C85" s="814" t="s">
        <v>211</v>
      </c>
      <c r="D85" s="190" t="s">
        <v>137</v>
      </c>
      <c r="E85" s="813" t="s">
        <v>277</v>
      </c>
      <c r="F85" s="547">
        <v>2000000</v>
      </c>
      <c r="G85" s="717"/>
      <c r="H85" s="549">
        <f>F85+G85</f>
        <v>2000000</v>
      </c>
    </row>
    <row r="86" spans="1:8" ht="14.25" customHeight="1">
      <c r="A86" s="152"/>
      <c r="B86" s="140">
        <v>2</v>
      </c>
      <c r="C86" s="818"/>
      <c r="D86" s="168" t="s">
        <v>136</v>
      </c>
      <c r="E86" s="809"/>
      <c r="F86" s="547">
        <v>1000000</v>
      </c>
      <c r="G86" s="717"/>
      <c r="H86" s="549">
        <f>F86</f>
        <v>1000000</v>
      </c>
    </row>
    <row r="87" spans="1:8" ht="14.25" customHeight="1">
      <c r="A87" s="152"/>
      <c r="B87" s="140"/>
      <c r="C87" s="830" t="s">
        <v>252</v>
      </c>
      <c r="D87" s="831"/>
      <c r="E87" s="832"/>
      <c r="F87" s="545">
        <f>SUM(F88:F89)</f>
        <v>2100000</v>
      </c>
      <c r="G87" s="719"/>
      <c r="H87" s="546">
        <f>SUM(H88:H89)</f>
        <v>2100000</v>
      </c>
    </row>
    <row r="88" spans="1:8" ht="14.25" customHeight="1">
      <c r="A88" s="152"/>
      <c r="B88" s="140">
        <v>1</v>
      </c>
      <c r="C88" s="140" t="s">
        <v>211</v>
      </c>
      <c r="D88" s="140" t="s">
        <v>165</v>
      </c>
      <c r="E88" s="154" t="s">
        <v>350</v>
      </c>
      <c r="F88" s="553">
        <f>400000+1100000</f>
        <v>1500000</v>
      </c>
      <c r="G88" s="713"/>
      <c r="H88" s="554">
        <f>F88+G88</f>
        <v>1500000</v>
      </c>
    </row>
    <row r="89" spans="1:8" ht="14.25" customHeight="1">
      <c r="A89" s="187"/>
      <c r="B89" s="188">
        <v>2</v>
      </c>
      <c r="C89" s="188" t="s">
        <v>211</v>
      </c>
      <c r="D89" s="188" t="s">
        <v>165</v>
      </c>
      <c r="E89" s="189" t="s">
        <v>122</v>
      </c>
      <c r="F89" s="586">
        <f>400000+200000</f>
        <v>600000</v>
      </c>
      <c r="G89" s="720"/>
      <c r="H89" s="588">
        <f>F89+G89</f>
        <v>600000</v>
      </c>
    </row>
    <row r="90" spans="1:8" ht="17.25" customHeight="1">
      <c r="A90" s="852" t="s">
        <v>212</v>
      </c>
      <c r="B90" s="853"/>
      <c r="C90" s="853"/>
      <c r="D90" s="853"/>
      <c r="E90" s="854"/>
      <c r="F90" s="598">
        <f>F91+F110</f>
        <v>175852244</v>
      </c>
      <c r="G90" s="599"/>
      <c r="H90" s="600">
        <f>H91+H110</f>
        <v>175852244</v>
      </c>
    </row>
    <row r="91" spans="1:8" ht="12.75" customHeight="1">
      <c r="A91" s="152"/>
      <c r="B91" s="140"/>
      <c r="C91" s="830" t="s">
        <v>253</v>
      </c>
      <c r="D91" s="831"/>
      <c r="E91" s="832"/>
      <c r="F91" s="583">
        <f>SUM(F92:F109)</f>
        <v>171031810</v>
      </c>
      <c r="G91" s="584"/>
      <c r="H91" s="585">
        <f>F91</f>
        <v>171031810</v>
      </c>
    </row>
    <row r="92" spans="1:8" ht="12.75" customHeight="1">
      <c r="A92" s="152"/>
      <c r="B92" s="812">
        <v>1</v>
      </c>
      <c r="C92" s="814" t="s">
        <v>216</v>
      </c>
      <c r="D92" s="140" t="s">
        <v>137</v>
      </c>
      <c r="E92" s="813" t="s">
        <v>273</v>
      </c>
      <c r="F92" s="547">
        <f>26000000-9000000+234978-2182989</f>
        <v>15051989</v>
      </c>
      <c r="G92" s="548"/>
      <c r="H92" s="554">
        <f aca="true" t="shared" si="4" ref="H92:H102">F92</f>
        <v>15051989</v>
      </c>
    </row>
    <row r="93" spans="1:8" ht="12.75" customHeight="1">
      <c r="A93" s="152"/>
      <c r="B93" s="812"/>
      <c r="C93" s="814"/>
      <c r="D93" s="140" t="s">
        <v>136</v>
      </c>
      <c r="E93" s="809"/>
      <c r="F93" s="547">
        <f>1300000+7000000+9000000+1120535+2182989+1157175</f>
        <v>21760699</v>
      </c>
      <c r="G93" s="548"/>
      <c r="H93" s="554">
        <f t="shared" si="4"/>
        <v>21760699</v>
      </c>
    </row>
    <row r="94" spans="1:8" ht="12.75" customHeight="1">
      <c r="A94" s="152"/>
      <c r="B94" s="812">
        <v>2</v>
      </c>
      <c r="C94" s="814" t="s">
        <v>214</v>
      </c>
      <c r="D94" s="140" t="s">
        <v>137</v>
      </c>
      <c r="E94" s="813" t="s">
        <v>276</v>
      </c>
      <c r="F94" s="553">
        <f>2500000+500000+14820000+783367+126672</f>
        <v>18730039</v>
      </c>
      <c r="G94" s="555"/>
      <c r="H94" s="554">
        <f t="shared" si="4"/>
        <v>18730039</v>
      </c>
    </row>
    <row r="95" spans="1:8" ht="12.75" customHeight="1">
      <c r="A95" s="152"/>
      <c r="B95" s="812"/>
      <c r="C95" s="814"/>
      <c r="D95" s="140" t="s">
        <v>136</v>
      </c>
      <c r="E95" s="809"/>
      <c r="F95" s="553">
        <f>600000+1000000+600000</f>
        <v>2200000</v>
      </c>
      <c r="G95" s="555"/>
      <c r="H95" s="554">
        <f t="shared" si="4"/>
        <v>2200000</v>
      </c>
    </row>
    <row r="96" spans="1:8" ht="12.75" customHeight="1">
      <c r="A96" s="152"/>
      <c r="B96" s="812">
        <v>3</v>
      </c>
      <c r="C96" s="814" t="s">
        <v>213</v>
      </c>
      <c r="D96" s="140" t="s">
        <v>137</v>
      </c>
      <c r="E96" s="813" t="s">
        <v>278</v>
      </c>
      <c r="F96" s="553">
        <f>50000000</f>
        <v>50000000</v>
      </c>
      <c r="G96" s="555"/>
      <c r="H96" s="554">
        <f t="shared" si="4"/>
        <v>50000000</v>
      </c>
    </row>
    <row r="97" spans="1:8" ht="12.75" customHeight="1">
      <c r="A97" s="152"/>
      <c r="B97" s="812"/>
      <c r="C97" s="814"/>
      <c r="D97" s="140" t="s">
        <v>136</v>
      </c>
      <c r="E97" s="809"/>
      <c r="F97" s="547">
        <f>7000000-7000000</f>
        <v>0</v>
      </c>
      <c r="G97" s="548"/>
      <c r="H97" s="554">
        <f t="shared" si="4"/>
        <v>0</v>
      </c>
    </row>
    <row r="98" spans="1:8" ht="12.75" customHeight="1">
      <c r="A98" s="152"/>
      <c r="B98" s="812">
        <v>4</v>
      </c>
      <c r="C98" s="814" t="s">
        <v>289</v>
      </c>
      <c r="D98" s="140" t="s">
        <v>137</v>
      </c>
      <c r="E98" s="813" t="s">
        <v>287</v>
      </c>
      <c r="F98" s="547">
        <v>0</v>
      </c>
      <c r="G98" s="548"/>
      <c r="H98" s="554">
        <f t="shared" si="4"/>
        <v>0</v>
      </c>
    </row>
    <row r="99" spans="1:8" ht="12.75" customHeight="1">
      <c r="A99" s="152"/>
      <c r="B99" s="812"/>
      <c r="C99" s="814"/>
      <c r="D99" s="140" t="s">
        <v>136</v>
      </c>
      <c r="E99" s="809"/>
      <c r="F99" s="547">
        <f>17733035+221376-704953</f>
        <v>17249458</v>
      </c>
      <c r="G99" s="548"/>
      <c r="H99" s="554">
        <f t="shared" si="4"/>
        <v>17249458</v>
      </c>
    </row>
    <row r="100" spans="1:8" ht="12.75" customHeight="1">
      <c r="A100" s="152"/>
      <c r="B100" s="812">
        <v>5</v>
      </c>
      <c r="C100" s="814" t="s">
        <v>286</v>
      </c>
      <c r="D100" s="140" t="s">
        <v>137</v>
      </c>
      <c r="E100" s="813" t="s">
        <v>288</v>
      </c>
      <c r="F100" s="547">
        <f>7020000+675000+135000+4002000-2400000+63444+211509+34201-619414</f>
        <v>9121740</v>
      </c>
      <c r="G100" s="548"/>
      <c r="H100" s="554">
        <f t="shared" si="4"/>
        <v>9121740</v>
      </c>
    </row>
    <row r="101" spans="1:8" ht="12.75" customHeight="1">
      <c r="A101" s="152"/>
      <c r="B101" s="812"/>
      <c r="C101" s="814"/>
      <c r="D101" s="140" t="s">
        <v>136</v>
      </c>
      <c r="E101" s="809"/>
      <c r="F101" s="547">
        <f>4787920+351000+162000+162000+270000+1890000+2400000+302544+59771+619414+312437-190337</f>
        <v>11126749</v>
      </c>
      <c r="G101" s="548"/>
      <c r="H101" s="554">
        <f t="shared" si="4"/>
        <v>11126749</v>
      </c>
    </row>
    <row r="102" spans="1:8" ht="12.75" customHeight="1">
      <c r="A102" s="152"/>
      <c r="B102" s="812">
        <v>6</v>
      </c>
      <c r="C102" s="810" t="s">
        <v>215</v>
      </c>
      <c r="D102" s="167" t="s">
        <v>137</v>
      </c>
      <c r="E102" s="813" t="s">
        <v>272</v>
      </c>
      <c r="F102" s="553">
        <f>17000000+7814543+63678</f>
        <v>24878221</v>
      </c>
      <c r="G102" s="592"/>
      <c r="H102" s="549">
        <f t="shared" si="4"/>
        <v>24878221</v>
      </c>
    </row>
    <row r="103" spans="1:8" ht="12.75" customHeight="1">
      <c r="A103" s="152"/>
      <c r="B103" s="812"/>
      <c r="C103" s="810"/>
      <c r="D103" s="167" t="s">
        <v>136</v>
      </c>
      <c r="E103" s="809"/>
      <c r="F103" s="553">
        <f>4000000-4000000</f>
        <v>0</v>
      </c>
      <c r="G103" s="555"/>
      <c r="H103" s="554">
        <f aca="true" t="shared" si="5" ref="H103:H116">F103</f>
        <v>0</v>
      </c>
    </row>
    <row r="104" spans="1:8" ht="12.75" customHeight="1">
      <c r="A104" s="152"/>
      <c r="B104" s="812">
        <v>7</v>
      </c>
      <c r="C104" s="810" t="s">
        <v>513</v>
      </c>
      <c r="D104" s="167" t="s">
        <v>137</v>
      </c>
      <c r="E104" s="813" t="s">
        <v>517</v>
      </c>
      <c r="F104" s="553"/>
      <c r="G104" s="555"/>
      <c r="H104" s="554">
        <f t="shared" si="5"/>
        <v>0</v>
      </c>
    </row>
    <row r="105" spans="1:8" ht="12.75" customHeight="1">
      <c r="A105" s="152"/>
      <c r="B105" s="812"/>
      <c r="C105" s="810"/>
      <c r="D105" s="167" t="s">
        <v>136</v>
      </c>
      <c r="E105" s="808"/>
      <c r="F105" s="553"/>
      <c r="G105" s="555"/>
      <c r="H105" s="554">
        <f t="shared" si="5"/>
        <v>0</v>
      </c>
    </row>
    <row r="106" spans="1:8" ht="12.75" customHeight="1">
      <c r="A106" s="152"/>
      <c r="B106" s="812">
        <v>8</v>
      </c>
      <c r="C106" s="810" t="s">
        <v>514</v>
      </c>
      <c r="D106" s="167" t="s">
        <v>137</v>
      </c>
      <c r="E106" s="813" t="s">
        <v>518</v>
      </c>
      <c r="F106" s="553"/>
      <c r="G106" s="555"/>
      <c r="H106" s="554">
        <f t="shared" si="5"/>
        <v>0</v>
      </c>
    </row>
    <row r="107" spans="1:8" ht="12.75" customHeight="1">
      <c r="A107" s="152"/>
      <c r="B107" s="812"/>
      <c r="C107" s="810"/>
      <c r="D107" s="167" t="s">
        <v>136</v>
      </c>
      <c r="E107" s="809"/>
      <c r="F107" s="553">
        <f>293204+12866</f>
        <v>306070</v>
      </c>
      <c r="G107" s="555"/>
      <c r="H107" s="554">
        <f t="shared" si="5"/>
        <v>306070</v>
      </c>
    </row>
    <row r="108" spans="1:8" ht="12.75" customHeight="1">
      <c r="A108" s="152"/>
      <c r="B108" s="812">
        <v>9</v>
      </c>
      <c r="C108" s="810" t="s">
        <v>515</v>
      </c>
      <c r="D108" s="167" t="s">
        <v>137</v>
      </c>
      <c r="E108" s="808" t="s">
        <v>519</v>
      </c>
      <c r="F108" s="553">
        <f>7086</f>
        <v>7086</v>
      </c>
      <c r="G108" s="555"/>
      <c r="H108" s="554">
        <f t="shared" si="5"/>
        <v>7086</v>
      </c>
    </row>
    <row r="109" spans="1:8" ht="12.75" customHeight="1">
      <c r="A109" s="152"/>
      <c r="B109" s="812"/>
      <c r="C109" s="811"/>
      <c r="D109" s="167" t="s">
        <v>136</v>
      </c>
      <c r="E109" s="809"/>
      <c r="F109" s="553">
        <f>380000+219759</f>
        <v>599759</v>
      </c>
      <c r="G109" s="555"/>
      <c r="H109" s="554">
        <f t="shared" si="5"/>
        <v>599759</v>
      </c>
    </row>
    <row r="110" spans="1:8" ht="12.75" customHeight="1">
      <c r="A110" s="152"/>
      <c r="B110" s="140"/>
      <c r="C110" s="830" t="s">
        <v>252</v>
      </c>
      <c r="D110" s="831"/>
      <c r="E110" s="832"/>
      <c r="F110" s="589">
        <f>SUM(F111:F116)</f>
        <v>4820434</v>
      </c>
      <c r="G110" s="590"/>
      <c r="H110" s="591">
        <f t="shared" si="5"/>
        <v>4820434</v>
      </c>
    </row>
    <row r="111" spans="1:8" ht="12.75" customHeight="1">
      <c r="A111" s="152"/>
      <c r="B111" s="128">
        <v>1</v>
      </c>
      <c r="C111" s="160" t="s">
        <v>216</v>
      </c>
      <c r="D111" s="160" t="s">
        <v>136</v>
      </c>
      <c r="E111" s="344" t="s">
        <v>273</v>
      </c>
      <c r="F111" s="547">
        <f>1400000</f>
        <v>1400000</v>
      </c>
      <c r="G111" s="548"/>
      <c r="H111" s="549">
        <f t="shared" si="5"/>
        <v>1400000</v>
      </c>
    </row>
    <row r="112" spans="1:8" ht="12.75" customHeight="1">
      <c r="A112" s="152"/>
      <c r="B112" s="812">
        <v>2</v>
      </c>
      <c r="C112" s="814" t="s">
        <v>214</v>
      </c>
      <c r="D112" s="167" t="s">
        <v>136</v>
      </c>
      <c r="E112" s="813" t="s">
        <v>276</v>
      </c>
      <c r="F112" s="547">
        <f>1600000+525982</f>
        <v>2125982</v>
      </c>
      <c r="G112" s="548"/>
      <c r="H112" s="549">
        <f t="shared" si="5"/>
        <v>2125982</v>
      </c>
    </row>
    <row r="113" spans="1:8" ht="12.75" customHeight="1">
      <c r="A113" s="152"/>
      <c r="B113" s="812"/>
      <c r="C113" s="814"/>
      <c r="D113" s="167" t="s">
        <v>137</v>
      </c>
      <c r="E113" s="809"/>
      <c r="F113" s="547">
        <v>300000</v>
      </c>
      <c r="G113" s="548"/>
      <c r="H113" s="549">
        <f t="shared" si="5"/>
        <v>300000</v>
      </c>
    </row>
    <row r="114" spans="1:8" ht="12.75" customHeight="1">
      <c r="A114" s="152"/>
      <c r="B114" s="812">
        <v>3</v>
      </c>
      <c r="C114" s="814" t="s">
        <v>286</v>
      </c>
      <c r="D114" s="167" t="s">
        <v>136</v>
      </c>
      <c r="E114" s="813" t="s">
        <v>288</v>
      </c>
      <c r="F114" s="547">
        <f>378000+432000</f>
        <v>810000</v>
      </c>
      <c r="G114" s="548"/>
      <c r="H114" s="549">
        <f t="shared" si="5"/>
        <v>810000</v>
      </c>
    </row>
    <row r="115" spans="1:8" ht="12.75" customHeight="1">
      <c r="A115" s="152"/>
      <c r="B115" s="812"/>
      <c r="C115" s="814"/>
      <c r="D115" s="167" t="s">
        <v>137</v>
      </c>
      <c r="E115" s="809"/>
      <c r="F115" s="547">
        <v>81000</v>
      </c>
      <c r="G115" s="548"/>
      <c r="H115" s="549">
        <f t="shared" si="5"/>
        <v>81000</v>
      </c>
    </row>
    <row r="116" spans="1:8" ht="12.75" customHeight="1">
      <c r="A116" s="152"/>
      <c r="B116" s="128">
        <v>4</v>
      </c>
      <c r="C116" s="779" t="s">
        <v>515</v>
      </c>
      <c r="D116" s="779" t="s">
        <v>136</v>
      </c>
      <c r="E116" s="778" t="s">
        <v>519</v>
      </c>
      <c r="F116" s="586">
        <f>103452</f>
        <v>103452</v>
      </c>
      <c r="G116" s="607"/>
      <c r="H116" s="588">
        <f t="shared" si="5"/>
        <v>103452</v>
      </c>
    </row>
    <row r="117" spans="1:8" ht="14.25" customHeight="1">
      <c r="A117" s="865"/>
      <c r="B117" s="866"/>
      <c r="C117" s="867"/>
      <c r="D117" s="867"/>
      <c r="E117" s="868"/>
      <c r="F117" s="525"/>
      <c r="G117" s="526">
        <f>G118+G119</f>
        <v>53191012</v>
      </c>
      <c r="H117" s="527">
        <f>G117</f>
        <v>53191012</v>
      </c>
    </row>
    <row r="118" spans="1:8" ht="14.25" customHeight="1">
      <c r="A118" s="152"/>
      <c r="B118" s="335">
        <v>1</v>
      </c>
      <c r="C118" s="841" t="s">
        <v>346</v>
      </c>
      <c r="D118" s="343" t="s">
        <v>136</v>
      </c>
      <c r="E118" s="828" t="s">
        <v>302</v>
      </c>
      <c r="F118" s="528"/>
      <c r="G118" s="529">
        <v>0</v>
      </c>
      <c r="H118" s="530">
        <f>G118</f>
        <v>0</v>
      </c>
    </row>
    <row r="119" spans="1:8" ht="14.25" customHeight="1">
      <c r="A119" s="187"/>
      <c r="B119" s="192">
        <v>2</v>
      </c>
      <c r="C119" s="842"/>
      <c r="D119" s="342" t="s">
        <v>137</v>
      </c>
      <c r="E119" s="851"/>
      <c r="F119" s="531"/>
      <c r="G119" s="532">
        <f>51000000+2191012</f>
        <v>53191012</v>
      </c>
      <c r="H119" s="533">
        <f>G119</f>
        <v>53191012</v>
      </c>
    </row>
    <row r="120" spans="1:8" ht="14.25" customHeight="1">
      <c r="A120" s="865" t="s">
        <v>371</v>
      </c>
      <c r="B120" s="866"/>
      <c r="C120" s="866"/>
      <c r="D120" s="866"/>
      <c r="E120" s="871"/>
      <c r="F120" s="604">
        <f>F121+F122</f>
        <v>22684860</v>
      </c>
      <c r="G120" s="605"/>
      <c r="H120" s="606">
        <f>F120</f>
        <v>22684860</v>
      </c>
    </row>
    <row r="121" spans="1:8" ht="14.25" customHeight="1">
      <c r="A121" s="185"/>
      <c r="B121" s="151">
        <v>1</v>
      </c>
      <c r="C121" s="169" t="s">
        <v>337</v>
      </c>
      <c r="D121" s="169" t="s">
        <v>136</v>
      </c>
      <c r="E121" s="356" t="s">
        <v>403</v>
      </c>
      <c r="F121" s="547">
        <v>21072860</v>
      </c>
      <c r="G121" s="548"/>
      <c r="H121" s="549">
        <f>F121</f>
        <v>21072860</v>
      </c>
    </row>
    <row r="122" spans="1:8" ht="14.25" customHeight="1">
      <c r="A122" s="191"/>
      <c r="B122" s="192">
        <v>2</v>
      </c>
      <c r="C122" s="341" t="s">
        <v>337</v>
      </c>
      <c r="D122" s="341" t="s">
        <v>137</v>
      </c>
      <c r="E122" s="777" t="s">
        <v>524</v>
      </c>
      <c r="F122" s="586">
        <f>1000000+612000</f>
        <v>1612000</v>
      </c>
      <c r="G122" s="607"/>
      <c r="H122" s="588">
        <f>F122</f>
        <v>1612000</v>
      </c>
    </row>
    <row r="123" spans="1:8" ht="14.25" customHeight="1">
      <c r="A123" s="852" t="s">
        <v>372</v>
      </c>
      <c r="B123" s="853"/>
      <c r="C123" s="869"/>
      <c r="D123" s="869"/>
      <c r="E123" s="870"/>
      <c r="F123" s="528"/>
      <c r="G123" s="608">
        <f>G124+G125</f>
        <v>1800000</v>
      </c>
      <c r="H123" s="600">
        <f>G123</f>
        <v>1800000</v>
      </c>
    </row>
    <row r="124" spans="1:8" ht="12.75" customHeight="1">
      <c r="A124" s="185"/>
      <c r="B124" s="855">
        <v>1</v>
      </c>
      <c r="C124" s="841" t="s">
        <v>332</v>
      </c>
      <c r="D124" s="169" t="s">
        <v>137</v>
      </c>
      <c r="E124" s="843" t="s">
        <v>291</v>
      </c>
      <c r="F124" s="596"/>
      <c r="G124" s="582">
        <v>1100000</v>
      </c>
      <c r="H124" s="549">
        <f>G124</f>
        <v>1100000</v>
      </c>
    </row>
    <row r="125" spans="1:8" ht="10.5" customHeight="1">
      <c r="A125" s="191"/>
      <c r="B125" s="857"/>
      <c r="C125" s="842"/>
      <c r="D125" s="341" t="s">
        <v>136</v>
      </c>
      <c r="E125" s="844"/>
      <c r="F125" s="609"/>
      <c r="G125" s="587">
        <v>700000</v>
      </c>
      <c r="H125" s="588">
        <f>G125</f>
        <v>700000</v>
      </c>
    </row>
    <row r="126" spans="1:8" ht="14.25" customHeight="1">
      <c r="A126" s="852" t="s">
        <v>373</v>
      </c>
      <c r="B126" s="853"/>
      <c r="C126" s="853"/>
      <c r="D126" s="853"/>
      <c r="E126" s="854"/>
      <c r="F126" s="601">
        <f>SUM(F127:F131)</f>
        <v>3427548734</v>
      </c>
      <c r="G126" s="601">
        <f>SUM(G127:G131)</f>
        <v>2298631555</v>
      </c>
      <c r="H126" s="603">
        <f>G126+F126</f>
        <v>5726180289</v>
      </c>
    </row>
    <row r="127" spans="1:8" ht="12.75" customHeight="1">
      <c r="A127" s="152"/>
      <c r="B127" s="855">
        <v>1</v>
      </c>
      <c r="C127" s="841" t="s">
        <v>359</v>
      </c>
      <c r="D127" s="169" t="s">
        <v>136</v>
      </c>
      <c r="E127" s="843" t="s">
        <v>326</v>
      </c>
      <c r="F127" s="547">
        <f>300847006-2427041</f>
        <v>298419965</v>
      </c>
      <c r="G127" s="582">
        <f>683760324-566406757</f>
        <v>117353567</v>
      </c>
      <c r="H127" s="659">
        <f>G127+F127</f>
        <v>415773532</v>
      </c>
    </row>
    <row r="128" spans="1:8" ht="11.25" customHeight="1">
      <c r="A128" s="152"/>
      <c r="B128" s="855"/>
      <c r="C128" s="856"/>
      <c r="D128" s="169" t="s">
        <v>137</v>
      </c>
      <c r="E128" s="872"/>
      <c r="F128" s="547">
        <v>0</v>
      </c>
      <c r="G128" s="582">
        <v>566406757</v>
      </c>
      <c r="H128" s="659">
        <f>G128+F128</f>
        <v>566406757</v>
      </c>
    </row>
    <row r="129" spans="1:8" ht="14.25" customHeight="1">
      <c r="A129" s="152"/>
      <c r="B129" s="855">
        <v>2</v>
      </c>
      <c r="C129" s="864" t="s">
        <v>358</v>
      </c>
      <c r="D129" s="169" t="s">
        <v>136</v>
      </c>
      <c r="E129" s="843" t="s">
        <v>356</v>
      </c>
      <c r="F129" s="547">
        <f>94484203+107-5000000+10010601+19133858+500000+10000000</f>
        <v>129128769</v>
      </c>
      <c r="G129" s="582">
        <f>62000000+70000000+1200000000-94484203-107+5000000-5000000-3000000-10010601-19133858-500000-10000000</f>
        <v>1194871231</v>
      </c>
      <c r="H129" s="659">
        <f>F129+G129</f>
        <v>1324000000</v>
      </c>
    </row>
    <row r="130" spans="1:8" ht="14.25" customHeight="1">
      <c r="A130" s="152"/>
      <c r="B130" s="855"/>
      <c r="C130" s="864"/>
      <c r="D130" s="169" t="s">
        <v>137</v>
      </c>
      <c r="E130" s="872"/>
      <c r="F130" s="547">
        <v>3000000000</v>
      </c>
      <c r="G130" s="582"/>
      <c r="H130" s="659">
        <f>F130+G130</f>
        <v>3000000000</v>
      </c>
    </row>
    <row r="131" spans="1:8" ht="14.25" customHeight="1" thickBot="1">
      <c r="A131" s="186"/>
      <c r="B131" s="423">
        <v>3</v>
      </c>
      <c r="C131" s="418" t="s">
        <v>340</v>
      </c>
      <c r="D131" s="170" t="s">
        <v>136</v>
      </c>
      <c r="E131" s="424" t="s">
        <v>342</v>
      </c>
      <c r="F131" s="480"/>
      <c r="G131" s="519">
        <f>370000000+50000000</f>
        <v>420000000</v>
      </c>
      <c r="H131" s="520">
        <f>F131+G131</f>
        <v>420000000</v>
      </c>
    </row>
    <row r="132" spans="1:8" ht="16.5" customHeight="1" thickBot="1" thickTop="1">
      <c r="A132" s="848" t="s">
        <v>258</v>
      </c>
      <c r="B132" s="849"/>
      <c r="C132" s="849"/>
      <c r="D132" s="849"/>
      <c r="E132" s="850"/>
      <c r="F132" s="653">
        <f>F18+F59+F72+F90+F117+F120+F123+F126+'4.mell '!K19</f>
        <v>5275244030</v>
      </c>
      <c r="G132" s="653">
        <f>G18+G59+G72+G90+G117+G120+G123+G126</f>
        <v>3442259140</v>
      </c>
      <c r="H132" s="655">
        <f>H18+H59+H72+H90+H117+H120+H123+H126+'4.mell '!K19</f>
        <v>8717503170</v>
      </c>
    </row>
    <row r="133" spans="1:8" s="12" customFormat="1" ht="14.25" customHeight="1" thickTop="1">
      <c r="A133" s="845" t="s">
        <v>151</v>
      </c>
      <c r="B133" s="846"/>
      <c r="C133" s="846"/>
      <c r="D133" s="846"/>
      <c r="E133" s="847"/>
      <c r="F133" s="550">
        <f>F134+F135+F136</f>
        <v>5226645824</v>
      </c>
      <c r="G133" s="580">
        <f>G134+G135+G136</f>
        <v>3442259140</v>
      </c>
      <c r="H133" s="552">
        <f>G133+F133</f>
        <v>8668904964</v>
      </c>
    </row>
    <row r="134" spans="1:8" s="108" customFormat="1" ht="14.25" customHeight="1">
      <c r="A134" s="879" t="s">
        <v>176</v>
      </c>
      <c r="B134" s="880"/>
      <c r="C134" s="880"/>
      <c r="D134" s="880"/>
      <c r="E134" s="881"/>
      <c r="F134" s="666">
        <f>F20+F48+F80+F82+F93+F99+F101+F127+F97+F46+F103+F86+F95+F34+F129+F45+F121+F38+F49+F54+F52+F53+F50+F55+F105+F107+F109+F56+F57+F58</f>
        <v>1404948528</v>
      </c>
      <c r="G134" s="667">
        <f>+G127+G118+G125+G131+G129+G61+G62+G63+G64+G65+G66+G68+G69+G70</f>
        <v>2791888383</v>
      </c>
      <c r="H134" s="668">
        <f>G134+F134</f>
        <v>4196836911</v>
      </c>
    </row>
    <row r="135" spans="1:8" s="108" customFormat="1" ht="14.25" customHeight="1">
      <c r="A135" s="858" t="s">
        <v>173</v>
      </c>
      <c r="B135" s="859"/>
      <c r="C135" s="859"/>
      <c r="D135" s="859"/>
      <c r="E135" s="860"/>
      <c r="F135" s="669">
        <v>0</v>
      </c>
      <c r="G135" s="670">
        <v>0</v>
      </c>
      <c r="H135" s="671">
        <f>G135+F135</f>
        <v>0</v>
      </c>
    </row>
    <row r="136" spans="1:8" s="108" customFormat="1" ht="14.25" customHeight="1">
      <c r="A136" s="861" t="s">
        <v>174</v>
      </c>
      <c r="B136" s="862"/>
      <c r="C136" s="862"/>
      <c r="D136" s="862"/>
      <c r="E136" s="863"/>
      <c r="F136" s="672">
        <f>+F47+F77+F79+F81+F85+F96++F94+F102+F100+F128++F92+F130+F98+F35+F51+F104+F106+F108+F122</f>
        <v>3821697296</v>
      </c>
      <c r="G136" s="673">
        <f>G128+G124+G119+G60+G130+G67+G71</f>
        <v>650370757</v>
      </c>
      <c r="H136" s="674">
        <f>F136+G136</f>
        <v>4472068053</v>
      </c>
    </row>
    <row r="137" spans="1:8" s="12" customFormat="1" ht="14.25" customHeight="1">
      <c r="A137" s="876" t="s">
        <v>175</v>
      </c>
      <c r="B137" s="877"/>
      <c r="C137" s="877"/>
      <c r="D137" s="877"/>
      <c r="E137" s="878"/>
      <c r="F137" s="601">
        <f>F138+F139+F140</f>
        <v>48598206</v>
      </c>
      <c r="G137" s="601">
        <f>G138+G139+G140</f>
        <v>0</v>
      </c>
      <c r="H137" s="603">
        <f>G137+F137</f>
        <v>48598206</v>
      </c>
    </row>
    <row r="138" spans="1:8" s="12" customFormat="1" ht="14.25" customHeight="1">
      <c r="A138" s="879" t="s">
        <v>176</v>
      </c>
      <c r="B138" s="880"/>
      <c r="C138" s="880"/>
      <c r="D138" s="880"/>
      <c r="E138" s="881"/>
      <c r="F138" s="589">
        <f>F42+F112+F114+F111+'4.mell '!K19+F43+F116</f>
        <v>46117206</v>
      </c>
      <c r="G138" s="595"/>
      <c r="H138" s="591">
        <f>G138+F138</f>
        <v>46117206</v>
      </c>
    </row>
    <row r="139" spans="1:8" s="12" customFormat="1" ht="14.25" customHeight="1">
      <c r="A139" s="858" t="s">
        <v>173</v>
      </c>
      <c r="B139" s="859"/>
      <c r="C139" s="859"/>
      <c r="D139" s="859"/>
      <c r="E139" s="860"/>
      <c r="F139" s="589">
        <f>F87</f>
        <v>2100000</v>
      </c>
      <c r="G139" s="595"/>
      <c r="H139" s="591">
        <f>F139+G139</f>
        <v>2100000</v>
      </c>
    </row>
    <row r="140" spans="1:8" s="12" customFormat="1" ht="14.25" customHeight="1" thickBot="1">
      <c r="A140" s="861" t="s">
        <v>174</v>
      </c>
      <c r="B140" s="862"/>
      <c r="C140" s="862"/>
      <c r="D140" s="862"/>
      <c r="E140" s="863"/>
      <c r="F140" s="583">
        <f>F113+F115</f>
        <v>381000</v>
      </c>
      <c r="G140" s="675"/>
      <c r="H140" s="676">
        <f>F140+G140</f>
        <v>381000</v>
      </c>
    </row>
    <row r="141" spans="1:8" ht="14.25" customHeight="1" thickBot="1">
      <c r="A141" s="882" t="s">
        <v>367</v>
      </c>
      <c r="B141" s="883"/>
      <c r="C141" s="883"/>
      <c r="D141" s="883"/>
      <c r="E141" s="884"/>
      <c r="F141" s="677">
        <f>F132+F15+'4.mell '!K16</f>
        <v>5456565620</v>
      </c>
      <c r="G141" s="677">
        <f>G132+G15</f>
        <v>3443659140</v>
      </c>
      <c r="H141" s="678">
        <f>G141+F141</f>
        <v>8900224760</v>
      </c>
    </row>
    <row r="142" spans="1:8" ht="14.25" customHeight="1">
      <c r="A142" s="879" t="s">
        <v>176</v>
      </c>
      <c r="B142" s="880"/>
      <c r="C142" s="880"/>
      <c r="D142" s="880"/>
      <c r="E142" s="881"/>
      <c r="F142" s="679">
        <f>F138+F134+F10+F13+'4.mell '!K17</f>
        <v>1559658594</v>
      </c>
      <c r="G142" s="679">
        <f>G138+G134+G10+G13</f>
        <v>2791888383</v>
      </c>
      <c r="H142" s="680">
        <f>F142+G142</f>
        <v>4351546977</v>
      </c>
    </row>
    <row r="143" spans="1:8" ht="14.25" customHeight="1">
      <c r="A143" s="858" t="s">
        <v>173</v>
      </c>
      <c r="B143" s="859"/>
      <c r="C143" s="859"/>
      <c r="D143" s="859"/>
      <c r="E143" s="860"/>
      <c r="F143" s="550">
        <f>F135+F139</f>
        <v>2100000</v>
      </c>
      <c r="G143" s="550">
        <f>G135+G139</f>
        <v>0</v>
      </c>
      <c r="H143" s="552">
        <f>F143+G143</f>
        <v>2100000</v>
      </c>
    </row>
    <row r="144" spans="1:8" ht="14.25" customHeight="1" thickBot="1">
      <c r="A144" s="861" t="s">
        <v>174</v>
      </c>
      <c r="B144" s="862"/>
      <c r="C144" s="862"/>
      <c r="D144" s="862"/>
      <c r="E144" s="863"/>
      <c r="F144" s="681">
        <f>F136+F140+F11+F14+'4.mell '!K18</f>
        <v>3894807026</v>
      </c>
      <c r="G144" s="681">
        <f>G136+G140+G11+G14</f>
        <v>651770757</v>
      </c>
      <c r="H144" s="682">
        <f>F144+G144</f>
        <v>4546577783</v>
      </c>
    </row>
    <row r="145" spans="1:8" ht="15" customHeight="1" thickBot="1">
      <c r="A145" s="885" t="s">
        <v>217</v>
      </c>
      <c r="B145" s="886"/>
      <c r="C145" s="886"/>
      <c r="D145" s="886"/>
      <c r="E145" s="886"/>
      <c r="F145" s="886"/>
      <c r="G145" s="886"/>
      <c r="H145" s="887"/>
    </row>
    <row r="146" spans="1:8" ht="16.5" customHeight="1">
      <c r="A146" s="146"/>
      <c r="B146" s="147"/>
      <c r="C146" s="171" t="s">
        <v>218</v>
      </c>
      <c r="D146" s="148"/>
      <c r="E146" s="172"/>
      <c r="F146" s="683"/>
      <c r="G146" s="684"/>
      <c r="H146" s="685"/>
    </row>
    <row r="147" spans="1:8" ht="12.75" customHeight="1">
      <c r="A147" s="133" t="s">
        <v>15</v>
      </c>
      <c r="B147" s="128"/>
      <c r="C147" s="167" t="s">
        <v>219</v>
      </c>
      <c r="D147" s="140"/>
      <c r="E147" s="156" t="s">
        <v>27</v>
      </c>
      <c r="F147" s="553">
        <f>'5.mell'!E138</f>
        <v>810512847</v>
      </c>
      <c r="G147" s="555"/>
      <c r="H147" s="554">
        <f>F147+G147</f>
        <v>810512847</v>
      </c>
    </row>
    <row r="148" spans="1:8" ht="12.75" customHeight="1">
      <c r="A148" s="133" t="s">
        <v>16</v>
      </c>
      <c r="B148" s="128"/>
      <c r="C148" s="167" t="s">
        <v>220</v>
      </c>
      <c r="D148" s="140"/>
      <c r="E148" s="156" t="s">
        <v>138</v>
      </c>
      <c r="F148" s="553">
        <f>'5.mell'!F138</f>
        <v>167530460</v>
      </c>
      <c r="G148" s="555"/>
      <c r="H148" s="554">
        <f>F148+G148</f>
        <v>167530460</v>
      </c>
    </row>
    <row r="149" spans="1:8" s="12" customFormat="1" ht="12.75" customHeight="1">
      <c r="A149" s="133" t="s">
        <v>17</v>
      </c>
      <c r="B149" s="128"/>
      <c r="C149" s="167" t="s">
        <v>221</v>
      </c>
      <c r="D149" s="140"/>
      <c r="E149" s="156" t="s">
        <v>28</v>
      </c>
      <c r="F149" s="553">
        <f>'5.mell'!G138</f>
        <v>1156505473</v>
      </c>
      <c r="G149" s="555"/>
      <c r="H149" s="554">
        <f>F149+G149</f>
        <v>1156505473</v>
      </c>
    </row>
    <row r="150" spans="1:8" ht="12.75" customHeight="1">
      <c r="A150" s="133" t="s">
        <v>18</v>
      </c>
      <c r="B150" s="128"/>
      <c r="C150" s="167" t="s">
        <v>222</v>
      </c>
      <c r="D150" s="140"/>
      <c r="E150" s="156" t="s">
        <v>107</v>
      </c>
      <c r="F150" s="553">
        <f>'5.mell'!H138</f>
        <v>10780000</v>
      </c>
      <c r="G150" s="555"/>
      <c r="H150" s="554">
        <f>F150+G150</f>
        <v>10780000</v>
      </c>
    </row>
    <row r="151" spans="1:8" s="12" customFormat="1" ht="12.75" customHeight="1">
      <c r="A151" s="133" t="s">
        <v>19</v>
      </c>
      <c r="B151" s="128"/>
      <c r="C151" s="167" t="s">
        <v>223</v>
      </c>
      <c r="D151" s="140"/>
      <c r="E151" s="173" t="s">
        <v>105</v>
      </c>
      <c r="F151" s="553">
        <f>'5.mell'!I138+'5.mell'!J138+'5.mell'!K138</f>
        <v>293363170</v>
      </c>
      <c r="G151" s="555"/>
      <c r="H151" s="554">
        <f>F151+G151</f>
        <v>293363170</v>
      </c>
    </row>
    <row r="152" spans="1:8" ht="15.75" customHeight="1" thickBot="1">
      <c r="A152" s="873" t="s">
        <v>143</v>
      </c>
      <c r="B152" s="874"/>
      <c r="C152" s="874"/>
      <c r="D152" s="874"/>
      <c r="E152" s="875"/>
      <c r="F152" s="686">
        <f>SUM(F147:F151)</f>
        <v>2438691950</v>
      </c>
      <c r="G152" s="687"/>
      <c r="H152" s="688">
        <f>SUM(H147:H151)</f>
        <v>2438691950</v>
      </c>
    </row>
    <row r="153" spans="1:8" ht="17.25" customHeight="1" thickTop="1">
      <c r="A153" s="174"/>
      <c r="B153" s="175"/>
      <c r="C153" s="890" t="s">
        <v>224</v>
      </c>
      <c r="D153" s="891"/>
      <c r="E153" s="892"/>
      <c r="F153" s="601"/>
      <c r="G153" s="602"/>
      <c r="H153" s="603"/>
    </row>
    <row r="154" spans="1:8" ht="12" customHeight="1">
      <c r="A154" s="176" t="s">
        <v>15</v>
      </c>
      <c r="B154" s="177"/>
      <c r="C154" s="178" t="s">
        <v>225</v>
      </c>
      <c r="D154" s="179"/>
      <c r="E154" s="180" t="s">
        <v>38</v>
      </c>
      <c r="F154" s="597"/>
      <c r="G154" s="581">
        <f>'6.mell'!D6</f>
        <v>2814718385</v>
      </c>
      <c r="H154" s="554">
        <f>G154</f>
        <v>2814718385</v>
      </c>
    </row>
    <row r="155" spans="1:8" ht="12" customHeight="1">
      <c r="A155" s="176" t="s">
        <v>16</v>
      </c>
      <c r="B155" s="177"/>
      <c r="C155" s="178" t="s">
        <v>226</v>
      </c>
      <c r="D155" s="179"/>
      <c r="E155" s="180" t="s">
        <v>39</v>
      </c>
      <c r="F155" s="597"/>
      <c r="G155" s="581">
        <f>'6.mell'!D45</f>
        <v>301683495</v>
      </c>
      <c r="H155" s="554">
        <f>G155</f>
        <v>301683495</v>
      </c>
    </row>
    <row r="156" spans="1:8" ht="12" customHeight="1">
      <c r="A156" s="176" t="s">
        <v>17</v>
      </c>
      <c r="B156" s="177"/>
      <c r="C156" s="178" t="s">
        <v>227</v>
      </c>
      <c r="D156" s="181"/>
      <c r="E156" s="182" t="s">
        <v>54</v>
      </c>
      <c r="F156" s="689"/>
      <c r="G156" s="616">
        <f>'6.mell'!D63+'5.mell'!P129</f>
        <v>327257260</v>
      </c>
      <c r="H156" s="593">
        <f>G156</f>
        <v>327257260</v>
      </c>
    </row>
    <row r="157" spans="1:8" ht="15.75" customHeight="1" thickBot="1">
      <c r="A157" s="873" t="s">
        <v>228</v>
      </c>
      <c r="B157" s="874"/>
      <c r="C157" s="874"/>
      <c r="D157" s="874"/>
      <c r="E157" s="875"/>
      <c r="F157" s="690"/>
      <c r="G157" s="691">
        <f>G154+G155+G156</f>
        <v>3443659140</v>
      </c>
      <c r="H157" s="688">
        <f>H154+H155+H156</f>
        <v>3443659140</v>
      </c>
    </row>
    <row r="158" spans="1:8" ht="16.5" customHeight="1" thickBot="1" thickTop="1">
      <c r="A158" s="893" t="s">
        <v>229</v>
      </c>
      <c r="B158" s="894"/>
      <c r="C158" s="894"/>
      <c r="D158" s="894"/>
      <c r="E158" s="895"/>
      <c r="F158" s="653">
        <f>'5.mell'!G135+'5.mell'!G136+'5.mell'!G134</f>
        <v>3017873670</v>
      </c>
      <c r="G158" s="654">
        <f>'5.mell'!N134</f>
        <v>0</v>
      </c>
      <c r="H158" s="655">
        <f>G158+F158</f>
        <v>3017873670</v>
      </c>
    </row>
    <row r="159" spans="1:8" ht="14.25" customHeight="1" thickBot="1" thickTop="1">
      <c r="A159" s="848" t="s">
        <v>230</v>
      </c>
      <c r="B159" s="849"/>
      <c r="C159" s="849"/>
      <c r="D159" s="849"/>
      <c r="E159" s="850"/>
      <c r="F159" s="653">
        <f>F152+F157+F158</f>
        <v>5456565620</v>
      </c>
      <c r="G159" s="653">
        <f>G152+G157+G158</f>
        <v>3443659140</v>
      </c>
      <c r="H159" s="655">
        <f>H152+H157+H158</f>
        <v>8900224760</v>
      </c>
    </row>
    <row r="160" spans="1:8" s="89" customFormat="1" ht="13.5" customHeight="1" thickTop="1">
      <c r="A160" s="896" t="s">
        <v>231</v>
      </c>
      <c r="B160" s="897"/>
      <c r="C160" s="897"/>
      <c r="D160" s="897"/>
      <c r="E160" s="897"/>
      <c r="F160" s="692">
        <f>'5.mell'!L139+'5.mell'!P130</f>
        <v>2389834275</v>
      </c>
      <c r="G160" s="693">
        <f>'5.mell'!O139+'5.mell'!M139+'5.mell'!N139</f>
        <v>2989350161</v>
      </c>
      <c r="H160" s="694">
        <f>F160+G160</f>
        <v>5379184436</v>
      </c>
    </row>
    <row r="161" spans="1:8" s="89" customFormat="1" ht="13.5" customHeight="1">
      <c r="A161" s="898" t="s">
        <v>148</v>
      </c>
      <c r="B161" s="899"/>
      <c r="C161" s="899"/>
      <c r="D161" s="899"/>
      <c r="E161" s="899"/>
      <c r="F161" s="589">
        <f>'5.mell'!L141</f>
        <v>3009801345</v>
      </c>
      <c r="G161" s="695">
        <f>'5.mell'!O141+'5.mell'!P141+'5.mell'!M141+'5.mell'!N141</f>
        <v>454308979</v>
      </c>
      <c r="H161" s="591">
        <f>F161+G161</f>
        <v>3464110324</v>
      </c>
    </row>
    <row r="162" spans="1:8" s="89" customFormat="1" ht="15" customHeight="1" thickBot="1">
      <c r="A162" s="888" t="s">
        <v>232</v>
      </c>
      <c r="B162" s="889"/>
      <c r="C162" s="889"/>
      <c r="D162" s="889"/>
      <c r="E162" s="889"/>
      <c r="F162" s="696">
        <f>'5.mell'!L140</f>
        <v>56930000</v>
      </c>
      <c r="G162" s="697">
        <v>0</v>
      </c>
      <c r="H162" s="698">
        <f>F162+G162</f>
        <v>56930000</v>
      </c>
    </row>
    <row r="163" spans="6:8" ht="12" customHeight="1">
      <c r="F163" s="184"/>
      <c r="G163" s="184"/>
      <c r="H163" s="184"/>
    </row>
    <row r="164" spans="1:8" s="126" customFormat="1" ht="14.25" customHeight="1">
      <c r="A164" s="127"/>
      <c r="B164" s="127"/>
      <c r="C164" s="127"/>
      <c r="D164" s="127"/>
      <c r="E164" s="183"/>
      <c r="F164" s="699"/>
      <c r="G164" s="699"/>
      <c r="H164" s="699"/>
    </row>
    <row r="165" spans="5:8" ht="12" customHeight="1">
      <c r="E165" s="184"/>
      <c r="F165" s="184"/>
      <c r="G165" s="184"/>
      <c r="H165" s="184"/>
    </row>
    <row r="166" spans="5:8" ht="12" customHeight="1">
      <c r="E166" s="184"/>
      <c r="F166" s="184"/>
      <c r="G166" s="184"/>
      <c r="H166" s="184"/>
    </row>
    <row r="167" spans="5:8" ht="12" customHeight="1">
      <c r="E167" s="184"/>
      <c r="F167" s="184"/>
      <c r="G167" s="184"/>
      <c r="H167" s="184"/>
    </row>
    <row r="168" spans="6:8" ht="12" customHeight="1">
      <c r="F168" s="481"/>
      <c r="G168" s="481"/>
      <c r="H168" s="481"/>
    </row>
    <row r="169" spans="6:8" ht="12" customHeight="1">
      <c r="F169" s="481"/>
      <c r="G169" s="481"/>
      <c r="H169" s="481"/>
    </row>
    <row r="170" spans="6:8" ht="12" customHeight="1">
      <c r="F170" s="481"/>
      <c r="G170" s="481"/>
      <c r="H170" s="481"/>
    </row>
    <row r="171" spans="6:8" ht="12" customHeight="1">
      <c r="F171" s="481"/>
      <c r="G171" s="481"/>
      <c r="H171" s="481"/>
    </row>
    <row r="172" spans="5:8" ht="12" customHeight="1">
      <c r="E172" s="184"/>
      <c r="F172" s="481"/>
      <c r="G172" s="481"/>
      <c r="H172" s="481"/>
    </row>
    <row r="173" spans="5:8" ht="12" customHeight="1">
      <c r="E173" s="184"/>
      <c r="F173" s="184"/>
      <c r="G173" s="184"/>
      <c r="H173" s="184"/>
    </row>
    <row r="174" spans="5:8" ht="12" customHeight="1">
      <c r="E174" s="184"/>
      <c r="F174" s="184"/>
      <c r="G174" s="184"/>
      <c r="H174" s="184"/>
    </row>
    <row r="175" spans="6:8" ht="12" customHeight="1">
      <c r="F175" s="481"/>
      <c r="G175" s="481"/>
      <c r="H175" s="481"/>
    </row>
    <row r="176" spans="6:8" ht="12" customHeight="1">
      <c r="F176" s="481"/>
      <c r="G176" s="481"/>
      <c r="H176" s="481"/>
    </row>
  </sheetData>
  <sheetProtection/>
  <mergeCells count="107">
    <mergeCell ref="D7:H7"/>
    <mergeCell ref="D16:H16"/>
    <mergeCell ref="C91:E91"/>
    <mergeCell ref="A83:E83"/>
    <mergeCell ref="A36:E36"/>
    <mergeCell ref="A20:E20"/>
    <mergeCell ref="A37:E37"/>
    <mergeCell ref="C41:E41"/>
    <mergeCell ref="E85:E86"/>
    <mergeCell ref="A90:E90"/>
    <mergeCell ref="E1:H1"/>
    <mergeCell ref="A15:E15"/>
    <mergeCell ref="B34:B35"/>
    <mergeCell ref="F4:F5"/>
    <mergeCell ref="G4:G5"/>
    <mergeCell ref="C84:E84"/>
    <mergeCell ref="A39:E39"/>
    <mergeCell ref="A75:E75"/>
    <mergeCell ref="E4:E5"/>
    <mergeCell ref="A6:H6"/>
    <mergeCell ref="A162:E162"/>
    <mergeCell ref="C153:E153"/>
    <mergeCell ref="A157:E157"/>
    <mergeCell ref="A158:E158"/>
    <mergeCell ref="A159:E159"/>
    <mergeCell ref="A160:E160"/>
    <mergeCell ref="A161:E161"/>
    <mergeCell ref="A152:E152"/>
    <mergeCell ref="A135:E135"/>
    <mergeCell ref="A136:E136"/>
    <mergeCell ref="A137:E137"/>
    <mergeCell ref="A138:E138"/>
    <mergeCell ref="A134:E134"/>
    <mergeCell ref="A144:E144"/>
    <mergeCell ref="A141:E141"/>
    <mergeCell ref="A142:E142"/>
    <mergeCell ref="A145:H145"/>
    <mergeCell ref="A143:E143"/>
    <mergeCell ref="A139:E139"/>
    <mergeCell ref="A140:E140"/>
    <mergeCell ref="C118:C119"/>
    <mergeCell ref="C129:C130"/>
    <mergeCell ref="A117:E117"/>
    <mergeCell ref="A123:E123"/>
    <mergeCell ref="A120:E120"/>
    <mergeCell ref="E129:E130"/>
    <mergeCell ref="E127:E128"/>
    <mergeCell ref="A133:E133"/>
    <mergeCell ref="B112:B113"/>
    <mergeCell ref="A132:E132"/>
    <mergeCell ref="E118:E119"/>
    <mergeCell ref="A126:E126"/>
    <mergeCell ref="E114:E115"/>
    <mergeCell ref="B127:B128"/>
    <mergeCell ref="B129:B130"/>
    <mergeCell ref="C127:C128"/>
    <mergeCell ref="B124:B125"/>
    <mergeCell ref="C124:C125"/>
    <mergeCell ref="C114:C115"/>
    <mergeCell ref="C112:C113"/>
    <mergeCell ref="E124:E125"/>
    <mergeCell ref="E112:E113"/>
    <mergeCell ref="B114:B115"/>
    <mergeCell ref="C110:E110"/>
    <mergeCell ref="B98:B99"/>
    <mergeCell ref="A73:E73"/>
    <mergeCell ref="A74:E74"/>
    <mergeCell ref="E102:E103"/>
    <mergeCell ref="B96:B97"/>
    <mergeCell ref="E100:E101"/>
    <mergeCell ref="C102:C103"/>
    <mergeCell ref="C87:E87"/>
    <mergeCell ref="A78:E78"/>
    <mergeCell ref="H4:H5"/>
    <mergeCell ref="C4:C5"/>
    <mergeCell ref="A18:E18"/>
    <mergeCell ref="A76:E76"/>
    <mergeCell ref="E34:E35"/>
    <mergeCell ref="C44:E44"/>
    <mergeCell ref="A40:E40"/>
    <mergeCell ref="A72:E72"/>
    <mergeCell ref="D4:D5"/>
    <mergeCell ref="A33:E33"/>
    <mergeCell ref="A59:E59"/>
    <mergeCell ref="B100:B101"/>
    <mergeCell ref="C94:C95"/>
    <mergeCell ref="C85:C86"/>
    <mergeCell ref="C96:C97"/>
    <mergeCell ref="C92:C93"/>
    <mergeCell ref="E92:E93"/>
    <mergeCell ref="B92:B93"/>
    <mergeCell ref="B94:B95"/>
    <mergeCell ref="C98:C99"/>
    <mergeCell ref="E96:E97"/>
    <mergeCell ref="C100:C101"/>
    <mergeCell ref="E94:E95"/>
    <mergeCell ref="B102:B103"/>
    <mergeCell ref="E98:E99"/>
    <mergeCell ref="E104:E105"/>
    <mergeCell ref="E108:E109"/>
    <mergeCell ref="C104:C105"/>
    <mergeCell ref="C106:C107"/>
    <mergeCell ref="C108:C109"/>
    <mergeCell ref="B104:B105"/>
    <mergeCell ref="B106:B107"/>
    <mergeCell ref="B108:B109"/>
    <mergeCell ref="E106:E107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58" r:id="rId2"/>
  <rowBreaks count="1" manualBreakCount="1">
    <brk id="8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5.00390625" style="0" customWidth="1"/>
    <col min="2" max="2" width="8.75390625" style="0" customWidth="1"/>
    <col min="3" max="3" width="17.625" style="14" customWidth="1"/>
    <col min="4" max="4" width="11.25390625" style="15" customWidth="1"/>
    <col min="5" max="5" width="11.125" style="15" customWidth="1"/>
    <col min="6" max="6" width="12.00390625" style="15" customWidth="1"/>
    <col min="7" max="7" width="11.125" style="15" customWidth="1"/>
    <col min="8" max="8" width="11.75390625" style="15" customWidth="1"/>
    <col min="9" max="9" width="11.875" style="0" customWidth="1"/>
    <col min="10" max="10" width="15.25390625" style="0" customWidth="1"/>
    <col min="11" max="11" width="13.625" style="0" customWidth="1"/>
    <col min="12" max="12" width="11.25390625" style="23" customWidth="1"/>
    <col min="13" max="13" width="11.125" style="353" bestFit="1" customWidth="1"/>
  </cols>
  <sheetData>
    <row r="1" spans="1:12" ht="15.75" customHeight="1">
      <c r="A1" s="13"/>
      <c r="B1" s="13"/>
      <c r="C1" s="13"/>
      <c r="D1" s="13"/>
      <c r="E1" s="13"/>
      <c r="F1" s="13"/>
      <c r="G1" s="13"/>
      <c r="H1" s="13"/>
      <c r="I1" s="13"/>
      <c r="J1" s="924" t="s">
        <v>430</v>
      </c>
      <c r="K1" s="924"/>
      <c r="L1" s="924"/>
    </row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22"/>
    </row>
    <row r="3" spans="1:12" ht="20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409" t="s">
        <v>366</v>
      </c>
    </row>
    <row r="4" spans="1:12" ht="21" customHeight="1">
      <c r="A4" s="925" t="s">
        <v>55</v>
      </c>
      <c r="B4" s="920" t="s">
        <v>293</v>
      </c>
      <c r="C4" s="928" t="s">
        <v>303</v>
      </c>
      <c r="D4" s="931" t="s">
        <v>304</v>
      </c>
      <c r="E4" s="932"/>
      <c r="F4" s="932"/>
      <c r="G4" s="932"/>
      <c r="H4" s="932"/>
      <c r="I4" s="933"/>
      <c r="J4" s="934" t="s">
        <v>305</v>
      </c>
      <c r="K4" s="934"/>
      <c r="L4" s="922" t="s">
        <v>32</v>
      </c>
    </row>
    <row r="5" spans="1:12" s="69" customFormat="1" ht="24" customHeight="1">
      <c r="A5" s="926"/>
      <c r="B5" s="921"/>
      <c r="C5" s="929"/>
      <c r="D5" s="936" t="s">
        <v>312</v>
      </c>
      <c r="E5" s="936" t="s">
        <v>262</v>
      </c>
      <c r="F5" s="936" t="s">
        <v>259</v>
      </c>
      <c r="G5" s="938" t="s">
        <v>116</v>
      </c>
      <c r="H5" s="936" t="s">
        <v>261</v>
      </c>
      <c r="I5" s="936" t="s">
        <v>260</v>
      </c>
      <c r="J5" s="935"/>
      <c r="K5" s="935"/>
      <c r="L5" s="923"/>
    </row>
    <row r="6" spans="1:12" s="69" customFormat="1" ht="38.25" customHeight="1">
      <c r="A6" s="926"/>
      <c r="B6" s="921"/>
      <c r="C6" s="929"/>
      <c r="D6" s="936"/>
      <c r="E6" s="936"/>
      <c r="F6" s="936"/>
      <c r="G6" s="938"/>
      <c r="H6" s="936"/>
      <c r="I6" s="936"/>
      <c r="J6" s="937" t="s">
        <v>285</v>
      </c>
      <c r="K6" s="937" t="s">
        <v>355</v>
      </c>
      <c r="L6" s="923"/>
    </row>
    <row r="7" spans="1:12" s="69" customFormat="1" ht="12.75" customHeight="1">
      <c r="A7" s="926"/>
      <c r="B7" s="921"/>
      <c r="C7" s="929"/>
      <c r="D7" s="936"/>
      <c r="E7" s="936"/>
      <c r="F7" s="936"/>
      <c r="G7" s="938"/>
      <c r="H7" s="936"/>
      <c r="I7" s="936"/>
      <c r="J7" s="929"/>
      <c r="K7" s="929"/>
      <c r="L7" s="923"/>
    </row>
    <row r="8" spans="1:12" s="69" customFormat="1" ht="15" customHeight="1">
      <c r="A8" s="927"/>
      <c r="B8" s="921"/>
      <c r="C8" s="930"/>
      <c r="D8" s="936"/>
      <c r="E8" s="936"/>
      <c r="F8" s="936"/>
      <c r="G8" s="938"/>
      <c r="H8" s="936"/>
      <c r="I8" s="936"/>
      <c r="J8" s="930"/>
      <c r="K8" s="930"/>
      <c r="L8" s="923"/>
    </row>
    <row r="9" spans="1:13" s="353" customFormat="1" ht="40.5" customHeight="1">
      <c r="A9" s="308" t="s">
        <v>15</v>
      </c>
      <c r="B9" s="309"/>
      <c r="C9" s="310" t="s">
        <v>184</v>
      </c>
      <c r="D9" s="368">
        <f>D10+D11+D12</f>
        <v>62822800</v>
      </c>
      <c r="E9" s="368">
        <f>E10+E11+E12</f>
        <v>0</v>
      </c>
      <c r="F9" s="368">
        <f>F10+F11+F12</f>
        <v>56803401</v>
      </c>
      <c r="G9" s="368">
        <f>G10+G11</f>
        <v>55144000</v>
      </c>
      <c r="H9" s="368">
        <f>H10+H11+H12</f>
        <v>400000</v>
      </c>
      <c r="I9" s="368">
        <f>I10+I11+I12</f>
        <v>1400000</v>
      </c>
      <c r="J9" s="368">
        <f>J10+J11+J12</f>
        <v>160575676</v>
      </c>
      <c r="K9" s="368">
        <f>K10+K11+K12</f>
        <v>39771164</v>
      </c>
      <c r="L9" s="369">
        <f>L10+L11+L12</f>
        <v>321773041</v>
      </c>
      <c r="M9" s="354"/>
    </row>
    <row r="10" spans="1:13" s="106" customFormat="1" ht="26.25" customHeight="1">
      <c r="A10" s="311"/>
      <c r="B10" s="312" t="s">
        <v>136</v>
      </c>
      <c r="C10" s="313" t="s">
        <v>162</v>
      </c>
      <c r="D10" s="428">
        <f>3940000+1197800</f>
        <v>5137800</v>
      </c>
      <c r="E10" s="428"/>
      <c r="F10" s="428">
        <f>38400000+644000+178279+15000000+1163227+1100000</f>
        <v>56485506</v>
      </c>
      <c r="G10" s="428">
        <f>38400000+644000+15000000+1100000</f>
        <v>55144000</v>
      </c>
      <c r="H10" s="428">
        <v>0</v>
      </c>
      <c r="I10" s="428">
        <v>0</v>
      </c>
      <c r="J10" s="429">
        <f>'5.mell'!Q9-'4.mell '!D10-'4.mell '!E10-'4.mell '!F10-'4.mell '!H10-'4.mell '!I10-'4.mell '!K10</f>
        <v>83350352</v>
      </c>
      <c r="K10" s="428">
        <v>4166971</v>
      </c>
      <c r="L10" s="430">
        <f>D10+E10+F10+H10+I10+J10+K10</f>
        <v>149140629</v>
      </c>
      <c r="M10" s="353"/>
    </row>
    <row r="11" spans="1:13" s="106" customFormat="1" ht="24" customHeight="1">
      <c r="A11" s="311"/>
      <c r="B11" s="312" t="s">
        <v>137</v>
      </c>
      <c r="C11" s="313" t="s">
        <v>161</v>
      </c>
      <c r="D11" s="428">
        <f>57500000+185000</f>
        <v>57685000</v>
      </c>
      <c r="E11" s="428"/>
      <c r="F11" s="428"/>
      <c r="G11" s="428"/>
      <c r="H11" s="428">
        <v>400000</v>
      </c>
      <c r="I11" s="428">
        <f>1000000+400000</f>
        <v>1400000</v>
      </c>
      <c r="J11" s="429">
        <f>'5.mell'!Q10-'4.mell '!D11-'4.mell '!E11-'4.mell '!F11-'4.mell '!H11-'4.mell '!I11-'4.mell '!K11</f>
        <v>77225324</v>
      </c>
      <c r="K11" s="428">
        <v>6864187</v>
      </c>
      <c r="L11" s="430">
        <f>D11+E11+F11+H11+I11+J11+K11</f>
        <v>143574511</v>
      </c>
      <c r="M11" s="353"/>
    </row>
    <row r="12" spans="1:13" s="106" customFormat="1" ht="66" customHeight="1">
      <c r="A12" s="311"/>
      <c r="B12" s="312" t="s">
        <v>136</v>
      </c>
      <c r="C12" s="313" t="s">
        <v>392</v>
      </c>
      <c r="D12" s="428"/>
      <c r="E12" s="428">
        <v>0</v>
      </c>
      <c r="F12" s="428">
        <v>317895</v>
      </c>
      <c r="G12" s="428"/>
      <c r="H12" s="428"/>
      <c r="I12" s="428"/>
      <c r="J12" s="429">
        <f>'5.mell'!Q11-E12-F12-K12</f>
        <v>0</v>
      </c>
      <c r="K12" s="428">
        <f>29057901-F12</f>
        <v>28740006</v>
      </c>
      <c r="L12" s="430">
        <f>D12+E12+F12+H12+I12+J12+K12</f>
        <v>29057901</v>
      </c>
      <c r="M12" s="353"/>
    </row>
    <row r="13" spans="1:12" s="353" customFormat="1" ht="24" customHeight="1">
      <c r="A13" s="308" t="s">
        <v>16</v>
      </c>
      <c r="B13" s="309" t="s">
        <v>136</v>
      </c>
      <c r="C13" s="310" t="s">
        <v>159</v>
      </c>
      <c r="D13" s="368">
        <v>188000</v>
      </c>
      <c r="E13" s="368">
        <v>0</v>
      </c>
      <c r="F13" s="368">
        <v>9557588</v>
      </c>
      <c r="G13" s="368"/>
      <c r="H13" s="368"/>
      <c r="I13" s="368">
        <v>0</v>
      </c>
      <c r="J13" s="377">
        <f>'5.mell'!Q12-'4.mell '!D13-'4.mell '!E13-'4.mell '!F13-'4.mell '!H13-'4.mell '!I13-'4.mell '!K13</f>
        <v>250487028</v>
      </c>
      <c r="K13" s="368">
        <v>1175443</v>
      </c>
      <c r="L13" s="369">
        <f>SUM(D13:K13)</f>
        <v>261408059</v>
      </c>
    </row>
    <row r="14" spans="1:12" s="353" customFormat="1" ht="27" customHeight="1">
      <c r="A14" s="308" t="s">
        <v>17</v>
      </c>
      <c r="B14" s="309" t="s">
        <v>137</v>
      </c>
      <c r="C14" s="310" t="s">
        <v>78</v>
      </c>
      <c r="D14" s="368">
        <f>3100000+1600000+70000+89132</f>
        <v>4859132</v>
      </c>
      <c r="E14" s="368"/>
      <c r="F14" s="368">
        <v>1444000</v>
      </c>
      <c r="G14" s="368"/>
      <c r="H14" s="368"/>
      <c r="I14" s="368"/>
      <c r="J14" s="368">
        <f>'5.mell'!Q13-D14-E14-F14-H14-I14-K14</f>
        <v>25558519</v>
      </c>
      <c r="K14" s="368">
        <v>1476411</v>
      </c>
      <c r="L14" s="369">
        <f>SUM(D14:K14)</f>
        <v>33338062</v>
      </c>
    </row>
    <row r="15" spans="1:12" ht="24" customHeight="1" thickBot="1">
      <c r="A15" s="308" t="s">
        <v>18</v>
      </c>
      <c r="B15" s="309" t="s">
        <v>136</v>
      </c>
      <c r="C15" s="310" t="s">
        <v>77</v>
      </c>
      <c r="D15" s="368">
        <f>1347000-200000</f>
        <v>1147000</v>
      </c>
      <c r="E15" s="368"/>
      <c r="F15" s="368"/>
      <c r="G15" s="368"/>
      <c r="H15" s="368"/>
      <c r="I15" s="368">
        <v>0</v>
      </c>
      <c r="J15" s="377">
        <f>'5.mell'!Q14-'4.mell '!D15-'4.mell '!E15-'4.mell '!F15-'4.mell '!H15-'4.mell '!I15-'4.mell '!K15</f>
        <v>39477578</v>
      </c>
      <c r="K15" s="368">
        <v>1676651</v>
      </c>
      <c r="L15" s="369">
        <f>SUM(D15:K15)</f>
        <v>42301229</v>
      </c>
    </row>
    <row r="16" spans="1:12" s="353" customFormat="1" ht="24" customHeight="1" thickTop="1">
      <c r="A16" s="314"/>
      <c r="B16" s="315"/>
      <c r="C16" s="111" t="s">
        <v>318</v>
      </c>
      <c r="D16" s="445">
        <f aca="true" t="shared" si="0" ref="D16:L16">D9+D13+D14+D15</f>
        <v>69016932</v>
      </c>
      <c r="E16" s="445">
        <f t="shared" si="0"/>
        <v>0</v>
      </c>
      <c r="F16" s="445">
        <f t="shared" si="0"/>
        <v>67804989</v>
      </c>
      <c r="G16" s="445">
        <f t="shared" si="0"/>
        <v>55144000</v>
      </c>
      <c r="H16" s="445">
        <f t="shared" si="0"/>
        <v>400000</v>
      </c>
      <c r="I16" s="445">
        <f t="shared" si="0"/>
        <v>1400000</v>
      </c>
      <c r="J16" s="445">
        <f t="shared" si="0"/>
        <v>476098801</v>
      </c>
      <c r="K16" s="445">
        <f t="shared" si="0"/>
        <v>44099669</v>
      </c>
      <c r="L16" s="446">
        <f t="shared" si="0"/>
        <v>658820391</v>
      </c>
    </row>
    <row r="17" spans="1:12" s="353" customFormat="1" ht="25.5" customHeight="1">
      <c r="A17" s="316"/>
      <c r="B17" s="309" t="s">
        <v>136</v>
      </c>
      <c r="C17" s="317" t="s">
        <v>162</v>
      </c>
      <c r="D17" s="447">
        <f aca="true" t="shared" si="1" ref="D17:K17">D10+D13+D15+D12</f>
        <v>6472800</v>
      </c>
      <c r="E17" s="447">
        <f t="shared" si="1"/>
        <v>0</v>
      </c>
      <c r="F17" s="447">
        <f t="shared" si="1"/>
        <v>66360989</v>
      </c>
      <c r="G17" s="447">
        <f t="shared" si="1"/>
        <v>55144000</v>
      </c>
      <c r="H17" s="447">
        <f t="shared" si="1"/>
        <v>0</v>
      </c>
      <c r="I17" s="447">
        <f t="shared" si="1"/>
        <v>0</v>
      </c>
      <c r="J17" s="447">
        <f t="shared" si="1"/>
        <v>373314958</v>
      </c>
      <c r="K17" s="447">
        <f t="shared" si="1"/>
        <v>35759071</v>
      </c>
      <c r="L17" s="448">
        <f>L10+L13+L15</f>
        <v>452849917</v>
      </c>
    </row>
    <row r="18" spans="1:12" s="353" customFormat="1" ht="26.25" customHeight="1" thickBot="1">
      <c r="A18" s="318"/>
      <c r="B18" s="319" t="s">
        <v>137</v>
      </c>
      <c r="C18" s="313" t="s">
        <v>161</v>
      </c>
      <c r="D18" s="449">
        <f>D11+D14</f>
        <v>62544132</v>
      </c>
      <c r="E18" s="449">
        <f aca="true" t="shared" si="2" ref="E18:J18">E11+E14</f>
        <v>0</v>
      </c>
      <c r="F18" s="449">
        <f>F11+F14</f>
        <v>1444000</v>
      </c>
      <c r="G18" s="449">
        <f t="shared" si="2"/>
        <v>0</v>
      </c>
      <c r="H18" s="449">
        <f t="shared" si="2"/>
        <v>400000</v>
      </c>
      <c r="I18" s="449">
        <f t="shared" si="2"/>
        <v>1400000</v>
      </c>
      <c r="J18" s="449">
        <f t="shared" si="2"/>
        <v>102783843</v>
      </c>
      <c r="K18" s="449">
        <f>K11+K14</f>
        <v>8340598</v>
      </c>
      <c r="L18" s="643">
        <f>L11+L14+L12</f>
        <v>205970474</v>
      </c>
    </row>
    <row r="19" spans="1:12" s="69" customFormat="1" ht="24" customHeight="1" thickBot="1">
      <c r="A19" s="320" t="s">
        <v>15</v>
      </c>
      <c r="B19" s="321"/>
      <c r="C19" s="322" t="s">
        <v>155</v>
      </c>
      <c r="D19" s="439">
        <f>'3.mell'!F87+'3.mell'!F110</f>
        <v>6920434</v>
      </c>
      <c r="E19" s="439"/>
      <c r="F19" s="439">
        <f>'3.mell'!F41</f>
        <v>9270213</v>
      </c>
      <c r="G19" s="439"/>
      <c r="H19" s="439"/>
      <c r="I19" s="440"/>
      <c r="J19" s="441">
        <f>'5.mell'!Q30-D19-E19-F19-H19-I19-K19</f>
        <v>244906845</v>
      </c>
      <c r="K19" s="440">
        <v>32407559</v>
      </c>
      <c r="L19" s="442">
        <f>D19+E19+F19+H19+I19+J19+K19</f>
        <v>293505051</v>
      </c>
    </row>
  </sheetData>
  <sheetProtection/>
  <mergeCells count="15">
    <mergeCell ref="F5:F8"/>
    <mergeCell ref="K6:K8"/>
    <mergeCell ref="J6:J8"/>
    <mergeCell ref="G5:G8"/>
    <mergeCell ref="H5:H8"/>
    <mergeCell ref="B4:B8"/>
    <mergeCell ref="L4:L8"/>
    <mergeCell ref="J1:L1"/>
    <mergeCell ref="A4:A8"/>
    <mergeCell ref="C4:C8"/>
    <mergeCell ref="D4:I4"/>
    <mergeCell ref="J4:K5"/>
    <mergeCell ref="I5:I8"/>
    <mergeCell ref="E5:E8"/>
    <mergeCell ref="D5:D8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SheetLayoutView="100" zoomScalePageLayoutView="0" workbookViewId="0" topLeftCell="A106">
      <selection activeCell="M125" sqref="M125"/>
    </sheetView>
  </sheetViews>
  <sheetFormatPr defaultColWidth="9.00390625" defaultRowHeight="12.75" customHeight="1"/>
  <cols>
    <col min="1" max="1" width="4.00390625" style="26" customWidth="1"/>
    <col min="2" max="2" width="3.75390625" style="27" customWidth="1"/>
    <col min="3" max="3" width="5.25390625" style="72" customWidth="1"/>
    <col min="4" max="4" width="34.875" style="362" customWidth="1"/>
    <col min="5" max="5" width="9.25390625" style="362" customWidth="1"/>
    <col min="6" max="6" width="8.875" style="362" customWidth="1"/>
    <col min="7" max="7" width="9.625" style="362" customWidth="1"/>
    <col min="8" max="8" width="7.25390625" style="362" customWidth="1"/>
    <col min="9" max="9" width="8.875" style="362" customWidth="1"/>
    <col min="10" max="10" width="7.625" style="362" customWidth="1"/>
    <col min="11" max="11" width="8.00390625" style="362" customWidth="1"/>
    <col min="12" max="12" width="9.625" style="427" bestFit="1" customWidth="1"/>
    <col min="13" max="13" width="9.375" style="408" customWidth="1"/>
    <col min="14" max="14" width="7.25390625" style="408" customWidth="1"/>
    <col min="15" max="15" width="8.25390625" style="408" customWidth="1"/>
    <col min="16" max="16" width="8.00390625" style="408" customWidth="1"/>
    <col min="17" max="17" width="9.75390625" style="427" customWidth="1"/>
    <col min="18" max="18" width="6.875" style="517" bestFit="1" customWidth="1"/>
    <col min="19" max="19" width="10.875" style="27" bestFit="1" customWidth="1"/>
    <col min="20" max="16384" width="9.125" style="27" customWidth="1"/>
  </cols>
  <sheetData>
    <row r="1" spans="12:18" ht="12.75" customHeight="1">
      <c r="L1" s="426"/>
      <c r="M1" s="534"/>
      <c r="N1" s="977" t="s">
        <v>431</v>
      </c>
      <c r="O1" s="977"/>
      <c r="P1" s="977"/>
      <c r="Q1" s="977"/>
      <c r="R1" s="977"/>
    </row>
    <row r="2" spans="12:18" ht="12.75" customHeight="1">
      <c r="L2" s="426"/>
      <c r="M2" s="534"/>
      <c r="N2" s="534"/>
      <c r="O2" s="534"/>
      <c r="P2" s="534"/>
      <c r="Q2" s="535"/>
      <c r="R2" s="536"/>
    </row>
    <row r="3" spans="12:18" ht="12.75" customHeight="1">
      <c r="L3" s="426"/>
      <c r="M3" s="534"/>
      <c r="N3" s="534"/>
      <c r="O3" s="534"/>
      <c r="P3" s="534"/>
      <c r="Q3" s="535" t="s">
        <v>364</v>
      </c>
      <c r="R3" s="536"/>
    </row>
    <row r="4" spans="12:18" ht="5.25" customHeight="1" thickBot="1">
      <c r="L4" s="426"/>
      <c r="M4" s="534"/>
      <c r="N4" s="534"/>
      <c r="O4" s="534"/>
      <c r="P4" s="534"/>
      <c r="Q4" s="537"/>
      <c r="R4" s="538"/>
    </row>
    <row r="5" spans="1:18" s="29" customFormat="1" ht="36" customHeight="1">
      <c r="A5" s="1007" t="s">
        <v>55</v>
      </c>
      <c r="B5" s="1008"/>
      <c r="C5" s="997" t="s">
        <v>294</v>
      </c>
      <c r="D5" s="28" t="s">
        <v>56</v>
      </c>
      <c r="E5" s="28" t="s">
        <v>57</v>
      </c>
      <c r="F5" s="544" t="s">
        <v>144</v>
      </c>
      <c r="G5" s="28" t="s">
        <v>58</v>
      </c>
      <c r="H5" s="544" t="s">
        <v>234</v>
      </c>
      <c r="I5" s="986" t="s">
        <v>105</v>
      </c>
      <c r="J5" s="987"/>
      <c r="K5" s="988"/>
      <c r="L5" s="28" t="s">
        <v>30</v>
      </c>
      <c r="M5" s="28" t="s">
        <v>59</v>
      </c>
      <c r="N5" s="989" t="s">
        <v>54</v>
      </c>
      <c r="O5" s="990"/>
      <c r="P5" s="991"/>
      <c r="Q5" s="28" t="s">
        <v>37</v>
      </c>
      <c r="R5" s="539" t="s">
        <v>60</v>
      </c>
    </row>
    <row r="6" spans="1:18" s="29" customFormat="1" ht="37.5" customHeight="1">
      <c r="A6" s="984" t="s">
        <v>61</v>
      </c>
      <c r="B6" s="985"/>
      <c r="C6" s="998"/>
      <c r="D6" s="30" t="s">
        <v>62</v>
      </c>
      <c r="E6" s="30" t="s">
        <v>106</v>
      </c>
      <c r="F6" s="540" t="s">
        <v>145</v>
      </c>
      <c r="G6" s="30" t="s">
        <v>63</v>
      </c>
      <c r="H6" s="540" t="s">
        <v>235</v>
      </c>
      <c r="I6" s="1011" t="s">
        <v>380</v>
      </c>
      <c r="J6" s="1009" t="s">
        <v>352</v>
      </c>
      <c r="K6" s="1009" t="s">
        <v>415</v>
      </c>
      <c r="L6" s="30" t="s">
        <v>64</v>
      </c>
      <c r="M6" s="30" t="s">
        <v>65</v>
      </c>
      <c r="N6" s="1011" t="s">
        <v>387</v>
      </c>
      <c r="O6" s="1009" t="s">
        <v>388</v>
      </c>
      <c r="P6" s="1009" t="s">
        <v>415</v>
      </c>
      <c r="Q6" s="30" t="s">
        <v>14</v>
      </c>
      <c r="R6" s="541" t="s">
        <v>66</v>
      </c>
    </row>
    <row r="7" spans="1:18" s="29" customFormat="1" ht="36.75" customHeight="1" thickBot="1">
      <c r="A7" s="992" t="s">
        <v>67</v>
      </c>
      <c r="B7" s="993"/>
      <c r="C7" s="999"/>
      <c r="D7" s="31"/>
      <c r="E7" s="31"/>
      <c r="F7" s="542" t="s">
        <v>146</v>
      </c>
      <c r="G7" s="31" t="s">
        <v>72</v>
      </c>
      <c r="H7" s="542" t="s">
        <v>236</v>
      </c>
      <c r="I7" s="1010"/>
      <c r="J7" s="1012"/>
      <c r="K7" s="1010"/>
      <c r="L7" s="31" t="s">
        <v>14</v>
      </c>
      <c r="M7" s="31" t="s">
        <v>68</v>
      </c>
      <c r="N7" s="1010"/>
      <c r="O7" s="1012"/>
      <c r="P7" s="1010"/>
      <c r="Q7" s="31"/>
      <c r="R7" s="543"/>
    </row>
    <row r="8" spans="1:18" ht="11.25" customHeight="1">
      <c r="A8" s="35" t="s">
        <v>15</v>
      </c>
      <c r="B8" s="36"/>
      <c r="C8" s="84"/>
      <c r="D8" s="37" t="s">
        <v>184</v>
      </c>
      <c r="E8" s="346">
        <f>E9+E10+E11</f>
        <v>191379598</v>
      </c>
      <c r="F8" s="346">
        <f aca="true" t="shared" si="0" ref="F8:K8">F9+F10+F11</f>
        <v>40150106</v>
      </c>
      <c r="G8" s="346">
        <f t="shared" si="0"/>
        <v>79032179</v>
      </c>
      <c r="H8" s="346">
        <f t="shared" si="0"/>
        <v>180000</v>
      </c>
      <c r="I8" s="346">
        <f t="shared" si="0"/>
        <v>0</v>
      </c>
      <c r="J8" s="346">
        <f t="shared" si="0"/>
        <v>11031158</v>
      </c>
      <c r="K8" s="346">
        <f t="shared" si="0"/>
        <v>0</v>
      </c>
      <c r="L8" s="347">
        <f aca="true" t="shared" si="1" ref="L8:L18">SUM(E8:K8)</f>
        <v>321773041</v>
      </c>
      <c r="M8" s="345">
        <f>M9+M10+M11</f>
        <v>0</v>
      </c>
      <c r="N8" s="345">
        <f>N9+N10+N11</f>
        <v>0</v>
      </c>
      <c r="O8" s="345">
        <f>O9+O10+O11</f>
        <v>0</v>
      </c>
      <c r="P8" s="345">
        <f>P9+P10+P11</f>
        <v>0</v>
      </c>
      <c r="Q8" s="38">
        <f aca="true" t="shared" si="2" ref="Q8:Q14">SUM(L8:P8)</f>
        <v>321773041</v>
      </c>
      <c r="R8" s="348">
        <f>R9+R10+R11</f>
        <v>67.25</v>
      </c>
    </row>
    <row r="9" spans="1:18" s="75" customFormat="1" ht="11.25" customHeight="1">
      <c r="A9" s="74"/>
      <c r="B9" s="95" t="s">
        <v>15</v>
      </c>
      <c r="C9" s="83" t="s">
        <v>136</v>
      </c>
      <c r="D9" s="363" t="s">
        <v>147</v>
      </c>
      <c r="E9" s="569">
        <f>93687408+1950000+1059888+713840+81532-120000+2659682-722000</f>
        <v>99310350</v>
      </c>
      <c r="F9" s="570">
        <f>18099864+571000+667290+103339+142942-150000+9647+514226+150000+150000-140790</f>
        <v>20117518</v>
      </c>
      <c r="G9" s="569">
        <f>20079000+500000+1100000+120000+2534000+500000-150000+862790</f>
        <v>25545790</v>
      </c>
      <c r="H9" s="569"/>
      <c r="I9" s="570"/>
      <c r="J9" s="570">
        <v>4166971</v>
      </c>
      <c r="K9" s="570"/>
      <c r="L9" s="571">
        <f t="shared" si="1"/>
        <v>149140629</v>
      </c>
      <c r="M9" s="570">
        <v>0</v>
      </c>
      <c r="N9" s="570"/>
      <c r="O9" s="570"/>
      <c r="P9" s="570"/>
      <c r="Q9" s="572">
        <f t="shared" si="2"/>
        <v>149140629</v>
      </c>
      <c r="R9" s="556">
        <f>26.5+6+0.75+8</f>
        <v>41.25</v>
      </c>
    </row>
    <row r="10" spans="1:18" s="75" customFormat="1" ht="11.25" customHeight="1">
      <c r="A10" s="74"/>
      <c r="B10" s="95" t="s">
        <v>16</v>
      </c>
      <c r="C10" s="83" t="s">
        <v>137</v>
      </c>
      <c r="D10" s="363" t="s">
        <v>148</v>
      </c>
      <c r="E10" s="569">
        <f>74747130+1455000+19528</f>
        <v>76221658</v>
      </c>
      <c r="F10" s="570">
        <f>14587084+574000+497901+3808-150000+150000</f>
        <v>15662793</v>
      </c>
      <c r="G10" s="569">
        <f>42800000+185000+500000+160873+500000+500000</f>
        <v>44645873</v>
      </c>
      <c r="H10" s="569">
        <v>180000</v>
      </c>
      <c r="I10" s="570"/>
      <c r="J10" s="570">
        <v>6864187</v>
      </c>
      <c r="K10" s="570"/>
      <c r="L10" s="571">
        <f t="shared" si="1"/>
        <v>143574511</v>
      </c>
      <c r="M10" s="570">
        <v>0</v>
      </c>
      <c r="N10" s="570"/>
      <c r="O10" s="570"/>
      <c r="P10" s="570"/>
      <c r="Q10" s="572">
        <f t="shared" si="2"/>
        <v>143574511</v>
      </c>
      <c r="R10" s="556">
        <f>20.75-1+4+0.5</f>
        <v>24.25</v>
      </c>
    </row>
    <row r="11" spans="1:18" s="75" customFormat="1" ht="20.25" customHeight="1">
      <c r="A11" s="74"/>
      <c r="B11" s="95" t="s">
        <v>17</v>
      </c>
      <c r="C11" s="83" t="s">
        <v>136</v>
      </c>
      <c r="D11" s="468" t="s">
        <v>392</v>
      </c>
      <c r="E11" s="569">
        <f>15847590</f>
        <v>15847590</v>
      </c>
      <c r="F11" s="570">
        <f>4369795</f>
        <v>4369795</v>
      </c>
      <c r="G11" s="569">
        <f>8840516</f>
        <v>8840516</v>
      </c>
      <c r="H11" s="569"/>
      <c r="I11" s="570"/>
      <c r="J11" s="570"/>
      <c r="K11" s="570"/>
      <c r="L11" s="571">
        <f>SUM(E11:K11)</f>
        <v>29057901</v>
      </c>
      <c r="M11" s="570"/>
      <c r="N11" s="570"/>
      <c r="O11" s="570"/>
      <c r="P11" s="570"/>
      <c r="Q11" s="572">
        <f>SUM(L11:P11)</f>
        <v>29057901</v>
      </c>
      <c r="R11" s="556">
        <v>1.75</v>
      </c>
    </row>
    <row r="12" spans="1:18" ht="11.25" customHeight="1">
      <c r="A12" s="35" t="s">
        <v>16</v>
      </c>
      <c r="B12" s="95"/>
      <c r="C12" s="84" t="s">
        <v>136</v>
      </c>
      <c r="D12" s="37" t="s">
        <v>159</v>
      </c>
      <c r="E12" s="345">
        <f>197995897+3300000-60000+1096200</f>
        <v>202332097</v>
      </c>
      <c r="F12" s="345">
        <f>38125167+1129260+3000000+213759</f>
        <v>42468186</v>
      </c>
      <c r="G12" s="346">
        <f>15000000+100000+60000+272333</f>
        <v>15432333</v>
      </c>
      <c r="H12" s="346"/>
      <c r="I12" s="345"/>
      <c r="J12" s="345">
        <v>1175443</v>
      </c>
      <c r="K12" s="345"/>
      <c r="L12" s="347">
        <f t="shared" si="1"/>
        <v>261408059</v>
      </c>
      <c r="M12" s="345"/>
      <c r="N12" s="345"/>
      <c r="O12" s="345"/>
      <c r="P12" s="345"/>
      <c r="Q12" s="38">
        <f t="shared" si="2"/>
        <v>261408059</v>
      </c>
      <c r="R12" s="348">
        <f>55+1</f>
        <v>56</v>
      </c>
    </row>
    <row r="13" spans="1:18" ht="11.25" customHeight="1">
      <c r="A13" s="35" t="s">
        <v>17</v>
      </c>
      <c r="B13" s="95"/>
      <c r="C13" s="84" t="s">
        <v>137</v>
      </c>
      <c r="D13" s="37" t="s">
        <v>78</v>
      </c>
      <c r="E13" s="345">
        <f>17394422+300000+83682+1386100+16318</f>
        <v>19180522</v>
      </c>
      <c r="F13" s="345">
        <f>3424503+102660+16318+276178+1232</f>
        <v>3820891</v>
      </c>
      <c r="G13" s="345">
        <f>6818656+400000+800000+70000-17550+89132</f>
        <v>8160238</v>
      </c>
      <c r="H13" s="345"/>
      <c r="I13" s="345"/>
      <c r="J13" s="345">
        <v>1476411</v>
      </c>
      <c r="K13" s="345"/>
      <c r="L13" s="347">
        <f t="shared" si="1"/>
        <v>32638062</v>
      </c>
      <c r="M13" s="345">
        <v>700000</v>
      </c>
      <c r="N13" s="345"/>
      <c r="O13" s="345"/>
      <c r="P13" s="345"/>
      <c r="Q13" s="38">
        <f t="shared" si="2"/>
        <v>33338062</v>
      </c>
      <c r="R13" s="348">
        <f>5+1</f>
        <v>6</v>
      </c>
    </row>
    <row r="14" spans="1:18" ht="11.25" customHeight="1" thickBot="1">
      <c r="A14" s="35">
        <v>4</v>
      </c>
      <c r="B14" s="95"/>
      <c r="C14" s="84" t="s">
        <v>136</v>
      </c>
      <c r="D14" s="37" t="s">
        <v>77</v>
      </c>
      <c r="E14" s="345">
        <f>22371794+450000</f>
        <v>22821794</v>
      </c>
      <c r="F14" s="345">
        <f>4352980+153990</f>
        <v>4506970</v>
      </c>
      <c r="G14" s="346">
        <f>12791233+204581+300000</f>
        <v>13295814</v>
      </c>
      <c r="H14" s="346"/>
      <c r="I14" s="345">
        <v>0</v>
      </c>
      <c r="J14" s="345">
        <v>1676651</v>
      </c>
      <c r="K14" s="345"/>
      <c r="L14" s="347">
        <f t="shared" si="1"/>
        <v>42301229</v>
      </c>
      <c r="M14" s="345">
        <v>0</v>
      </c>
      <c r="N14" s="345"/>
      <c r="O14" s="345">
        <v>0</v>
      </c>
      <c r="P14" s="345">
        <v>0</v>
      </c>
      <c r="Q14" s="38">
        <f t="shared" si="2"/>
        <v>42301229</v>
      </c>
      <c r="R14" s="348">
        <f>8-1+1</f>
        <v>8</v>
      </c>
    </row>
    <row r="15" spans="1:18" ht="12.75" customHeight="1" thickBot="1">
      <c r="A15" s="994" t="s">
        <v>319</v>
      </c>
      <c r="B15" s="995"/>
      <c r="C15" s="995"/>
      <c r="D15" s="996"/>
      <c r="E15" s="443">
        <f aca="true" t="shared" si="3" ref="E15:K15">E8+E12+E13+E14</f>
        <v>435714011</v>
      </c>
      <c r="F15" s="443">
        <f t="shared" si="3"/>
        <v>90946153</v>
      </c>
      <c r="G15" s="443">
        <f t="shared" si="3"/>
        <v>115920564</v>
      </c>
      <c r="H15" s="443">
        <f t="shared" si="3"/>
        <v>180000</v>
      </c>
      <c r="I15" s="443">
        <f t="shared" si="3"/>
        <v>0</v>
      </c>
      <c r="J15" s="443">
        <f>J8+J12+J13+J14</f>
        <v>15359663</v>
      </c>
      <c r="K15" s="443">
        <f t="shared" si="3"/>
        <v>0</v>
      </c>
      <c r="L15" s="563">
        <f>SUM(E15:K15)</f>
        <v>658120391</v>
      </c>
      <c r="M15" s="443">
        <f>M8+M12+M13+M14</f>
        <v>700000</v>
      </c>
      <c r="N15" s="443">
        <f>N8+N12+N13+N14</f>
        <v>0</v>
      </c>
      <c r="O15" s="443">
        <f>O8+O12+O13+O14</f>
        <v>0</v>
      </c>
      <c r="P15" s="443">
        <f>P8+P12+P13+P14</f>
        <v>0</v>
      </c>
      <c r="Q15" s="443">
        <f aca="true" t="shared" si="4" ref="Q15:Q26">SUM(L15:P15)</f>
        <v>658820391</v>
      </c>
      <c r="R15" s="444">
        <f>R8+R12+R13+R14</f>
        <v>137.25</v>
      </c>
    </row>
    <row r="16" spans="1:18" s="75" customFormat="1" ht="12.75" customHeight="1">
      <c r="A16" s="978" t="s">
        <v>147</v>
      </c>
      <c r="B16" s="979"/>
      <c r="C16" s="979"/>
      <c r="D16" s="980"/>
      <c r="E16" s="640">
        <f aca="true" t="shared" si="5" ref="E16:K16">E9+E12+E14+E11</f>
        <v>340311831</v>
      </c>
      <c r="F16" s="640">
        <f t="shared" si="5"/>
        <v>71462469</v>
      </c>
      <c r="G16" s="640">
        <f t="shared" si="5"/>
        <v>63114453</v>
      </c>
      <c r="H16" s="640">
        <f t="shared" si="5"/>
        <v>0</v>
      </c>
      <c r="I16" s="640">
        <f t="shared" si="5"/>
        <v>0</v>
      </c>
      <c r="J16" s="640">
        <f t="shared" si="5"/>
        <v>7019065</v>
      </c>
      <c r="K16" s="640">
        <f t="shared" si="5"/>
        <v>0</v>
      </c>
      <c r="L16" s="641">
        <f t="shared" si="1"/>
        <v>481907818</v>
      </c>
      <c r="M16" s="640">
        <f>M9+M12+M14+M11</f>
        <v>0</v>
      </c>
      <c r="N16" s="640">
        <f>N9+N12+N14+N11</f>
        <v>0</v>
      </c>
      <c r="O16" s="640">
        <f>O9+O12+O14+O11</f>
        <v>0</v>
      </c>
      <c r="P16" s="640">
        <f>P9+P12+P14+P11</f>
        <v>0</v>
      </c>
      <c r="Q16" s="641">
        <f t="shared" si="4"/>
        <v>481907818</v>
      </c>
      <c r="R16" s="557">
        <f>R9+R14+R12+R11</f>
        <v>107</v>
      </c>
    </row>
    <row r="17" spans="1:18" s="75" customFormat="1" ht="12.75" customHeight="1">
      <c r="A17" s="1000" t="s">
        <v>160</v>
      </c>
      <c r="B17" s="1001"/>
      <c r="C17" s="1001"/>
      <c r="D17" s="1002"/>
      <c r="E17" s="561">
        <v>0</v>
      </c>
      <c r="F17" s="561">
        <v>0</v>
      </c>
      <c r="G17" s="561">
        <v>0</v>
      </c>
      <c r="H17" s="561">
        <v>0</v>
      </c>
      <c r="I17" s="561">
        <v>0</v>
      </c>
      <c r="J17" s="561">
        <v>0</v>
      </c>
      <c r="K17" s="561">
        <v>0</v>
      </c>
      <c r="L17" s="571">
        <v>0</v>
      </c>
      <c r="M17" s="561">
        <v>0</v>
      </c>
      <c r="N17" s="561"/>
      <c r="O17" s="561">
        <v>0</v>
      </c>
      <c r="P17" s="561">
        <v>0</v>
      </c>
      <c r="Q17" s="571">
        <v>0</v>
      </c>
      <c r="R17" s="558">
        <v>0</v>
      </c>
    </row>
    <row r="18" spans="1:18" s="75" customFormat="1" ht="12.75" customHeight="1" thickBot="1">
      <c r="A18" s="981" t="s">
        <v>154</v>
      </c>
      <c r="B18" s="982"/>
      <c r="C18" s="982"/>
      <c r="D18" s="983"/>
      <c r="E18" s="564">
        <f>E10+E13</f>
        <v>95402180</v>
      </c>
      <c r="F18" s="564">
        <f aca="true" t="shared" si="6" ref="F18:K18">F10+F13</f>
        <v>19483684</v>
      </c>
      <c r="G18" s="564">
        <f t="shared" si="6"/>
        <v>52806111</v>
      </c>
      <c r="H18" s="564">
        <f t="shared" si="6"/>
        <v>180000</v>
      </c>
      <c r="I18" s="564">
        <f t="shared" si="6"/>
        <v>0</v>
      </c>
      <c r="J18" s="564">
        <f t="shared" si="6"/>
        <v>8340598</v>
      </c>
      <c r="K18" s="564">
        <f t="shared" si="6"/>
        <v>0</v>
      </c>
      <c r="L18" s="642">
        <f t="shared" si="1"/>
        <v>176212573</v>
      </c>
      <c r="M18" s="564">
        <f>M10+M13</f>
        <v>700000</v>
      </c>
      <c r="N18" s="564">
        <f>N10+N13</f>
        <v>0</v>
      </c>
      <c r="O18" s="564">
        <f>O10+O13</f>
        <v>0</v>
      </c>
      <c r="P18" s="564">
        <f>P10+P13</f>
        <v>0</v>
      </c>
      <c r="Q18" s="642">
        <f t="shared" si="4"/>
        <v>176912573</v>
      </c>
      <c r="R18" s="559">
        <f>R10+R13</f>
        <v>30.25</v>
      </c>
    </row>
    <row r="19" spans="1:18" ht="12.75" customHeight="1">
      <c r="A19" s="60" t="s">
        <v>19</v>
      </c>
      <c r="B19" s="103" t="s">
        <v>374</v>
      </c>
      <c r="C19" s="87"/>
      <c r="D19" s="372" t="s">
        <v>156</v>
      </c>
      <c r="E19" s="560">
        <f>E20+E24+E25</f>
        <v>174941397</v>
      </c>
      <c r="F19" s="560">
        <f aca="true" t="shared" si="7" ref="F19:K19">F20+F24+F25</f>
        <v>37277158</v>
      </c>
      <c r="G19" s="560">
        <f>G20+G24+G25</f>
        <v>44221331</v>
      </c>
      <c r="H19" s="560">
        <f t="shared" si="7"/>
        <v>0</v>
      </c>
      <c r="I19" s="560">
        <f t="shared" si="7"/>
        <v>0</v>
      </c>
      <c r="J19" s="560">
        <f t="shared" si="7"/>
        <v>24612966</v>
      </c>
      <c r="K19" s="560">
        <f t="shared" si="7"/>
        <v>7794593</v>
      </c>
      <c r="L19" s="560">
        <f aca="true" t="shared" si="8" ref="L19:L26">SUM(E19:K19)</f>
        <v>288847445</v>
      </c>
      <c r="M19" s="560">
        <v>0</v>
      </c>
      <c r="N19" s="560"/>
      <c r="O19" s="560">
        <v>0</v>
      </c>
      <c r="P19" s="560">
        <v>0</v>
      </c>
      <c r="Q19" s="560">
        <f>SUM(L19:P19)</f>
        <v>288847445</v>
      </c>
      <c r="R19" s="621">
        <f>R20+R24+R25</f>
        <v>45</v>
      </c>
    </row>
    <row r="20" spans="1:18" ht="11.25" customHeight="1">
      <c r="A20" s="68"/>
      <c r="B20" s="118">
        <v>1.1</v>
      </c>
      <c r="C20" s="77"/>
      <c r="D20" s="371" t="s">
        <v>83</v>
      </c>
      <c r="E20" s="437">
        <f>E21+E22+E23</f>
        <v>159481397</v>
      </c>
      <c r="F20" s="437">
        <f>F21+F22+F23</f>
        <v>34033158</v>
      </c>
      <c r="G20" s="437">
        <f>G21+G22+G23</f>
        <v>44221331</v>
      </c>
      <c r="H20" s="437"/>
      <c r="I20" s="437">
        <f>I21+I22</f>
        <v>0</v>
      </c>
      <c r="J20" s="437">
        <f>J21+J22</f>
        <v>24612966</v>
      </c>
      <c r="K20" s="437">
        <f>K21+K22</f>
        <v>7794593</v>
      </c>
      <c r="L20" s="347">
        <f t="shared" si="8"/>
        <v>270143445</v>
      </c>
      <c r="M20" s="437">
        <f>M21+M22</f>
        <v>0</v>
      </c>
      <c r="N20" s="437"/>
      <c r="O20" s="437">
        <f>O21+O22</f>
        <v>0</v>
      </c>
      <c r="P20" s="437">
        <f>P21+P22</f>
        <v>0</v>
      </c>
      <c r="Q20" s="347">
        <f t="shared" si="4"/>
        <v>270143445</v>
      </c>
      <c r="R20" s="438">
        <f>R21+R22+R23</f>
        <v>40.599999999999994</v>
      </c>
    </row>
    <row r="21" spans="1:18" s="75" customFormat="1" ht="11.25" customHeight="1">
      <c r="A21" s="107"/>
      <c r="B21" s="119"/>
      <c r="C21" s="80" t="s">
        <v>136</v>
      </c>
      <c r="D21" s="373" t="s">
        <v>147</v>
      </c>
      <c r="E21" s="561">
        <f>108450000+1157505+451883</f>
        <v>110059388</v>
      </c>
      <c r="F21" s="561">
        <f>23610000+236680+88117</f>
        <v>23934797</v>
      </c>
      <c r="G21" s="561">
        <f>40000000-1474018</f>
        <v>38525982</v>
      </c>
      <c r="H21" s="561"/>
      <c r="I21" s="561"/>
      <c r="J21" s="561">
        <f>32407559-7794593</f>
        <v>24612966</v>
      </c>
      <c r="K21" s="561">
        <v>7794593</v>
      </c>
      <c r="L21" s="571">
        <f t="shared" si="8"/>
        <v>204927726</v>
      </c>
      <c r="M21" s="561">
        <f>3000-3000</f>
        <v>0</v>
      </c>
      <c r="N21" s="561"/>
      <c r="O21" s="561"/>
      <c r="P21" s="561"/>
      <c r="Q21" s="571">
        <f>SUM(L21:P21)</f>
        <v>204927726</v>
      </c>
      <c r="R21" s="662">
        <f>25.4+1+2-2+1</f>
        <v>27.4</v>
      </c>
    </row>
    <row r="22" spans="1:18" s="75" customFormat="1" ht="11.25" customHeight="1">
      <c r="A22" s="107"/>
      <c r="B22" s="119"/>
      <c r="C22" s="80" t="s">
        <v>165</v>
      </c>
      <c r="D22" s="373" t="s">
        <v>160</v>
      </c>
      <c r="E22" s="561">
        <v>47105000</v>
      </c>
      <c r="F22" s="561">
        <v>9625000</v>
      </c>
      <c r="G22" s="561">
        <v>200000</v>
      </c>
      <c r="H22" s="561"/>
      <c r="I22" s="561"/>
      <c r="J22" s="561"/>
      <c r="K22" s="561"/>
      <c r="L22" s="571">
        <f t="shared" si="8"/>
        <v>56930000</v>
      </c>
      <c r="M22" s="561"/>
      <c r="N22" s="561"/>
      <c r="O22" s="561"/>
      <c r="P22" s="561"/>
      <c r="Q22" s="571">
        <f>SUM(L22:P22)</f>
        <v>56930000</v>
      </c>
      <c r="R22" s="662">
        <v>12.2</v>
      </c>
    </row>
    <row r="23" spans="1:18" s="75" customFormat="1" ht="11.25" customHeight="1">
      <c r="A23" s="107"/>
      <c r="B23" s="119"/>
      <c r="C23" s="80" t="s">
        <v>137</v>
      </c>
      <c r="D23" s="373" t="s">
        <v>148</v>
      </c>
      <c r="E23" s="561">
        <v>2317009</v>
      </c>
      <c r="F23" s="561">
        <v>473361</v>
      </c>
      <c r="G23" s="561">
        <f>480000+3015349+2000000</f>
        <v>5495349</v>
      </c>
      <c r="H23" s="561"/>
      <c r="I23" s="561"/>
      <c r="J23" s="561"/>
      <c r="K23" s="561"/>
      <c r="L23" s="571">
        <f t="shared" si="8"/>
        <v>8285719</v>
      </c>
      <c r="M23" s="561"/>
      <c r="N23" s="561"/>
      <c r="O23" s="561"/>
      <c r="P23" s="561"/>
      <c r="Q23" s="571">
        <f>SUM(L23:P23)</f>
        <v>8285719</v>
      </c>
      <c r="R23" s="662">
        <v>1</v>
      </c>
    </row>
    <row r="24" spans="1:18" ht="11.25" customHeight="1">
      <c r="A24" s="68"/>
      <c r="B24" s="118">
        <v>1.2</v>
      </c>
      <c r="C24" s="77" t="s">
        <v>136</v>
      </c>
      <c r="D24" s="371" t="s">
        <v>166</v>
      </c>
      <c r="E24" s="437">
        <v>1566000</v>
      </c>
      <c r="F24" s="437">
        <v>314000</v>
      </c>
      <c r="G24" s="437">
        <v>0</v>
      </c>
      <c r="H24" s="437"/>
      <c r="I24" s="437"/>
      <c r="J24" s="437"/>
      <c r="K24" s="437"/>
      <c r="L24" s="347">
        <f t="shared" si="8"/>
        <v>1880000</v>
      </c>
      <c r="M24" s="437"/>
      <c r="N24" s="437"/>
      <c r="O24" s="437"/>
      <c r="P24" s="437"/>
      <c r="Q24" s="347">
        <f>SUM(L24:P24)</f>
        <v>1880000</v>
      </c>
      <c r="R24" s="438">
        <v>0.2</v>
      </c>
    </row>
    <row r="25" spans="1:18" ht="11.25" customHeight="1">
      <c r="A25" s="68"/>
      <c r="B25" s="118">
        <v>1.3</v>
      </c>
      <c r="C25" s="77" t="s">
        <v>137</v>
      </c>
      <c r="D25" s="371" t="s">
        <v>84</v>
      </c>
      <c r="E25" s="437">
        <f>13894000</f>
        <v>13894000</v>
      </c>
      <c r="F25" s="437">
        <f>2930000</f>
        <v>2930000</v>
      </c>
      <c r="G25" s="437">
        <v>0</v>
      </c>
      <c r="H25" s="437"/>
      <c r="I25" s="437"/>
      <c r="J25" s="437"/>
      <c r="K25" s="437"/>
      <c r="L25" s="347">
        <f t="shared" si="8"/>
        <v>16824000</v>
      </c>
      <c r="M25" s="437"/>
      <c r="N25" s="437"/>
      <c r="O25" s="437"/>
      <c r="P25" s="437"/>
      <c r="Q25" s="347">
        <f t="shared" si="4"/>
        <v>16824000</v>
      </c>
      <c r="R25" s="438">
        <v>4.2</v>
      </c>
    </row>
    <row r="26" spans="1:18" ht="11.25" customHeight="1">
      <c r="A26" s="115"/>
      <c r="B26" s="121" t="s">
        <v>16</v>
      </c>
      <c r="C26" s="84" t="s">
        <v>136</v>
      </c>
      <c r="D26" s="700" t="s">
        <v>413</v>
      </c>
      <c r="E26" s="345">
        <f>2840800+224868</f>
        <v>3065668</v>
      </c>
      <c r="F26" s="345">
        <f>586422+62555</f>
        <v>648977</v>
      </c>
      <c r="G26" s="345">
        <f>469200-287889+61650</f>
        <v>242961</v>
      </c>
      <c r="H26" s="345"/>
      <c r="I26" s="345"/>
      <c r="J26" s="345"/>
      <c r="K26" s="345"/>
      <c r="L26" s="347">
        <f t="shared" si="8"/>
        <v>3957606</v>
      </c>
      <c r="M26" s="345"/>
      <c r="N26" s="345"/>
      <c r="O26" s="345"/>
      <c r="P26" s="345"/>
      <c r="Q26" s="347">
        <f t="shared" si="4"/>
        <v>3957606</v>
      </c>
      <c r="R26" s="348"/>
    </row>
    <row r="27" spans="1:18" s="53" customFormat="1" ht="11.25" customHeight="1">
      <c r="A27" s="116"/>
      <c r="B27" s="120" t="s">
        <v>17</v>
      </c>
      <c r="C27" s="117"/>
      <c r="D27" s="406" t="s">
        <v>181</v>
      </c>
      <c r="E27" s="562">
        <f aca="true" t="shared" si="9" ref="E27:L27">SUM(E28:E29)</f>
        <v>0</v>
      </c>
      <c r="F27" s="562">
        <f t="shared" si="9"/>
        <v>0</v>
      </c>
      <c r="G27" s="562">
        <f t="shared" si="9"/>
        <v>0</v>
      </c>
      <c r="H27" s="562">
        <f t="shared" si="9"/>
        <v>700000</v>
      </c>
      <c r="I27" s="562">
        <f t="shared" si="9"/>
        <v>0</v>
      </c>
      <c r="J27" s="562">
        <f t="shared" si="9"/>
        <v>0</v>
      </c>
      <c r="K27" s="562">
        <f t="shared" si="9"/>
        <v>0</v>
      </c>
      <c r="L27" s="562">
        <f t="shared" si="9"/>
        <v>700000</v>
      </c>
      <c r="M27" s="562"/>
      <c r="N27" s="562"/>
      <c r="O27" s="562"/>
      <c r="P27" s="562"/>
      <c r="Q27" s="562">
        <f>SUM(Q28:Q29)</f>
        <v>700000</v>
      </c>
      <c r="R27" s="348"/>
    </row>
    <row r="28" spans="1:18" ht="11.25" customHeight="1">
      <c r="A28" s="115"/>
      <c r="B28" s="121">
        <v>3.1</v>
      </c>
      <c r="C28" s="84" t="s">
        <v>136</v>
      </c>
      <c r="D28" s="47" t="s">
        <v>185</v>
      </c>
      <c r="E28" s="437"/>
      <c r="F28" s="437"/>
      <c r="G28" s="48"/>
      <c r="H28" s="48">
        <v>600000</v>
      </c>
      <c r="I28" s="437">
        <v>0</v>
      </c>
      <c r="J28" s="437">
        <v>0</v>
      </c>
      <c r="K28" s="345"/>
      <c r="L28" s="562">
        <f aca="true" t="shared" si="10" ref="L28:L34">SUM(E28:K28)</f>
        <v>600000</v>
      </c>
      <c r="M28" s="345"/>
      <c r="N28" s="345"/>
      <c r="O28" s="345"/>
      <c r="P28" s="345"/>
      <c r="Q28" s="562">
        <f>L28</f>
        <v>600000</v>
      </c>
      <c r="R28" s="348"/>
    </row>
    <row r="29" spans="1:18" ht="11.25" customHeight="1" thickBot="1">
      <c r="A29" s="115"/>
      <c r="B29" s="121">
        <v>3.2</v>
      </c>
      <c r="C29" s="84" t="s">
        <v>136</v>
      </c>
      <c r="D29" s="59" t="s">
        <v>75</v>
      </c>
      <c r="E29" s="433"/>
      <c r="F29" s="433"/>
      <c r="G29" s="51">
        <v>0</v>
      </c>
      <c r="H29" s="51">
        <v>100000</v>
      </c>
      <c r="I29" s="433">
        <v>0</v>
      </c>
      <c r="J29" s="433">
        <v>0</v>
      </c>
      <c r="K29" s="345"/>
      <c r="L29" s="562">
        <f t="shared" si="10"/>
        <v>100000</v>
      </c>
      <c r="M29" s="345"/>
      <c r="N29" s="345"/>
      <c r="O29" s="345"/>
      <c r="P29" s="345"/>
      <c r="Q29" s="562">
        <f>L29</f>
        <v>100000</v>
      </c>
      <c r="R29" s="348"/>
    </row>
    <row r="30" spans="1:18" ht="11.25" customHeight="1">
      <c r="A30" s="1003" t="s">
        <v>320</v>
      </c>
      <c r="B30" s="1004"/>
      <c r="C30" s="1004"/>
      <c r="D30" s="1004"/>
      <c r="E30" s="563">
        <f aca="true" t="shared" si="11" ref="E30:K30">E19+E27+E26</f>
        <v>178007065</v>
      </c>
      <c r="F30" s="563">
        <f t="shared" si="11"/>
        <v>37926135</v>
      </c>
      <c r="G30" s="563">
        <f t="shared" si="11"/>
        <v>44464292</v>
      </c>
      <c r="H30" s="563">
        <f t="shared" si="11"/>
        <v>700000</v>
      </c>
      <c r="I30" s="563">
        <f t="shared" si="11"/>
        <v>0</v>
      </c>
      <c r="J30" s="563">
        <f t="shared" si="11"/>
        <v>24612966</v>
      </c>
      <c r="K30" s="563">
        <f t="shared" si="11"/>
        <v>7794593</v>
      </c>
      <c r="L30" s="563">
        <f t="shared" si="10"/>
        <v>293505051</v>
      </c>
      <c r="M30" s="563">
        <f>M19</f>
        <v>0</v>
      </c>
      <c r="N30" s="563"/>
      <c r="O30" s="563">
        <f>O19</f>
        <v>0</v>
      </c>
      <c r="P30" s="563">
        <f>P19</f>
        <v>0</v>
      </c>
      <c r="Q30" s="34">
        <f>SUM(L30:P30)</f>
        <v>293505051</v>
      </c>
      <c r="R30" s="617">
        <f>R19</f>
        <v>45</v>
      </c>
    </row>
    <row r="31" spans="1:18" s="75" customFormat="1" ht="10.5" customHeight="1">
      <c r="A31" s="1000" t="s">
        <v>147</v>
      </c>
      <c r="B31" s="1001"/>
      <c r="C31" s="1001"/>
      <c r="D31" s="1002"/>
      <c r="E31" s="561">
        <f aca="true" t="shared" si="12" ref="E31:K31">E21+E24+E28+E29+E26</f>
        <v>114691056</v>
      </c>
      <c r="F31" s="561">
        <f t="shared" si="12"/>
        <v>24897774</v>
      </c>
      <c r="G31" s="561">
        <f t="shared" si="12"/>
        <v>38768943</v>
      </c>
      <c r="H31" s="561">
        <f t="shared" si="12"/>
        <v>700000</v>
      </c>
      <c r="I31" s="561">
        <f t="shared" si="12"/>
        <v>0</v>
      </c>
      <c r="J31" s="561">
        <f t="shared" si="12"/>
        <v>24612966</v>
      </c>
      <c r="K31" s="561">
        <f t="shared" si="12"/>
        <v>7794593</v>
      </c>
      <c r="L31" s="571">
        <f t="shared" si="10"/>
        <v>211465332</v>
      </c>
      <c r="M31" s="561">
        <f>M21+M24+M29</f>
        <v>0</v>
      </c>
      <c r="N31" s="561"/>
      <c r="O31" s="561">
        <f>O21+O24+O29</f>
        <v>0</v>
      </c>
      <c r="P31" s="561">
        <f>P21+P24+P29</f>
        <v>0</v>
      </c>
      <c r="Q31" s="663">
        <f>SUM(L31:P31)</f>
        <v>211465332</v>
      </c>
      <c r="R31" s="558">
        <f>R21+R24+R29</f>
        <v>27.599999999999998</v>
      </c>
    </row>
    <row r="32" spans="1:18" s="75" customFormat="1" ht="10.5" customHeight="1">
      <c r="A32" s="1000" t="s">
        <v>160</v>
      </c>
      <c r="B32" s="1001"/>
      <c r="C32" s="1001"/>
      <c r="D32" s="1002"/>
      <c r="E32" s="561">
        <f aca="true" t="shared" si="13" ref="E32:K32">E22</f>
        <v>47105000</v>
      </c>
      <c r="F32" s="561">
        <f t="shared" si="13"/>
        <v>9625000</v>
      </c>
      <c r="G32" s="561">
        <f t="shared" si="13"/>
        <v>200000</v>
      </c>
      <c r="H32" s="561">
        <f t="shared" si="13"/>
        <v>0</v>
      </c>
      <c r="I32" s="561">
        <f t="shared" si="13"/>
        <v>0</v>
      </c>
      <c r="J32" s="561">
        <f t="shared" si="13"/>
        <v>0</v>
      </c>
      <c r="K32" s="561">
        <f t="shared" si="13"/>
        <v>0</v>
      </c>
      <c r="L32" s="571">
        <f t="shared" si="10"/>
        <v>56930000</v>
      </c>
      <c r="M32" s="561">
        <v>0</v>
      </c>
      <c r="N32" s="561"/>
      <c r="O32" s="561">
        <f>O22+O25</f>
        <v>0</v>
      </c>
      <c r="P32" s="561">
        <f>P22+P25</f>
        <v>0</v>
      </c>
      <c r="Q32" s="663">
        <f>SUM(L32:P32)</f>
        <v>56930000</v>
      </c>
      <c r="R32" s="558">
        <f>R22</f>
        <v>12.2</v>
      </c>
    </row>
    <row r="33" spans="1:18" s="75" customFormat="1" ht="10.5" customHeight="1" thickBot="1">
      <c r="A33" s="981" t="s">
        <v>148</v>
      </c>
      <c r="B33" s="982"/>
      <c r="C33" s="982"/>
      <c r="D33" s="983"/>
      <c r="E33" s="564">
        <f>E25+E23</f>
        <v>16211009</v>
      </c>
      <c r="F33" s="564">
        <f aca="true" t="shared" si="14" ref="F33:K33">F25+F23</f>
        <v>3403361</v>
      </c>
      <c r="G33" s="564">
        <f t="shared" si="14"/>
        <v>5495349</v>
      </c>
      <c r="H33" s="564">
        <f t="shared" si="14"/>
        <v>0</v>
      </c>
      <c r="I33" s="564">
        <f t="shared" si="14"/>
        <v>0</v>
      </c>
      <c r="J33" s="564">
        <f t="shared" si="14"/>
        <v>0</v>
      </c>
      <c r="K33" s="564">
        <f t="shared" si="14"/>
        <v>0</v>
      </c>
      <c r="L33" s="642">
        <f t="shared" si="10"/>
        <v>25109719</v>
      </c>
      <c r="M33" s="564">
        <f>M25</f>
        <v>0</v>
      </c>
      <c r="N33" s="564"/>
      <c r="O33" s="564">
        <f>O25</f>
        <v>0</v>
      </c>
      <c r="P33" s="564">
        <f>P25</f>
        <v>0</v>
      </c>
      <c r="Q33" s="664">
        <f>SUM(L33:P33)</f>
        <v>25109719</v>
      </c>
      <c r="R33" s="665">
        <f>R25</f>
        <v>4.2</v>
      </c>
    </row>
    <row r="34" spans="1:18" s="53" customFormat="1" ht="12.75" customHeight="1" thickBot="1">
      <c r="A34" s="60" t="s">
        <v>20</v>
      </c>
      <c r="B34" s="103" t="s">
        <v>15</v>
      </c>
      <c r="C34" s="104" t="s">
        <v>136</v>
      </c>
      <c r="D34" s="62" t="s">
        <v>86</v>
      </c>
      <c r="E34" s="560">
        <v>0</v>
      </c>
      <c r="F34" s="560">
        <v>0</v>
      </c>
      <c r="G34" s="560">
        <f>1000000</f>
        <v>1000000</v>
      </c>
      <c r="H34" s="560"/>
      <c r="I34" s="560">
        <v>0</v>
      </c>
      <c r="J34" s="560">
        <f>263978</f>
        <v>263978</v>
      </c>
      <c r="K34" s="560">
        <v>0</v>
      </c>
      <c r="L34" s="560">
        <f t="shared" si="10"/>
        <v>1263978</v>
      </c>
      <c r="M34" s="560"/>
      <c r="N34" s="560"/>
      <c r="O34" s="560"/>
      <c r="P34" s="560">
        <v>0</v>
      </c>
      <c r="Q34" s="62">
        <f>SUM(L34:P34)</f>
        <v>1263978</v>
      </c>
      <c r="R34" s="621"/>
    </row>
    <row r="35" spans="1:18" s="53" customFormat="1" ht="11.25" customHeight="1" thickBot="1">
      <c r="A35" s="58" t="s">
        <v>21</v>
      </c>
      <c r="B35" s="101" t="s">
        <v>15</v>
      </c>
      <c r="C35" s="102" t="s">
        <v>136</v>
      </c>
      <c r="D35" s="374" t="s">
        <v>108</v>
      </c>
      <c r="E35" s="443"/>
      <c r="F35" s="443"/>
      <c r="G35" s="443">
        <f>850000-254000-254000</f>
        <v>342000</v>
      </c>
      <c r="H35" s="443"/>
      <c r="I35" s="443"/>
      <c r="J35" s="443">
        <v>0</v>
      </c>
      <c r="K35" s="443"/>
      <c r="L35" s="443">
        <f>G35</f>
        <v>342000</v>
      </c>
      <c r="M35" s="443"/>
      <c r="N35" s="443"/>
      <c r="O35" s="443"/>
      <c r="P35" s="443"/>
      <c r="Q35" s="42">
        <f>L35+M35</f>
        <v>342000</v>
      </c>
      <c r="R35" s="444"/>
    </row>
    <row r="36" spans="1:18" s="53" customFormat="1" ht="10.5" customHeight="1" thickBot="1">
      <c r="A36" s="58" t="s">
        <v>22</v>
      </c>
      <c r="B36" s="101" t="s">
        <v>15</v>
      </c>
      <c r="C36" s="102" t="s">
        <v>136</v>
      </c>
      <c r="D36" s="374" t="s">
        <v>109</v>
      </c>
      <c r="E36" s="443"/>
      <c r="F36" s="443"/>
      <c r="G36" s="443">
        <f>400000</f>
        <v>400000</v>
      </c>
      <c r="H36" s="443"/>
      <c r="I36" s="443"/>
      <c r="J36" s="443">
        <v>0</v>
      </c>
      <c r="K36" s="443"/>
      <c r="L36" s="443">
        <f>G36</f>
        <v>400000</v>
      </c>
      <c r="M36" s="443">
        <f>'6.mell'!D34+'6.mell'!D47</f>
        <v>71507279</v>
      </c>
      <c r="N36" s="443"/>
      <c r="O36" s="443"/>
      <c r="P36" s="443"/>
      <c r="Q36" s="42">
        <f>M36+L36</f>
        <v>71907279</v>
      </c>
      <c r="R36" s="444"/>
    </row>
    <row r="37" spans="1:18" ht="12.75" customHeight="1">
      <c r="A37" s="32" t="s">
        <v>23</v>
      </c>
      <c r="B37" s="33"/>
      <c r="C37" s="81"/>
      <c r="D37" s="34" t="s">
        <v>313</v>
      </c>
      <c r="E37" s="563">
        <f>E38+E39+E40+E41+E44+E45+E46+E47+E48+E49</f>
        <v>70670617</v>
      </c>
      <c r="F37" s="563">
        <f aca="true" t="shared" si="15" ref="F37:K37">F38+F39+F40+F41+F44+F45+F46+F47+F48+F49</f>
        <v>15598427</v>
      </c>
      <c r="G37" s="563">
        <f>G38+G39+G40+G41+G44+G45+G46+G47+G48+G49</f>
        <v>330666999</v>
      </c>
      <c r="H37" s="563">
        <f t="shared" si="15"/>
        <v>0</v>
      </c>
      <c r="I37" s="563">
        <f t="shared" si="15"/>
        <v>52763124</v>
      </c>
      <c r="J37" s="563">
        <f t="shared" si="15"/>
        <v>300000</v>
      </c>
      <c r="K37" s="563">
        <f t="shared" si="15"/>
        <v>0</v>
      </c>
      <c r="L37" s="563">
        <f>SUM(E37:K37)</f>
        <v>469999167</v>
      </c>
      <c r="M37" s="563">
        <f>M38+M39+M40+M41+M44+M45+M46+M47+M48+M49</f>
        <v>881295830</v>
      </c>
      <c r="N37" s="563">
        <f>N38+N39+N40+N41+N44+N45+N46+N47+N48+N49</f>
        <v>4513216</v>
      </c>
      <c r="O37" s="563">
        <f>O38+O39+O40+O41+O44+O45+O46+O47+O48+O49</f>
        <v>0</v>
      </c>
      <c r="P37" s="563">
        <f>P38+P39+P40+P41+P44+P45+P46+P47+P48+P49</f>
        <v>0</v>
      </c>
      <c r="Q37" s="34">
        <f aca="true" t="shared" si="16" ref="Q37:Q43">SUM(L37:P37)</f>
        <v>1355808213</v>
      </c>
      <c r="R37" s="617"/>
    </row>
    <row r="38" spans="1:18" ht="12.75" customHeight="1">
      <c r="A38" s="39"/>
      <c r="B38" s="957" t="s">
        <v>15</v>
      </c>
      <c r="C38" s="76" t="s">
        <v>136</v>
      </c>
      <c r="D38" s="1005" t="s">
        <v>382</v>
      </c>
      <c r="E38" s="437"/>
      <c r="F38" s="437">
        <v>0</v>
      </c>
      <c r="G38" s="48">
        <f>18313000+4944510+45932490+13360377+387577+1528019+3182703+1500000+3401320+921001</f>
        <v>93470997</v>
      </c>
      <c r="H38" s="48"/>
      <c r="I38" s="437">
        <f>3100000</f>
        <v>3100000</v>
      </c>
      <c r="J38" s="437">
        <v>0</v>
      </c>
      <c r="K38" s="635"/>
      <c r="L38" s="347">
        <f>SUM(E38:K38)</f>
        <v>96570997</v>
      </c>
      <c r="M38" s="437">
        <f>'6.mell'!D11+'6.mell'!D13+'6.mell'!D15+'6.mell'!D16+7100000-1500000-800000+1710000-1200000</f>
        <v>23798411</v>
      </c>
      <c r="N38" s="347"/>
      <c r="O38" s="347"/>
      <c r="P38" s="347"/>
      <c r="Q38" s="436">
        <f t="shared" si="16"/>
        <v>120369408</v>
      </c>
      <c r="R38" s="575"/>
    </row>
    <row r="39" spans="1:18" ht="10.5" customHeight="1">
      <c r="A39" s="45"/>
      <c r="B39" s="959"/>
      <c r="C39" s="76" t="s">
        <v>137</v>
      </c>
      <c r="D39" s="1006"/>
      <c r="E39" s="437"/>
      <c r="F39" s="437"/>
      <c r="G39" s="48">
        <f>10000000+2347000+633690+12519310+1483435+2000000+952665+1750887+1500000</f>
        <v>33186987</v>
      </c>
      <c r="H39" s="48"/>
      <c r="I39" s="437"/>
      <c r="J39" s="437"/>
      <c r="K39" s="347"/>
      <c r="L39" s="635">
        <f>SUM(E39:K39)</f>
        <v>33186987</v>
      </c>
      <c r="M39" s="345">
        <f>'6.mell'!D46+'6.mell'!D17-700000+1000000+800000+400000+1200000</f>
        <v>9550000</v>
      </c>
      <c r="N39" s="562"/>
      <c r="O39" s="562"/>
      <c r="P39" s="562"/>
      <c r="Q39" s="41">
        <f t="shared" si="16"/>
        <v>42736987</v>
      </c>
      <c r="R39" s="438"/>
    </row>
    <row r="40" spans="1:18" ht="43.5" customHeight="1">
      <c r="A40" s="45"/>
      <c r="B40" s="56" t="s">
        <v>16</v>
      </c>
      <c r="C40" s="77" t="s">
        <v>136</v>
      </c>
      <c r="D40" s="407" t="s">
        <v>300</v>
      </c>
      <c r="E40" s="637"/>
      <c r="F40" s="437"/>
      <c r="G40" s="48">
        <f>12000000</f>
        <v>12000000</v>
      </c>
      <c r="H40" s="48"/>
      <c r="I40" s="437"/>
      <c r="J40" s="437">
        <v>0</v>
      </c>
      <c r="K40" s="347"/>
      <c r="L40" s="347">
        <f aca="true" t="shared" si="17" ref="L40:L50">SUM(E40:K40)</f>
        <v>12000000</v>
      </c>
      <c r="M40" s="347"/>
      <c r="N40" s="347"/>
      <c r="O40" s="347"/>
      <c r="P40" s="347"/>
      <c r="Q40" s="436">
        <f t="shared" si="16"/>
        <v>12000000</v>
      </c>
      <c r="R40" s="438"/>
    </row>
    <row r="41" spans="1:18" ht="11.25" customHeight="1">
      <c r="A41" s="45"/>
      <c r="B41" s="969" t="s">
        <v>17</v>
      </c>
      <c r="C41" s="105"/>
      <c r="D41" s="70" t="s">
        <v>87</v>
      </c>
      <c r="E41" s="437">
        <f aca="true" t="shared" si="18" ref="E41:K41">E42+E43</f>
        <v>4867337</v>
      </c>
      <c r="F41" s="437">
        <f t="shared" si="18"/>
        <v>1137767</v>
      </c>
      <c r="G41" s="437">
        <f t="shared" si="18"/>
        <v>18173225</v>
      </c>
      <c r="H41" s="437"/>
      <c r="I41" s="437">
        <f t="shared" si="18"/>
        <v>0</v>
      </c>
      <c r="J41" s="437">
        <f t="shared" si="18"/>
        <v>0</v>
      </c>
      <c r="K41" s="437">
        <f t="shared" si="18"/>
        <v>0</v>
      </c>
      <c r="L41" s="347">
        <f t="shared" si="17"/>
        <v>24178329</v>
      </c>
      <c r="M41" s="437">
        <f>M42+M43</f>
        <v>691311280</v>
      </c>
      <c r="N41" s="437">
        <f>N42+N43</f>
        <v>4513216</v>
      </c>
      <c r="O41" s="437">
        <f>O42+O43</f>
        <v>0</v>
      </c>
      <c r="P41" s="437">
        <f>P42+P43</f>
        <v>0</v>
      </c>
      <c r="Q41" s="436">
        <f t="shared" si="16"/>
        <v>720002825</v>
      </c>
      <c r="R41" s="438"/>
    </row>
    <row r="42" spans="1:18" s="75" customFormat="1" ht="11.25" customHeight="1">
      <c r="A42" s="86"/>
      <c r="B42" s="970"/>
      <c r="C42" s="94" t="s">
        <v>136</v>
      </c>
      <c r="D42" s="367" t="s">
        <v>147</v>
      </c>
      <c r="E42" s="624">
        <f>1750000+184426+1145257+1787654</f>
        <v>4867337</v>
      </c>
      <c r="F42" s="576">
        <f>350000+40574+300280+446913</f>
        <v>1137767</v>
      </c>
      <c r="G42" s="625">
        <f>962210+10644909+165735+62611+518160+5819600</f>
        <v>18173225</v>
      </c>
      <c r="H42" s="625"/>
      <c r="I42" s="576"/>
      <c r="J42" s="576"/>
      <c r="K42" s="576"/>
      <c r="L42" s="626">
        <f t="shared" si="17"/>
        <v>24178329</v>
      </c>
      <c r="M42" s="576">
        <f>'6.mell'!D20++'6.mell'!D22+'6.mell'!D25+'6.mell'!D53+'6.mell'!D32+'6.mell'!D35+'6.mell'!D55+'6.mell'!D51+'6.mell'!D26+'6.mell'!D40+'6.mell'!D41</f>
        <v>661886563</v>
      </c>
      <c r="N42" s="576"/>
      <c r="O42" s="576"/>
      <c r="P42" s="576"/>
      <c r="Q42" s="661">
        <f t="shared" si="16"/>
        <v>686064892</v>
      </c>
      <c r="R42" s="722"/>
    </row>
    <row r="43" spans="1:18" s="75" customFormat="1" ht="11.25" customHeight="1">
      <c r="A43" s="729"/>
      <c r="B43" s="971"/>
      <c r="C43" s="730" t="s">
        <v>137</v>
      </c>
      <c r="D43" s="367" t="s">
        <v>148</v>
      </c>
      <c r="E43" s="561">
        <f>1787654-1787654</f>
        <v>0</v>
      </c>
      <c r="F43" s="561">
        <f>446913-446913</f>
        <v>0</v>
      </c>
      <c r="G43" s="731">
        <f>4502347+1317253-5819600</f>
        <v>0</v>
      </c>
      <c r="H43" s="731"/>
      <c r="I43" s="561"/>
      <c r="J43" s="561"/>
      <c r="K43" s="561"/>
      <c r="L43" s="571">
        <f t="shared" si="17"/>
        <v>0</v>
      </c>
      <c r="M43" s="561">
        <f>'6.mell'!D8+'6.mell'!D59</f>
        <v>29424717</v>
      </c>
      <c r="N43" s="561">
        <f>'6.mell'!D64</f>
        <v>4513216</v>
      </c>
      <c r="O43" s="561"/>
      <c r="P43" s="561"/>
      <c r="Q43" s="663">
        <f t="shared" si="16"/>
        <v>33937933</v>
      </c>
      <c r="R43" s="662"/>
    </row>
    <row r="44" spans="1:18" ht="11.25" customHeight="1">
      <c r="A44" s="54"/>
      <c r="B44" s="46" t="s">
        <v>18</v>
      </c>
      <c r="C44" s="105" t="s">
        <v>137</v>
      </c>
      <c r="D44" s="47" t="s">
        <v>182</v>
      </c>
      <c r="E44" s="437">
        <f>300000+200000</f>
        <v>500000</v>
      </c>
      <c r="F44" s="437">
        <v>97500</v>
      </c>
      <c r="G44" s="48">
        <f>1000000+300000</f>
        <v>1300000</v>
      </c>
      <c r="H44" s="48"/>
      <c r="I44" s="437"/>
      <c r="J44" s="437"/>
      <c r="K44" s="437"/>
      <c r="L44" s="347">
        <f>G44+F44+E44</f>
        <v>1897500</v>
      </c>
      <c r="M44" s="437"/>
      <c r="N44" s="437"/>
      <c r="O44" s="437"/>
      <c r="P44" s="437"/>
      <c r="Q44" s="436">
        <f>L44</f>
        <v>1897500</v>
      </c>
      <c r="R44" s="724"/>
    </row>
    <row r="45" spans="1:18" ht="11.25" customHeight="1">
      <c r="A45" s="123"/>
      <c r="B45" s="969" t="s">
        <v>19</v>
      </c>
      <c r="C45" s="124" t="s">
        <v>136</v>
      </c>
      <c r="D45" s="59" t="s">
        <v>316</v>
      </c>
      <c r="E45" s="433"/>
      <c r="F45" s="433"/>
      <c r="G45" s="51">
        <f>121412357+1+2032417</f>
        <v>123444775</v>
      </c>
      <c r="H45" s="51"/>
      <c r="I45" s="433"/>
      <c r="J45" s="433">
        <v>300000</v>
      </c>
      <c r="K45" s="433"/>
      <c r="L45" s="432">
        <f>G45+J45</f>
        <v>123744775</v>
      </c>
      <c r="M45" s="433"/>
      <c r="N45" s="433"/>
      <c r="O45" s="433"/>
      <c r="P45" s="433"/>
      <c r="Q45" s="434">
        <f>L45+M45</f>
        <v>123744775</v>
      </c>
      <c r="R45" s="577"/>
    </row>
    <row r="46" spans="1:18" ht="11.25" customHeight="1">
      <c r="A46" s="123"/>
      <c r="B46" s="970"/>
      <c r="C46" s="124" t="s">
        <v>136</v>
      </c>
      <c r="D46" s="47" t="s">
        <v>315</v>
      </c>
      <c r="E46" s="433"/>
      <c r="F46" s="433"/>
      <c r="G46" s="51">
        <v>450000</v>
      </c>
      <c r="H46" s="51"/>
      <c r="I46" s="433"/>
      <c r="J46" s="433"/>
      <c r="K46" s="433"/>
      <c r="L46" s="432">
        <f>SUM(E46:K46)</f>
        <v>450000</v>
      </c>
      <c r="M46" s="433"/>
      <c r="N46" s="433"/>
      <c r="O46" s="433"/>
      <c r="P46" s="433"/>
      <c r="Q46" s="434">
        <f>SUM(L46:P46)</f>
        <v>450000</v>
      </c>
      <c r="R46" s="577"/>
    </row>
    <row r="47" spans="1:18" ht="11.25" customHeight="1">
      <c r="A47" s="123"/>
      <c r="B47" s="971"/>
      <c r="C47" s="124" t="s">
        <v>137</v>
      </c>
      <c r="D47" s="40" t="s">
        <v>317</v>
      </c>
      <c r="E47" s="433"/>
      <c r="F47" s="433"/>
      <c r="G47" s="51">
        <f>14820000+4002000+160873</f>
        <v>18982873</v>
      </c>
      <c r="H47" s="51"/>
      <c r="I47" s="433"/>
      <c r="J47" s="433"/>
      <c r="K47" s="433"/>
      <c r="L47" s="432">
        <f>SUM(E47:K47)</f>
        <v>18982873</v>
      </c>
      <c r="M47" s="433"/>
      <c r="N47" s="433"/>
      <c r="O47" s="433"/>
      <c r="P47" s="433"/>
      <c r="Q47" s="434">
        <f>SUM(L47:P47)</f>
        <v>18982873</v>
      </c>
      <c r="R47" s="577"/>
    </row>
    <row r="48" spans="1:18" ht="21.75" customHeight="1">
      <c r="A48" s="123"/>
      <c r="B48" s="50" t="s">
        <v>20</v>
      </c>
      <c r="C48" s="124" t="s">
        <v>136</v>
      </c>
      <c r="D48" s="366" t="s">
        <v>325</v>
      </c>
      <c r="E48" s="433">
        <v>65303280</v>
      </c>
      <c r="F48" s="433">
        <v>14363160</v>
      </c>
      <c r="G48" s="51">
        <f>29158142+500000</f>
        <v>29658142</v>
      </c>
      <c r="H48" s="51"/>
      <c r="I48" s="433">
        <v>3500000</v>
      </c>
      <c r="J48" s="433"/>
      <c r="K48" s="433"/>
      <c r="L48" s="432">
        <f>SUM(E48:K48)</f>
        <v>112824582</v>
      </c>
      <c r="M48" s="433">
        <f>'6.mell'!D57+'6.mell'!D7+'6.mell'!D48</f>
        <v>156636139</v>
      </c>
      <c r="N48" s="433"/>
      <c r="O48" s="433"/>
      <c r="P48" s="433"/>
      <c r="Q48" s="434">
        <f>SUM(L48:P48)</f>
        <v>269460721</v>
      </c>
      <c r="R48" s="577"/>
    </row>
    <row r="49" spans="1:18" ht="12.75" customHeight="1" thickBot="1">
      <c r="A49" s="55"/>
      <c r="B49" s="44" t="s">
        <v>21</v>
      </c>
      <c r="C49" s="122" t="s">
        <v>136</v>
      </c>
      <c r="D49" s="91" t="s">
        <v>310</v>
      </c>
      <c r="E49" s="513"/>
      <c r="F49" s="513"/>
      <c r="G49" s="514"/>
      <c r="H49" s="514"/>
      <c r="I49" s="627">
        <f>49663124-3500000</f>
        <v>46163124</v>
      </c>
      <c r="J49" s="627"/>
      <c r="K49" s="627"/>
      <c r="L49" s="618">
        <f>SUM(E49:K49)</f>
        <v>46163124</v>
      </c>
      <c r="M49" s="627"/>
      <c r="N49" s="627"/>
      <c r="O49" s="627"/>
      <c r="P49" s="627"/>
      <c r="Q49" s="431">
        <f>SUM(L49:P49)</f>
        <v>46163124</v>
      </c>
      <c r="R49" s="723"/>
    </row>
    <row r="50" spans="1:18" s="53" customFormat="1" ht="11.25" customHeight="1">
      <c r="A50" s="60" t="s">
        <v>24</v>
      </c>
      <c r="B50" s="61" t="s">
        <v>72</v>
      </c>
      <c r="C50" s="87"/>
      <c r="D50" s="402" t="s">
        <v>153</v>
      </c>
      <c r="E50" s="560">
        <f>E51+E52</f>
        <v>0</v>
      </c>
      <c r="F50" s="560">
        <f aca="true" t="shared" si="19" ref="F50:K50">F51+F52</f>
        <v>0</v>
      </c>
      <c r="G50" s="560">
        <f>G51+G52</f>
        <v>87116720</v>
      </c>
      <c r="H50" s="560">
        <f t="shared" si="19"/>
        <v>0</v>
      </c>
      <c r="I50" s="560">
        <f t="shared" si="19"/>
        <v>0</v>
      </c>
      <c r="J50" s="560">
        <f t="shared" si="19"/>
        <v>0</v>
      </c>
      <c r="K50" s="560">
        <f t="shared" si="19"/>
        <v>0</v>
      </c>
      <c r="L50" s="560">
        <f t="shared" si="17"/>
        <v>87116720</v>
      </c>
      <c r="M50" s="560">
        <f>M51+M52</f>
        <v>667411865</v>
      </c>
      <c r="N50" s="560">
        <f>N51+N52</f>
        <v>0</v>
      </c>
      <c r="O50" s="560">
        <f>O51+O52</f>
        <v>0</v>
      </c>
      <c r="P50" s="560">
        <f>P51+P52</f>
        <v>0</v>
      </c>
      <c r="Q50" s="62">
        <f>SUM(L50:P50)</f>
        <v>754528585</v>
      </c>
      <c r="R50" s="617"/>
    </row>
    <row r="51" spans="1:18" ht="11.25" customHeight="1">
      <c r="A51" s="54"/>
      <c r="B51" s="46" t="s">
        <v>15</v>
      </c>
      <c r="C51" s="77" t="s">
        <v>136</v>
      </c>
      <c r="D51" s="47" t="s">
        <v>88</v>
      </c>
      <c r="E51" s="437"/>
      <c r="F51" s="437"/>
      <c r="G51" s="437">
        <f>36000000+4082257</f>
        <v>40082257</v>
      </c>
      <c r="H51" s="437"/>
      <c r="I51" s="437"/>
      <c r="J51" s="437">
        <v>0</v>
      </c>
      <c r="K51" s="437"/>
      <c r="L51" s="347">
        <f>G51</f>
        <v>40082257</v>
      </c>
      <c r="M51" s="437">
        <v>0</v>
      </c>
      <c r="N51" s="437"/>
      <c r="O51" s="437"/>
      <c r="P51" s="437"/>
      <c r="Q51" s="436">
        <f>L51+M51</f>
        <v>40082257</v>
      </c>
      <c r="R51" s="438"/>
    </row>
    <row r="52" spans="1:18" ht="11.25" customHeight="1" thickBot="1">
      <c r="A52" s="55"/>
      <c r="B52" s="44" t="s">
        <v>16</v>
      </c>
      <c r="C52" s="79" t="s">
        <v>136</v>
      </c>
      <c r="D52" s="364" t="s">
        <v>522</v>
      </c>
      <c r="E52" s="627"/>
      <c r="F52" s="627"/>
      <c r="G52" s="627">
        <f>5000000+42034463</f>
        <v>47034463</v>
      </c>
      <c r="H52" s="627"/>
      <c r="I52" s="627"/>
      <c r="J52" s="627">
        <v>0</v>
      </c>
      <c r="K52" s="627"/>
      <c r="L52" s="618">
        <f>G52</f>
        <v>47034463</v>
      </c>
      <c r="M52" s="627">
        <f>'6.mell'!D10+'6.mell'!D18+'6.mell'!D19+'6.mell'!D50+'6.mell'!D33+'6.mell'!D52+'6.mell'!D58</f>
        <v>667411865</v>
      </c>
      <c r="N52" s="627"/>
      <c r="O52" s="627">
        <v>0</v>
      </c>
      <c r="P52" s="627"/>
      <c r="Q52" s="431">
        <f>M52+L52+O52</f>
        <v>714446328</v>
      </c>
      <c r="R52" s="619"/>
    </row>
    <row r="53" spans="1:18" ht="11.25" customHeight="1" thickBot="1">
      <c r="A53" s="66" t="s">
        <v>25</v>
      </c>
      <c r="B53" s="96" t="s">
        <v>15</v>
      </c>
      <c r="C53" s="90" t="s">
        <v>136</v>
      </c>
      <c r="D53" s="71" t="s">
        <v>89</v>
      </c>
      <c r="E53" s="638"/>
      <c r="F53" s="638"/>
      <c r="G53" s="71">
        <f>10000000+64298</f>
        <v>10064298</v>
      </c>
      <c r="H53" s="71"/>
      <c r="I53" s="638"/>
      <c r="J53" s="638">
        <v>0</v>
      </c>
      <c r="K53" s="638"/>
      <c r="L53" s="639">
        <f aca="true" t="shared" si="20" ref="L53:L59">SUM(E53:K53)</f>
        <v>10064298</v>
      </c>
      <c r="M53" s="638">
        <v>0</v>
      </c>
      <c r="N53" s="638"/>
      <c r="O53" s="638"/>
      <c r="P53" s="638"/>
      <c r="Q53" s="71">
        <f>SUM(L53:P53)</f>
        <v>10064298</v>
      </c>
      <c r="R53" s="543"/>
    </row>
    <row r="54" spans="1:18" s="53" customFormat="1" ht="11.25" customHeight="1">
      <c r="A54" s="60" t="s">
        <v>45</v>
      </c>
      <c r="B54" s="61"/>
      <c r="C54" s="73"/>
      <c r="D54" s="405" t="s">
        <v>82</v>
      </c>
      <c r="E54" s="560">
        <f>E55+E58+E59+E60+E61+E62+E64+E65+E66+E67+E63</f>
        <v>40630343</v>
      </c>
      <c r="F54" s="560">
        <f aca="true" t="shared" si="21" ref="F54:K54">F55+F58+F59+F60+F61+F62+F64+F65+F66+F67+F63</f>
        <v>8910376</v>
      </c>
      <c r="G54" s="560">
        <f t="shared" si="21"/>
        <v>97037909</v>
      </c>
      <c r="H54" s="560">
        <f t="shared" si="21"/>
        <v>0</v>
      </c>
      <c r="I54" s="560">
        <f t="shared" si="21"/>
        <v>0</v>
      </c>
      <c r="J54" s="560">
        <f>J55+J58+J59+J60+J61+J62+J64+J65+J66+J67+J63</f>
        <v>1766100</v>
      </c>
      <c r="K54" s="560">
        <f t="shared" si="21"/>
        <v>36073798</v>
      </c>
      <c r="L54" s="560">
        <f>SUM(E54:K54)</f>
        <v>184418526</v>
      </c>
      <c r="M54" s="560">
        <f>M55+M58+M59+M60+M61+M62+M64+M65+M66+M67+M63</f>
        <v>11623858</v>
      </c>
      <c r="N54" s="560">
        <f>N55+N58+N59+N60+N61+N62+N64+N65+N66+N67+N63</f>
        <v>42510819</v>
      </c>
      <c r="O54" s="560">
        <f>O55+O58+O59+O60+O61+O62+O64+O65+O66+O67+O63</f>
        <v>0</v>
      </c>
      <c r="P54" s="560">
        <f>P55+P58+P59+P60+P61+P62+P64+P65+P66+P67+P63</f>
        <v>240000000</v>
      </c>
      <c r="Q54" s="62">
        <f aca="true" t="shared" si="22" ref="Q54:Q59">SUM(L54:P54)</f>
        <v>478553203</v>
      </c>
      <c r="R54" s="575">
        <f>R56</f>
        <v>1</v>
      </c>
    </row>
    <row r="55" spans="1:18" ht="10.5" customHeight="1">
      <c r="A55" s="45"/>
      <c r="B55" s="969" t="s">
        <v>15</v>
      </c>
      <c r="C55" s="77"/>
      <c r="D55" s="47" t="s">
        <v>90</v>
      </c>
      <c r="E55" s="433">
        <f>E56+E57</f>
        <v>33673009</v>
      </c>
      <c r="F55" s="433">
        <f>F56+F57</f>
        <v>7554222</v>
      </c>
      <c r="G55" s="433">
        <f>G56+G57</f>
        <v>7084740</v>
      </c>
      <c r="H55" s="433"/>
      <c r="I55" s="437"/>
      <c r="J55" s="437">
        <v>0</v>
      </c>
      <c r="K55" s="437">
        <v>0</v>
      </c>
      <c r="L55" s="347">
        <f t="shared" si="20"/>
        <v>48311971</v>
      </c>
      <c r="M55" s="437"/>
      <c r="N55" s="437"/>
      <c r="O55" s="437"/>
      <c r="P55" s="437">
        <v>0</v>
      </c>
      <c r="Q55" s="436">
        <f t="shared" si="22"/>
        <v>48311971</v>
      </c>
      <c r="R55" s="438"/>
    </row>
    <row r="56" spans="1:18" ht="12.75" customHeight="1">
      <c r="A56" s="45"/>
      <c r="B56" s="970"/>
      <c r="C56" s="80" t="s">
        <v>136</v>
      </c>
      <c r="D56" s="367" t="s">
        <v>147</v>
      </c>
      <c r="E56" s="576">
        <f>8377000+149009+1257000+2551000+383000</f>
        <v>12717009</v>
      </c>
      <c r="F56" s="576">
        <f>24616+26375+2450760</f>
        <v>2501751</v>
      </c>
      <c r="G56" s="576">
        <f>3204210</f>
        <v>3204210</v>
      </c>
      <c r="H56" s="576"/>
      <c r="I56" s="437"/>
      <c r="J56" s="437"/>
      <c r="K56" s="437"/>
      <c r="L56" s="347">
        <f t="shared" si="20"/>
        <v>18422970</v>
      </c>
      <c r="M56" s="437"/>
      <c r="N56" s="437"/>
      <c r="O56" s="437"/>
      <c r="P56" s="437"/>
      <c r="Q56" s="436">
        <f t="shared" si="22"/>
        <v>18422970</v>
      </c>
      <c r="R56" s="438">
        <v>1</v>
      </c>
    </row>
    <row r="57" spans="1:18" ht="12.75" customHeight="1">
      <c r="A57" s="45"/>
      <c r="B57" s="971"/>
      <c r="C57" s="80" t="s">
        <v>137</v>
      </c>
      <c r="D57" s="367" t="s">
        <v>148</v>
      </c>
      <c r="E57" s="576">
        <f>16332000+1624000+2000000+1000000</f>
        <v>20956000</v>
      </c>
      <c r="F57" s="576">
        <f>584454+449580+3501420+517017</f>
        <v>5052471</v>
      </c>
      <c r="G57" s="576">
        <f>3610530+270000</f>
        <v>3880530</v>
      </c>
      <c r="H57" s="576"/>
      <c r="I57" s="437"/>
      <c r="J57" s="437"/>
      <c r="K57" s="437"/>
      <c r="L57" s="347">
        <f t="shared" si="20"/>
        <v>29889001</v>
      </c>
      <c r="M57" s="437"/>
      <c r="N57" s="437"/>
      <c r="O57" s="437"/>
      <c r="P57" s="437"/>
      <c r="Q57" s="436">
        <f t="shared" si="22"/>
        <v>29889001</v>
      </c>
      <c r="R57" s="438"/>
    </row>
    <row r="58" spans="1:18" ht="11.25" customHeight="1">
      <c r="A58" s="45"/>
      <c r="B58" s="957" t="s">
        <v>16</v>
      </c>
      <c r="C58" s="77" t="s">
        <v>136</v>
      </c>
      <c r="D58" s="972" t="s">
        <v>91</v>
      </c>
      <c r="E58" s="437"/>
      <c r="F58" s="437"/>
      <c r="G58" s="48"/>
      <c r="H58" s="48"/>
      <c r="I58" s="437"/>
      <c r="J58" s="437">
        <v>0</v>
      </c>
      <c r="K58" s="437">
        <f>300000000-2286000-100000000-195714000+50000000-20336202</f>
        <v>31663798</v>
      </c>
      <c r="L58" s="347">
        <f t="shared" si="20"/>
        <v>31663798</v>
      </c>
      <c r="M58" s="437"/>
      <c r="N58" s="437"/>
      <c r="O58" s="437"/>
      <c r="P58" s="437"/>
      <c r="Q58" s="436">
        <f t="shared" si="22"/>
        <v>31663798</v>
      </c>
      <c r="R58" s="438"/>
    </row>
    <row r="59" spans="1:18" ht="11.25" customHeight="1">
      <c r="A59" s="45"/>
      <c r="B59" s="959"/>
      <c r="C59" s="77" t="s">
        <v>137</v>
      </c>
      <c r="D59" s="973"/>
      <c r="E59" s="437"/>
      <c r="F59" s="437"/>
      <c r="G59" s="48"/>
      <c r="H59" s="48"/>
      <c r="I59" s="437"/>
      <c r="J59" s="437"/>
      <c r="K59" s="437">
        <v>4410000</v>
      </c>
      <c r="L59" s="347">
        <f t="shared" si="20"/>
        <v>4410000</v>
      </c>
      <c r="M59" s="437"/>
      <c r="N59" s="437"/>
      <c r="O59" s="437"/>
      <c r="P59" s="437">
        <v>240000000</v>
      </c>
      <c r="Q59" s="436">
        <f t="shared" si="22"/>
        <v>244410000</v>
      </c>
      <c r="R59" s="438"/>
    </row>
    <row r="60" spans="1:18" ht="11.25" customHeight="1">
      <c r="A60" s="49"/>
      <c r="B60" s="57" t="s">
        <v>17</v>
      </c>
      <c r="C60" s="76" t="s">
        <v>137</v>
      </c>
      <c r="D60" s="366" t="s">
        <v>149</v>
      </c>
      <c r="E60" s="433"/>
      <c r="F60" s="433"/>
      <c r="G60" s="51"/>
      <c r="H60" s="51"/>
      <c r="I60" s="433"/>
      <c r="J60" s="433">
        <v>1436100</v>
      </c>
      <c r="K60" s="433">
        <v>0</v>
      </c>
      <c r="L60" s="432">
        <f>K60+J60</f>
        <v>1436100</v>
      </c>
      <c r="M60" s="433"/>
      <c r="N60" s="433"/>
      <c r="O60" s="433"/>
      <c r="P60" s="433"/>
      <c r="Q60" s="434">
        <f>L60+O60</f>
        <v>1436100</v>
      </c>
      <c r="R60" s="435"/>
    </row>
    <row r="61" spans="1:18" ht="11.25" customHeight="1">
      <c r="A61" s="49"/>
      <c r="B61" s="957" t="s">
        <v>18</v>
      </c>
      <c r="C61" s="76" t="s">
        <v>136</v>
      </c>
      <c r="D61" s="974" t="s">
        <v>83</v>
      </c>
      <c r="E61" s="433">
        <f>1000000+690000</f>
        <v>1690000</v>
      </c>
      <c r="F61" s="433">
        <f>195000+134550</f>
        <v>329550</v>
      </c>
      <c r="G61" s="51">
        <f>30000000+60580+2787112</f>
        <v>32847692</v>
      </c>
      <c r="H61" s="51"/>
      <c r="I61" s="433">
        <v>0</v>
      </c>
      <c r="J61" s="433">
        <v>0</v>
      </c>
      <c r="K61" s="433">
        <v>0</v>
      </c>
      <c r="L61" s="432">
        <f>SUM(E61:K61)</f>
        <v>34867242</v>
      </c>
      <c r="M61" s="433"/>
      <c r="N61" s="433"/>
      <c r="O61" s="433">
        <v>0</v>
      </c>
      <c r="P61" s="433"/>
      <c r="Q61" s="434">
        <f>SUM(L61:P61)</f>
        <v>34867242</v>
      </c>
      <c r="R61" s="516"/>
    </row>
    <row r="62" spans="1:18" ht="11.25" customHeight="1">
      <c r="A62" s="49"/>
      <c r="B62" s="958"/>
      <c r="C62" s="76" t="s">
        <v>137</v>
      </c>
      <c r="D62" s="975"/>
      <c r="E62" s="433">
        <v>0</v>
      </c>
      <c r="F62" s="433">
        <v>0</v>
      </c>
      <c r="G62" s="51">
        <f>5000000</f>
        <v>5000000</v>
      </c>
      <c r="H62" s="51"/>
      <c r="I62" s="433"/>
      <c r="J62" s="433">
        <f>330000</f>
        <v>330000</v>
      </c>
      <c r="K62" s="433"/>
      <c r="L62" s="432">
        <f>SUM(E62:K62)</f>
        <v>5330000</v>
      </c>
      <c r="M62" s="433"/>
      <c r="N62" s="433"/>
      <c r="O62" s="433"/>
      <c r="P62" s="433"/>
      <c r="Q62" s="434">
        <f>SUM(L62:P62)</f>
        <v>5330000</v>
      </c>
      <c r="R62" s="516"/>
    </row>
    <row r="63" spans="1:18" ht="33" customHeight="1">
      <c r="A63" s="49"/>
      <c r="B63" s="959"/>
      <c r="C63" s="76" t="s">
        <v>136</v>
      </c>
      <c r="D63" s="466" t="s">
        <v>384</v>
      </c>
      <c r="E63" s="433">
        <f>3177050+1147113+750481+191890</f>
        <v>5266534</v>
      </c>
      <c r="F63" s="433">
        <f>1138950+223687-373081+36248</f>
        <v>1025804</v>
      </c>
      <c r="G63" s="51">
        <f>2524000-59885-228138</f>
        <v>2235977</v>
      </c>
      <c r="H63" s="51"/>
      <c r="I63" s="433"/>
      <c r="J63" s="433"/>
      <c r="K63" s="433"/>
      <c r="L63" s="432">
        <f>SUM(E63:K63)</f>
        <v>8528315</v>
      </c>
      <c r="M63" s="433">
        <f>'6.mell'!D29</f>
        <v>1300258</v>
      </c>
      <c r="N63" s="433"/>
      <c r="O63" s="433"/>
      <c r="P63" s="433"/>
      <c r="Q63" s="434">
        <f>SUM(L63:P63)</f>
        <v>9828573</v>
      </c>
      <c r="R63" s="435"/>
    </row>
    <row r="64" spans="1:18" ht="11.25" customHeight="1">
      <c r="A64" s="49"/>
      <c r="B64" s="57" t="s">
        <v>19</v>
      </c>
      <c r="C64" s="76" t="s">
        <v>136</v>
      </c>
      <c r="D64" s="404" t="s">
        <v>248</v>
      </c>
      <c r="E64" s="433"/>
      <c r="F64" s="433"/>
      <c r="G64" s="51">
        <f>10083000+13000000+21917000+2650000</f>
        <v>47650000</v>
      </c>
      <c r="H64" s="51"/>
      <c r="I64" s="433"/>
      <c r="J64" s="433"/>
      <c r="K64" s="433"/>
      <c r="L64" s="432">
        <f>G64</f>
        <v>47650000</v>
      </c>
      <c r="M64" s="433"/>
      <c r="N64" s="433">
        <f>'6.mell'!D65</f>
        <v>42510819</v>
      </c>
      <c r="O64" s="433"/>
      <c r="P64" s="433"/>
      <c r="Q64" s="434">
        <f>L64+N64</f>
        <v>90160819</v>
      </c>
      <c r="R64" s="435"/>
    </row>
    <row r="65" spans="1:18" ht="11.25" customHeight="1">
      <c r="A65" s="49"/>
      <c r="B65" s="57" t="s">
        <v>20</v>
      </c>
      <c r="C65" s="76" t="s">
        <v>136</v>
      </c>
      <c r="D65" s="404" t="s">
        <v>186</v>
      </c>
      <c r="E65" s="433"/>
      <c r="F65" s="433"/>
      <c r="G65" s="51">
        <f>1222000+200000</f>
        <v>1422000</v>
      </c>
      <c r="H65" s="51"/>
      <c r="I65" s="433"/>
      <c r="J65" s="433"/>
      <c r="K65" s="433"/>
      <c r="L65" s="432">
        <f>SUM(E65:K65)</f>
        <v>1422000</v>
      </c>
      <c r="M65" s="433">
        <f>'6.mell'!D28</f>
        <v>10323600</v>
      </c>
      <c r="N65" s="433"/>
      <c r="O65" s="433"/>
      <c r="P65" s="433"/>
      <c r="Q65" s="434">
        <f>SUM(L65:P65)</f>
        <v>11745600</v>
      </c>
      <c r="R65" s="435"/>
    </row>
    <row r="66" spans="1:18" ht="11.25" customHeight="1">
      <c r="A66" s="49"/>
      <c r="B66" s="57" t="s">
        <v>21</v>
      </c>
      <c r="C66" s="76" t="s">
        <v>136</v>
      </c>
      <c r="D66" s="404" t="s">
        <v>345</v>
      </c>
      <c r="E66" s="433">
        <v>800</v>
      </c>
      <c r="F66" s="433">
        <v>800</v>
      </c>
      <c r="G66" s="51"/>
      <c r="H66" s="51"/>
      <c r="I66" s="433"/>
      <c r="J66" s="433"/>
      <c r="K66" s="433"/>
      <c r="L66" s="432">
        <f>SUM(E66:K66)</f>
        <v>1600</v>
      </c>
      <c r="M66" s="433"/>
      <c r="N66" s="433"/>
      <c r="O66" s="433"/>
      <c r="P66" s="433"/>
      <c r="Q66" s="434">
        <f>SUM(L66:P66)</f>
        <v>1600</v>
      </c>
      <c r="R66" s="435"/>
    </row>
    <row r="67" spans="1:18" ht="11.25" customHeight="1" thickBot="1">
      <c r="A67" s="43"/>
      <c r="B67" s="411" t="s">
        <v>22</v>
      </c>
      <c r="C67" s="79" t="s">
        <v>137</v>
      </c>
      <c r="D67" s="412" t="s">
        <v>393</v>
      </c>
      <c r="E67" s="627"/>
      <c r="F67" s="627"/>
      <c r="G67" s="636">
        <f>772500-772500+760000+37500</f>
        <v>797500</v>
      </c>
      <c r="H67" s="636"/>
      <c r="I67" s="627"/>
      <c r="J67" s="627"/>
      <c r="K67" s="627"/>
      <c r="L67" s="618">
        <f>SUM(E67:K67)</f>
        <v>797500</v>
      </c>
      <c r="M67" s="627"/>
      <c r="N67" s="627"/>
      <c r="O67" s="627"/>
      <c r="P67" s="627"/>
      <c r="Q67" s="431">
        <f>SUM(L67:P67)</f>
        <v>797500</v>
      </c>
      <c r="R67" s="619"/>
    </row>
    <row r="68" spans="1:18" s="53" customFormat="1" ht="11.25" customHeight="1">
      <c r="A68" s="32" t="s">
        <v>46</v>
      </c>
      <c r="B68" s="97"/>
      <c r="C68" s="109"/>
      <c r="D68" s="34" t="s">
        <v>110</v>
      </c>
      <c r="E68" s="563">
        <f>E69+E70+E72+E71</f>
        <v>2318000</v>
      </c>
      <c r="F68" s="563">
        <f>F69+F70+F72+F71</f>
        <v>474000</v>
      </c>
      <c r="G68" s="563">
        <f>G69+G70+G72+G71</f>
        <v>7658000</v>
      </c>
      <c r="H68" s="563"/>
      <c r="I68" s="563">
        <f>I69+I70+I72+I71</f>
        <v>100000</v>
      </c>
      <c r="J68" s="563">
        <f>J69+J70+J72+J71</f>
        <v>3200000</v>
      </c>
      <c r="K68" s="563">
        <f>K69+K70+K72+K71</f>
        <v>0</v>
      </c>
      <c r="L68" s="563">
        <f>L69+L70+L72+L71</f>
        <v>13750000</v>
      </c>
      <c r="M68" s="563">
        <f>M69+M70+M72</f>
        <v>0</v>
      </c>
      <c r="N68" s="563"/>
      <c r="O68" s="563">
        <f>O69+O70+O72</f>
        <v>0</v>
      </c>
      <c r="P68" s="563">
        <f>P69+P70+P72</f>
        <v>0</v>
      </c>
      <c r="Q68" s="34">
        <f>SUM(L68:P68)</f>
        <v>13750000</v>
      </c>
      <c r="R68" s="617">
        <f>SUM(R69:R70)</f>
        <v>1</v>
      </c>
    </row>
    <row r="69" spans="1:18" ht="11.25" customHeight="1">
      <c r="A69" s="45"/>
      <c r="B69" s="65" t="s">
        <v>15</v>
      </c>
      <c r="C69" s="77" t="s">
        <v>137</v>
      </c>
      <c r="D69" s="48" t="s">
        <v>92</v>
      </c>
      <c r="E69" s="437">
        <v>2318000</v>
      </c>
      <c r="F69" s="437">
        <v>474000</v>
      </c>
      <c r="G69" s="48">
        <f>2950000</f>
        <v>2950000</v>
      </c>
      <c r="H69" s="48"/>
      <c r="I69" s="437"/>
      <c r="J69" s="437">
        <v>0</v>
      </c>
      <c r="K69" s="437"/>
      <c r="L69" s="347">
        <f>SUM(E69:K69)</f>
        <v>5742000</v>
      </c>
      <c r="M69" s="437">
        <v>0</v>
      </c>
      <c r="N69" s="437"/>
      <c r="O69" s="437"/>
      <c r="P69" s="437"/>
      <c r="Q69" s="436">
        <f>SUM(L69:P69)</f>
        <v>5742000</v>
      </c>
      <c r="R69" s="438">
        <v>1</v>
      </c>
    </row>
    <row r="70" spans="1:18" ht="11.25" customHeight="1">
      <c r="A70" s="49"/>
      <c r="B70" s="93" t="s">
        <v>16</v>
      </c>
      <c r="C70" s="76" t="s">
        <v>136</v>
      </c>
      <c r="D70" s="51" t="s">
        <v>85</v>
      </c>
      <c r="E70" s="433">
        <v>0</v>
      </c>
      <c r="F70" s="433">
        <v>0</v>
      </c>
      <c r="G70" s="51">
        <f>600000+100000+254000+254000</f>
        <v>1208000</v>
      </c>
      <c r="H70" s="51"/>
      <c r="I70" s="433"/>
      <c r="J70" s="433">
        <f>2200000+1000000</f>
        <v>3200000</v>
      </c>
      <c r="K70" s="433">
        <v>0</v>
      </c>
      <c r="L70" s="432">
        <f>SUM(E70:K70)</f>
        <v>4408000</v>
      </c>
      <c r="M70" s="433">
        <v>0</v>
      </c>
      <c r="N70" s="433"/>
      <c r="O70" s="433"/>
      <c r="P70" s="433"/>
      <c r="Q70" s="434">
        <f aca="true" t="shared" si="23" ref="Q70:Q88">SUM(L70:P70)</f>
        <v>4408000</v>
      </c>
      <c r="R70" s="435"/>
    </row>
    <row r="71" spans="1:18" ht="11.25" customHeight="1">
      <c r="A71" s="45"/>
      <c r="B71" s="65" t="s">
        <v>17</v>
      </c>
      <c r="C71" s="77" t="s">
        <v>137</v>
      </c>
      <c r="D71" s="47" t="s">
        <v>170</v>
      </c>
      <c r="E71" s="437"/>
      <c r="F71" s="437"/>
      <c r="G71" s="48"/>
      <c r="H71" s="48"/>
      <c r="I71" s="437">
        <v>100000</v>
      </c>
      <c r="J71" s="437">
        <v>0</v>
      </c>
      <c r="K71" s="437"/>
      <c r="L71" s="347">
        <f aca="true" t="shared" si="24" ref="L71:L91">SUM(E71:K71)</f>
        <v>100000</v>
      </c>
      <c r="M71" s="437"/>
      <c r="N71" s="437"/>
      <c r="O71" s="437"/>
      <c r="P71" s="437"/>
      <c r="Q71" s="436">
        <f>SUM(L71:P71)</f>
        <v>100000</v>
      </c>
      <c r="R71" s="438"/>
    </row>
    <row r="72" spans="1:18" ht="11.25" customHeight="1" thickBot="1">
      <c r="A72" s="43"/>
      <c r="B72" s="63" t="s">
        <v>18</v>
      </c>
      <c r="C72" s="79" t="s">
        <v>137</v>
      </c>
      <c r="D72" s="364" t="s">
        <v>172</v>
      </c>
      <c r="E72" s="627"/>
      <c r="F72" s="627"/>
      <c r="G72" s="636">
        <f>3500000</f>
        <v>3500000</v>
      </c>
      <c r="H72" s="636"/>
      <c r="I72" s="627"/>
      <c r="J72" s="627"/>
      <c r="K72" s="627"/>
      <c r="L72" s="618">
        <f>SUM(E72:K72)</f>
        <v>3500000</v>
      </c>
      <c r="M72" s="627"/>
      <c r="N72" s="627"/>
      <c r="O72" s="627"/>
      <c r="P72" s="627"/>
      <c r="Q72" s="431">
        <f>SUM(L72:P72)</f>
        <v>3500000</v>
      </c>
      <c r="R72" s="619"/>
    </row>
    <row r="73" spans="1:18" s="53" customFormat="1" ht="11.25" customHeight="1">
      <c r="A73" s="39" t="s">
        <v>47</v>
      </c>
      <c r="B73" s="52" t="s">
        <v>72</v>
      </c>
      <c r="C73" s="78"/>
      <c r="D73" s="41" t="s">
        <v>111</v>
      </c>
      <c r="E73" s="635">
        <f aca="true" t="shared" si="25" ref="E73:K73">E74+E75</f>
        <v>0</v>
      </c>
      <c r="F73" s="635">
        <f t="shared" si="25"/>
        <v>0</v>
      </c>
      <c r="G73" s="635">
        <f t="shared" si="25"/>
        <v>44506827</v>
      </c>
      <c r="H73" s="635"/>
      <c r="I73" s="635">
        <f t="shared" si="25"/>
        <v>0</v>
      </c>
      <c r="J73" s="635">
        <f t="shared" si="25"/>
        <v>0</v>
      </c>
      <c r="K73" s="635">
        <f t="shared" si="25"/>
        <v>0</v>
      </c>
      <c r="L73" s="635">
        <f t="shared" si="24"/>
        <v>44506827</v>
      </c>
      <c r="M73" s="635">
        <f>M74+M75</f>
        <v>0</v>
      </c>
      <c r="N73" s="635"/>
      <c r="O73" s="635"/>
      <c r="P73" s="635"/>
      <c r="Q73" s="41">
        <f t="shared" si="23"/>
        <v>44506827</v>
      </c>
      <c r="R73" s="575"/>
    </row>
    <row r="74" spans="1:18" ht="11.25" customHeight="1">
      <c r="A74" s="54"/>
      <c r="B74" s="46" t="s">
        <v>15</v>
      </c>
      <c r="C74" s="77" t="s">
        <v>136</v>
      </c>
      <c r="D74" s="47" t="s">
        <v>70</v>
      </c>
      <c r="E74" s="437"/>
      <c r="F74" s="437"/>
      <c r="G74" s="48">
        <f>38800000+2406827</f>
        <v>41206827</v>
      </c>
      <c r="H74" s="48"/>
      <c r="I74" s="437"/>
      <c r="J74" s="437">
        <v>0</v>
      </c>
      <c r="K74" s="437"/>
      <c r="L74" s="347">
        <f t="shared" si="24"/>
        <v>41206827</v>
      </c>
      <c r="M74" s="437">
        <v>0</v>
      </c>
      <c r="N74" s="437"/>
      <c r="O74" s="437"/>
      <c r="P74" s="437"/>
      <c r="Q74" s="436">
        <f t="shared" si="23"/>
        <v>41206827</v>
      </c>
      <c r="R74" s="438"/>
    </row>
    <row r="75" spans="1:18" ht="11.25" customHeight="1" thickBot="1">
      <c r="A75" s="55"/>
      <c r="B75" s="44" t="s">
        <v>16</v>
      </c>
      <c r="C75" s="79" t="s">
        <v>137</v>
      </c>
      <c r="D75" s="364" t="s">
        <v>118</v>
      </c>
      <c r="E75" s="627"/>
      <c r="F75" s="627"/>
      <c r="G75" s="636">
        <f>3300000</f>
        <v>3300000</v>
      </c>
      <c r="H75" s="636"/>
      <c r="I75" s="627"/>
      <c r="J75" s="627">
        <v>0</v>
      </c>
      <c r="K75" s="627"/>
      <c r="L75" s="618">
        <f t="shared" si="24"/>
        <v>3300000</v>
      </c>
      <c r="M75" s="627"/>
      <c r="N75" s="627"/>
      <c r="O75" s="627"/>
      <c r="P75" s="627"/>
      <c r="Q75" s="431">
        <f t="shared" si="23"/>
        <v>3300000</v>
      </c>
      <c r="R75" s="619"/>
    </row>
    <row r="76" spans="1:18" s="53" customFormat="1" ht="11.25" customHeight="1">
      <c r="A76" s="32" t="s">
        <v>48</v>
      </c>
      <c r="B76" s="97" t="s">
        <v>72</v>
      </c>
      <c r="C76" s="109"/>
      <c r="D76" s="34" t="s">
        <v>69</v>
      </c>
      <c r="E76" s="563">
        <f>E77+E78+E79</f>
        <v>0</v>
      </c>
      <c r="F76" s="563">
        <f aca="true" t="shared" si="26" ref="F76:K76">F77+F78+F79</f>
        <v>0</v>
      </c>
      <c r="G76" s="563">
        <f t="shared" si="26"/>
        <v>13255452</v>
      </c>
      <c r="H76" s="563">
        <f t="shared" si="26"/>
        <v>0</v>
      </c>
      <c r="I76" s="563">
        <f t="shared" si="26"/>
        <v>77287380</v>
      </c>
      <c r="J76" s="563">
        <f t="shared" si="26"/>
        <v>0</v>
      </c>
      <c r="K76" s="563">
        <f t="shared" si="26"/>
        <v>0</v>
      </c>
      <c r="L76" s="563">
        <f t="shared" si="24"/>
        <v>90542832</v>
      </c>
      <c r="M76" s="563">
        <f>SUM(M77:M79)</f>
        <v>0</v>
      </c>
      <c r="N76" s="563">
        <f>SUM(N77:N79)</f>
        <v>0</v>
      </c>
      <c r="O76" s="563">
        <f>SUM(O77:O79)</f>
        <v>0</v>
      </c>
      <c r="P76" s="563">
        <f>SUM(P77:P79)</f>
        <v>0</v>
      </c>
      <c r="Q76" s="34">
        <f>SUM(L76:P76)</f>
        <v>90542832</v>
      </c>
      <c r="R76" s="511"/>
    </row>
    <row r="77" spans="1:18" ht="11.25" customHeight="1">
      <c r="A77" s="45"/>
      <c r="B77" s="46">
        <v>1</v>
      </c>
      <c r="C77" s="77" t="s">
        <v>136</v>
      </c>
      <c r="D77" s="47" t="s">
        <v>117</v>
      </c>
      <c r="E77" s="437"/>
      <c r="F77" s="437"/>
      <c r="G77" s="437">
        <f>5700000+1198000</f>
        <v>6898000</v>
      </c>
      <c r="H77" s="437"/>
      <c r="I77" s="437"/>
      <c r="J77" s="437">
        <f>1198000-1198000</f>
        <v>0</v>
      </c>
      <c r="K77" s="437"/>
      <c r="L77" s="347">
        <f t="shared" si="24"/>
        <v>6898000</v>
      </c>
      <c r="M77" s="437"/>
      <c r="N77" s="437"/>
      <c r="O77" s="437"/>
      <c r="P77" s="437"/>
      <c r="Q77" s="436">
        <f>SUM(L77:P77)</f>
        <v>6898000</v>
      </c>
      <c r="R77" s="438"/>
    </row>
    <row r="78" spans="1:18" ht="11.25" customHeight="1">
      <c r="A78" s="45"/>
      <c r="B78" s="46">
        <v>2</v>
      </c>
      <c r="C78" s="77" t="s">
        <v>136</v>
      </c>
      <c r="D78" s="47" t="s">
        <v>119</v>
      </c>
      <c r="E78" s="437"/>
      <c r="F78" s="437"/>
      <c r="G78" s="437">
        <v>6357452</v>
      </c>
      <c r="H78" s="437"/>
      <c r="I78" s="437"/>
      <c r="J78" s="437">
        <v>0</v>
      </c>
      <c r="K78" s="437"/>
      <c r="L78" s="347">
        <f t="shared" si="24"/>
        <v>6357452</v>
      </c>
      <c r="M78" s="437"/>
      <c r="N78" s="437"/>
      <c r="O78" s="437"/>
      <c r="P78" s="437"/>
      <c r="Q78" s="436">
        <f>SUM(L78:P78)</f>
        <v>6357452</v>
      </c>
      <c r="R78" s="438"/>
    </row>
    <row r="79" spans="1:18" ht="11.25" customHeight="1" thickBot="1">
      <c r="A79" s="43"/>
      <c r="B79" s="44">
        <v>3</v>
      </c>
      <c r="C79" s="79" t="s">
        <v>136</v>
      </c>
      <c r="D79" s="364" t="s">
        <v>311</v>
      </c>
      <c r="E79" s="513"/>
      <c r="F79" s="513"/>
      <c r="G79" s="513"/>
      <c r="H79" s="627"/>
      <c r="I79" s="627">
        <v>77287380</v>
      </c>
      <c r="J79" s="627"/>
      <c r="K79" s="627"/>
      <c r="L79" s="618">
        <f>SUM(E79:K79)</f>
        <v>77287380</v>
      </c>
      <c r="M79" s="627"/>
      <c r="N79" s="627"/>
      <c r="O79" s="627"/>
      <c r="P79" s="627"/>
      <c r="Q79" s="431">
        <f>SUM(L79:P79)</f>
        <v>77287380</v>
      </c>
      <c r="R79" s="515"/>
    </row>
    <row r="80" spans="1:18" s="53" customFormat="1" ht="11.25" customHeight="1" thickBot="1">
      <c r="A80" s="58" t="s">
        <v>49</v>
      </c>
      <c r="B80" s="98" t="s">
        <v>15</v>
      </c>
      <c r="C80" s="88" t="s">
        <v>136</v>
      </c>
      <c r="D80" s="42" t="s">
        <v>93</v>
      </c>
      <c r="E80" s="443"/>
      <c r="F80" s="443"/>
      <c r="G80" s="42">
        <v>3000000</v>
      </c>
      <c r="H80" s="42"/>
      <c r="I80" s="443"/>
      <c r="J80" s="443">
        <v>2000000</v>
      </c>
      <c r="K80" s="443">
        <v>0</v>
      </c>
      <c r="L80" s="443">
        <f t="shared" si="24"/>
        <v>5000000</v>
      </c>
      <c r="M80" s="443"/>
      <c r="N80" s="443"/>
      <c r="O80" s="443">
        <v>0</v>
      </c>
      <c r="P80" s="443"/>
      <c r="Q80" s="42">
        <f t="shared" si="23"/>
        <v>5000000</v>
      </c>
      <c r="R80" s="444"/>
    </row>
    <row r="81" spans="1:18" s="53" customFormat="1" ht="12.75" customHeight="1" thickBot="1">
      <c r="A81" s="39" t="s">
        <v>50</v>
      </c>
      <c r="B81" s="52" t="s">
        <v>15</v>
      </c>
      <c r="C81" s="78" t="s">
        <v>137</v>
      </c>
      <c r="D81" s="41" t="s">
        <v>94</v>
      </c>
      <c r="E81" s="635">
        <f>500000+1000000-500000</f>
        <v>1000000</v>
      </c>
      <c r="F81" s="635">
        <f>330000+546588-267000</f>
        <v>609588</v>
      </c>
      <c r="G81" s="41">
        <f>1500000+2000000-1135000</f>
        <v>2365000</v>
      </c>
      <c r="H81" s="41"/>
      <c r="I81" s="635"/>
      <c r="J81" s="635">
        <v>0</v>
      </c>
      <c r="K81" s="635"/>
      <c r="L81" s="443">
        <f>SUM(E81:K81)</f>
        <v>3974588</v>
      </c>
      <c r="M81" s="635"/>
      <c r="N81" s="635"/>
      <c r="O81" s="635"/>
      <c r="P81" s="635"/>
      <c r="Q81" s="42">
        <f t="shared" si="23"/>
        <v>3974588</v>
      </c>
      <c r="R81" s="444"/>
    </row>
    <row r="82" spans="1:18" s="53" customFormat="1" ht="12.75" customHeight="1" thickBot="1">
      <c r="A82" s="58" t="s">
        <v>51</v>
      </c>
      <c r="B82" s="98" t="s">
        <v>15</v>
      </c>
      <c r="C82" s="85" t="s">
        <v>137</v>
      </c>
      <c r="D82" s="42" t="s">
        <v>95</v>
      </c>
      <c r="E82" s="443">
        <f>2317009-2317009</f>
        <v>0</v>
      </c>
      <c r="F82" s="443">
        <f>473361-473361</f>
        <v>0</v>
      </c>
      <c r="G82" s="42">
        <f>480000-480000+100000</f>
        <v>100000</v>
      </c>
      <c r="H82" s="42"/>
      <c r="I82" s="443"/>
      <c r="J82" s="443">
        <v>0</v>
      </c>
      <c r="K82" s="443"/>
      <c r="L82" s="443">
        <f>SUM(E82:K82)</f>
        <v>100000</v>
      </c>
      <c r="M82" s="443"/>
      <c r="N82" s="443"/>
      <c r="O82" s="443"/>
      <c r="P82" s="443"/>
      <c r="Q82" s="42">
        <f>SUM(L82:P82)</f>
        <v>100000</v>
      </c>
      <c r="R82" s="444">
        <f>1-1</f>
        <v>0</v>
      </c>
    </row>
    <row r="83" spans="1:18" s="53" customFormat="1" ht="12.75" customHeight="1">
      <c r="A83" s="35" t="s">
        <v>52</v>
      </c>
      <c r="B83" s="64"/>
      <c r="C83" s="84"/>
      <c r="D83" s="38" t="s">
        <v>96</v>
      </c>
      <c r="E83" s="562">
        <f aca="true" t="shared" si="27" ref="E83:K83">SUM(E84:E88)</f>
        <v>100000</v>
      </c>
      <c r="F83" s="562">
        <f t="shared" si="27"/>
        <v>66000</v>
      </c>
      <c r="G83" s="562">
        <f t="shared" si="27"/>
        <v>2954000</v>
      </c>
      <c r="H83" s="562">
        <f t="shared" si="27"/>
        <v>0</v>
      </c>
      <c r="I83" s="562">
        <f t="shared" si="27"/>
        <v>1500000</v>
      </c>
      <c r="J83" s="562">
        <f t="shared" si="27"/>
        <v>0</v>
      </c>
      <c r="K83" s="562">
        <f t="shared" si="27"/>
        <v>0</v>
      </c>
      <c r="L83" s="562">
        <f>SUM(E83:K83)</f>
        <v>4620000</v>
      </c>
      <c r="M83" s="562">
        <f>SUM(M84:M88)</f>
        <v>15240000</v>
      </c>
      <c r="N83" s="562">
        <f>SUM(N84:N88)</f>
        <v>18000000</v>
      </c>
      <c r="O83" s="562">
        <f>SUM(O84:O88)</f>
        <v>0</v>
      </c>
      <c r="P83" s="562">
        <f>SUM(P84:P88)</f>
        <v>0</v>
      </c>
      <c r="Q83" s="38">
        <f t="shared" si="23"/>
        <v>37860000</v>
      </c>
      <c r="R83" s="508"/>
    </row>
    <row r="84" spans="1:18" ht="11.25" customHeight="1">
      <c r="A84" s="45"/>
      <c r="B84" s="65" t="s">
        <v>15</v>
      </c>
      <c r="C84" s="77" t="s">
        <v>137</v>
      </c>
      <c r="D84" s="48" t="s">
        <v>112</v>
      </c>
      <c r="E84" s="437"/>
      <c r="F84" s="437"/>
      <c r="G84" s="48">
        <f>2000000</f>
        <v>2000000</v>
      </c>
      <c r="H84" s="48"/>
      <c r="I84" s="437"/>
      <c r="J84" s="437">
        <v>0</v>
      </c>
      <c r="K84" s="437">
        <v>0</v>
      </c>
      <c r="L84" s="347">
        <f>SUM(E84:K84)</f>
        <v>2000000</v>
      </c>
      <c r="M84" s="437">
        <f>'6.mell'!D30</f>
        <v>15240000</v>
      </c>
      <c r="N84" s="437"/>
      <c r="O84" s="437"/>
      <c r="P84" s="437"/>
      <c r="Q84" s="436">
        <f t="shared" si="23"/>
        <v>17240000</v>
      </c>
      <c r="R84" s="438"/>
    </row>
    <row r="85" spans="1:18" ht="11.25" customHeight="1">
      <c r="A85" s="45"/>
      <c r="B85" s="46" t="s">
        <v>16</v>
      </c>
      <c r="C85" s="84" t="s">
        <v>137</v>
      </c>
      <c r="D85" s="37" t="s">
        <v>97</v>
      </c>
      <c r="E85" s="437"/>
      <c r="F85" s="437"/>
      <c r="G85" s="48">
        <f>150000+10000</f>
        <v>160000</v>
      </c>
      <c r="H85" s="48"/>
      <c r="I85" s="437">
        <v>500000</v>
      </c>
      <c r="J85" s="437">
        <v>0</v>
      </c>
      <c r="K85" s="437"/>
      <c r="L85" s="347">
        <f>SUM(E85:K85)</f>
        <v>660000</v>
      </c>
      <c r="M85" s="437"/>
      <c r="N85" s="437">
        <f>'6.mell'!D66</f>
        <v>18000000</v>
      </c>
      <c r="O85" s="437"/>
      <c r="P85" s="437"/>
      <c r="Q85" s="436">
        <f t="shared" si="23"/>
        <v>18660000</v>
      </c>
      <c r="R85" s="438"/>
    </row>
    <row r="86" spans="1:18" ht="11.25" customHeight="1">
      <c r="A86" s="49"/>
      <c r="B86" s="50" t="s">
        <v>17</v>
      </c>
      <c r="C86" s="76" t="s">
        <v>136</v>
      </c>
      <c r="D86" s="59" t="s">
        <v>301</v>
      </c>
      <c r="E86" s="433">
        <f>100000</f>
        <v>100000</v>
      </c>
      <c r="F86" s="433">
        <v>66000</v>
      </c>
      <c r="G86" s="51">
        <f>234000</f>
        <v>234000</v>
      </c>
      <c r="H86" s="51"/>
      <c r="I86" s="433"/>
      <c r="J86" s="433">
        <v>0</v>
      </c>
      <c r="K86" s="433"/>
      <c r="L86" s="432">
        <f t="shared" si="24"/>
        <v>400000</v>
      </c>
      <c r="M86" s="433"/>
      <c r="N86" s="433"/>
      <c r="O86" s="433"/>
      <c r="P86" s="433"/>
      <c r="Q86" s="434">
        <f t="shared" si="23"/>
        <v>400000</v>
      </c>
      <c r="R86" s="435"/>
    </row>
    <row r="87" spans="1:18" ht="11.25" customHeight="1">
      <c r="A87" s="49"/>
      <c r="B87" s="50" t="s">
        <v>18</v>
      </c>
      <c r="C87" s="76" t="s">
        <v>137</v>
      </c>
      <c r="D87" s="59" t="s">
        <v>347</v>
      </c>
      <c r="E87" s="433"/>
      <c r="F87" s="433"/>
      <c r="G87" s="51">
        <f>600000-40000+20000-20000</f>
        <v>560000</v>
      </c>
      <c r="H87" s="51"/>
      <c r="I87" s="433"/>
      <c r="J87" s="433"/>
      <c r="K87" s="433"/>
      <c r="L87" s="432">
        <f>SUM(E87:K87)</f>
        <v>560000</v>
      </c>
      <c r="M87" s="433"/>
      <c r="N87" s="433"/>
      <c r="O87" s="433"/>
      <c r="P87" s="433"/>
      <c r="Q87" s="434">
        <f t="shared" si="23"/>
        <v>560000</v>
      </c>
      <c r="R87" s="435"/>
    </row>
    <row r="88" spans="1:18" ht="11.25" customHeight="1" thickBot="1">
      <c r="A88" s="43"/>
      <c r="B88" s="44" t="s">
        <v>19</v>
      </c>
      <c r="C88" s="79" t="s">
        <v>137</v>
      </c>
      <c r="D88" s="364" t="s">
        <v>353</v>
      </c>
      <c r="E88" s="513"/>
      <c r="F88" s="513"/>
      <c r="G88" s="514"/>
      <c r="H88" s="514"/>
      <c r="I88" s="627">
        <f>250000+500000+250000</f>
        <v>1000000</v>
      </c>
      <c r="J88" s="627"/>
      <c r="K88" s="627"/>
      <c r="L88" s="618">
        <f>SUM(E88:K88)</f>
        <v>1000000</v>
      </c>
      <c r="M88" s="627"/>
      <c r="N88" s="627"/>
      <c r="O88" s="627"/>
      <c r="P88" s="627"/>
      <c r="Q88" s="431">
        <f t="shared" si="23"/>
        <v>1000000</v>
      </c>
      <c r="R88" s="515"/>
    </row>
    <row r="89" spans="1:18" s="53" customFormat="1" ht="12.75" customHeight="1" thickBot="1">
      <c r="A89" s="58" t="s">
        <v>123</v>
      </c>
      <c r="B89" s="98" t="s">
        <v>15</v>
      </c>
      <c r="C89" s="85" t="s">
        <v>136</v>
      </c>
      <c r="D89" s="42" t="s">
        <v>98</v>
      </c>
      <c r="E89" s="443">
        <f>1755000</f>
        <v>1755000</v>
      </c>
      <c r="F89" s="443">
        <f>495000</f>
        <v>495000</v>
      </c>
      <c r="G89" s="42">
        <f>17000000+38814490</f>
        <v>55814490</v>
      </c>
      <c r="H89" s="42"/>
      <c r="I89" s="443"/>
      <c r="J89" s="443">
        <v>0</v>
      </c>
      <c r="K89" s="443"/>
      <c r="L89" s="443">
        <f t="shared" si="24"/>
        <v>58064490</v>
      </c>
      <c r="M89" s="443">
        <f>'6.mell'!D23+'6.mell'!D24+'6.mell'!D49</f>
        <v>517154534</v>
      </c>
      <c r="N89" s="443"/>
      <c r="O89" s="443">
        <v>0</v>
      </c>
      <c r="P89" s="443"/>
      <c r="Q89" s="42">
        <f aca="true" t="shared" si="28" ref="Q89:Q94">SUM(L89:P89)</f>
        <v>575219024</v>
      </c>
      <c r="R89" s="444"/>
    </row>
    <row r="90" spans="1:18" ht="12.75" customHeight="1">
      <c r="A90" s="39" t="s">
        <v>53</v>
      </c>
      <c r="B90" s="52"/>
      <c r="C90" s="78"/>
      <c r="D90" s="41" t="s">
        <v>113</v>
      </c>
      <c r="E90" s="635">
        <f aca="true" t="shared" si="29" ref="E90:K90">SUM(E91:E94)</f>
        <v>2228832</v>
      </c>
      <c r="F90" s="635">
        <f t="shared" si="29"/>
        <v>651168</v>
      </c>
      <c r="G90" s="635">
        <f t="shared" si="29"/>
        <v>77919300</v>
      </c>
      <c r="H90" s="635">
        <f t="shared" si="29"/>
        <v>0</v>
      </c>
      <c r="I90" s="635">
        <f t="shared" si="29"/>
        <v>0</v>
      </c>
      <c r="J90" s="635">
        <f t="shared" si="29"/>
        <v>700000</v>
      </c>
      <c r="K90" s="635">
        <f t="shared" si="29"/>
        <v>0</v>
      </c>
      <c r="L90" s="635">
        <f>SUM(E90:K90)</f>
        <v>81499300</v>
      </c>
      <c r="M90" s="635">
        <f>SUM(M91:M94)</f>
        <v>821458183</v>
      </c>
      <c r="N90" s="635">
        <f>SUM(N91:N94)</f>
        <v>0</v>
      </c>
      <c r="O90" s="635">
        <f>SUM(O91:O94)</f>
        <v>0</v>
      </c>
      <c r="P90" s="635">
        <f>SUM(P91:P94)</f>
        <v>0</v>
      </c>
      <c r="Q90" s="41">
        <f>SUM(L90:P90)</f>
        <v>902957483</v>
      </c>
      <c r="R90" s="512"/>
    </row>
    <row r="91" spans="1:18" ht="11.25" customHeight="1">
      <c r="A91" s="45"/>
      <c r="B91" s="46">
        <v>1</v>
      </c>
      <c r="C91" s="77" t="s">
        <v>137</v>
      </c>
      <c r="D91" s="47" t="s">
        <v>114</v>
      </c>
      <c r="E91" s="437"/>
      <c r="F91" s="437"/>
      <c r="G91" s="48"/>
      <c r="H91" s="48"/>
      <c r="I91" s="437"/>
      <c r="J91" s="437">
        <v>700000</v>
      </c>
      <c r="K91" s="437">
        <v>0</v>
      </c>
      <c r="L91" s="347">
        <f t="shared" si="24"/>
        <v>700000</v>
      </c>
      <c r="M91" s="437"/>
      <c r="N91" s="437"/>
      <c r="O91" s="437"/>
      <c r="P91" s="437"/>
      <c r="Q91" s="436">
        <f t="shared" si="28"/>
        <v>700000</v>
      </c>
      <c r="R91" s="438"/>
    </row>
    <row r="92" spans="1:18" ht="11.25" customHeight="1">
      <c r="A92" s="49"/>
      <c r="B92" s="50">
        <v>2</v>
      </c>
      <c r="C92" s="76" t="s">
        <v>137</v>
      </c>
      <c r="D92" s="51" t="s">
        <v>321</v>
      </c>
      <c r="E92" s="433"/>
      <c r="F92" s="433"/>
      <c r="G92" s="51">
        <f>53340000+200000</f>
        <v>53540000</v>
      </c>
      <c r="H92" s="51"/>
      <c r="I92" s="433"/>
      <c r="J92" s="433">
        <v>0</v>
      </c>
      <c r="K92" s="433"/>
      <c r="L92" s="432">
        <f>SUM(E92:K92)</f>
        <v>53540000</v>
      </c>
      <c r="M92" s="433">
        <v>0</v>
      </c>
      <c r="N92" s="433"/>
      <c r="O92" s="433"/>
      <c r="P92" s="433"/>
      <c r="Q92" s="434">
        <f t="shared" si="28"/>
        <v>53540000</v>
      </c>
      <c r="R92" s="435"/>
    </row>
    <row r="93" spans="1:18" ht="11.25" customHeight="1">
      <c r="A93" s="49"/>
      <c r="B93" s="50">
        <v>3</v>
      </c>
      <c r="C93" s="76" t="s">
        <v>136</v>
      </c>
      <c r="D93" s="410" t="s">
        <v>386</v>
      </c>
      <c r="E93" s="433">
        <v>2228832</v>
      </c>
      <c r="F93" s="433">
        <v>651168</v>
      </c>
      <c r="G93" s="51">
        <f>24479300-100000</f>
        <v>24379300</v>
      </c>
      <c r="H93" s="51"/>
      <c r="I93" s="433"/>
      <c r="J93" s="433"/>
      <c r="K93" s="433"/>
      <c r="L93" s="432">
        <f>SUM(E93:K93)</f>
        <v>27259300</v>
      </c>
      <c r="M93" s="433">
        <f>'6.mell'!D21</f>
        <v>791458183</v>
      </c>
      <c r="N93" s="433"/>
      <c r="O93" s="433"/>
      <c r="P93" s="433"/>
      <c r="Q93" s="434">
        <f t="shared" si="28"/>
        <v>818717483</v>
      </c>
      <c r="R93" s="435"/>
    </row>
    <row r="94" spans="1:18" ht="12.75" customHeight="1" thickBot="1">
      <c r="A94" s="45"/>
      <c r="B94" s="46">
        <v>4</v>
      </c>
      <c r="C94" s="77" t="s">
        <v>136</v>
      </c>
      <c r="D94" s="407" t="s">
        <v>363</v>
      </c>
      <c r="E94" s="637"/>
      <c r="F94" s="437"/>
      <c r="G94" s="48">
        <v>0</v>
      </c>
      <c r="H94" s="48"/>
      <c r="I94" s="437"/>
      <c r="J94" s="437"/>
      <c r="K94" s="437"/>
      <c r="L94" s="432">
        <f>SUM(E94:K94)</f>
        <v>0</v>
      </c>
      <c r="M94" s="433">
        <f>'6.mell'!D27</f>
        <v>30000000</v>
      </c>
      <c r="N94" s="433"/>
      <c r="O94" s="433"/>
      <c r="P94" s="433"/>
      <c r="Q94" s="434">
        <f t="shared" si="28"/>
        <v>30000000</v>
      </c>
      <c r="R94" s="510"/>
    </row>
    <row r="95" spans="1:18" s="53" customFormat="1" ht="10.5" customHeight="1" thickBot="1">
      <c r="A95" s="58" t="s">
        <v>124</v>
      </c>
      <c r="B95" s="98" t="s">
        <v>15</v>
      </c>
      <c r="C95" s="82" t="s">
        <v>136</v>
      </c>
      <c r="D95" s="365" t="s">
        <v>167</v>
      </c>
      <c r="E95" s="443"/>
      <c r="F95" s="443"/>
      <c r="G95" s="42"/>
      <c r="H95" s="42"/>
      <c r="I95" s="443"/>
      <c r="J95" s="443">
        <v>7464060</v>
      </c>
      <c r="K95" s="443">
        <v>0</v>
      </c>
      <c r="L95" s="443">
        <f aca="true" t="shared" si="30" ref="L95:L103">SUM(E95:K95)</f>
        <v>7464060</v>
      </c>
      <c r="M95" s="443"/>
      <c r="N95" s="443"/>
      <c r="O95" s="443"/>
      <c r="P95" s="443"/>
      <c r="Q95" s="42">
        <f>SUM(L95:P95)</f>
        <v>7464060</v>
      </c>
      <c r="R95" s="509"/>
    </row>
    <row r="96" spans="1:18" ht="12.75" customHeight="1">
      <c r="A96" s="32" t="s">
        <v>121</v>
      </c>
      <c r="B96" s="33"/>
      <c r="C96" s="109"/>
      <c r="D96" s="34" t="s">
        <v>279</v>
      </c>
      <c r="E96" s="563">
        <f>SUM(E97:E100)</f>
        <v>0</v>
      </c>
      <c r="F96" s="563">
        <f aca="true" t="shared" si="31" ref="F96:K96">SUM(F97:F100)</f>
        <v>0</v>
      </c>
      <c r="G96" s="563">
        <f t="shared" si="31"/>
        <v>130000</v>
      </c>
      <c r="H96" s="563">
        <f>SUM(H97:H100)</f>
        <v>9900000</v>
      </c>
      <c r="I96" s="563">
        <f t="shared" si="31"/>
        <v>0</v>
      </c>
      <c r="J96" s="563">
        <f t="shared" si="31"/>
        <v>0</v>
      </c>
      <c r="K96" s="563">
        <f t="shared" si="31"/>
        <v>0</v>
      </c>
      <c r="L96" s="563">
        <f t="shared" si="30"/>
        <v>10030000</v>
      </c>
      <c r="M96" s="563">
        <f>SUM(M97:M99)</f>
        <v>0</v>
      </c>
      <c r="N96" s="563">
        <f>SUM(N97:N99)</f>
        <v>0</v>
      </c>
      <c r="O96" s="563">
        <f>SUM(O97:O99)</f>
        <v>0</v>
      </c>
      <c r="P96" s="563">
        <f>SUM(P97:P99)</f>
        <v>0</v>
      </c>
      <c r="Q96" s="34">
        <f>SUM(L96:P96)</f>
        <v>10030000</v>
      </c>
      <c r="R96" s="617"/>
    </row>
    <row r="97" spans="1:18" ht="11.25" customHeight="1">
      <c r="A97" s="49"/>
      <c r="B97" s="50" t="s">
        <v>15</v>
      </c>
      <c r="C97" s="76" t="s">
        <v>137</v>
      </c>
      <c r="D97" s="59" t="s">
        <v>247</v>
      </c>
      <c r="E97" s="433"/>
      <c r="F97" s="433"/>
      <c r="G97" s="51">
        <v>130000</v>
      </c>
      <c r="H97" s="51"/>
      <c r="I97" s="433"/>
      <c r="J97" s="433"/>
      <c r="K97" s="433"/>
      <c r="L97" s="347">
        <f t="shared" si="30"/>
        <v>130000</v>
      </c>
      <c r="M97" s="433"/>
      <c r="N97" s="433"/>
      <c r="O97" s="433"/>
      <c r="P97" s="433"/>
      <c r="Q97" s="436">
        <f>L97</f>
        <v>130000</v>
      </c>
      <c r="R97" s="435"/>
    </row>
    <row r="98" spans="1:18" ht="11.25" customHeight="1">
      <c r="A98" s="49"/>
      <c r="B98" s="50" t="s">
        <v>16</v>
      </c>
      <c r="C98" s="76" t="s">
        <v>136</v>
      </c>
      <c r="D98" s="59" t="s">
        <v>76</v>
      </c>
      <c r="E98" s="433"/>
      <c r="F98" s="433"/>
      <c r="G98" s="51">
        <v>0</v>
      </c>
      <c r="H98" s="51">
        <v>600000</v>
      </c>
      <c r="I98" s="433">
        <v>0</v>
      </c>
      <c r="J98" s="433">
        <v>0</v>
      </c>
      <c r="K98" s="433"/>
      <c r="L98" s="432">
        <f t="shared" si="30"/>
        <v>600000</v>
      </c>
      <c r="M98" s="433"/>
      <c r="N98" s="433"/>
      <c r="O98" s="433"/>
      <c r="P98" s="433"/>
      <c r="Q98" s="434">
        <f aca="true" t="shared" si="32" ref="Q98:Q104">SUM(L98:P98)</f>
        <v>600000</v>
      </c>
      <c r="R98" s="435"/>
    </row>
    <row r="99" spans="1:18" ht="11.25" customHeight="1">
      <c r="A99" s="49"/>
      <c r="B99" s="50" t="s">
        <v>17</v>
      </c>
      <c r="C99" s="76" t="s">
        <v>136</v>
      </c>
      <c r="D99" s="59" t="s">
        <v>280</v>
      </c>
      <c r="E99" s="433"/>
      <c r="F99" s="433"/>
      <c r="G99" s="51"/>
      <c r="H99" s="51">
        <f>2000000+5000000</f>
        <v>7000000</v>
      </c>
      <c r="I99" s="433"/>
      <c r="J99" s="433"/>
      <c r="K99" s="433"/>
      <c r="L99" s="432">
        <f>SUM(E99:K99)</f>
        <v>7000000</v>
      </c>
      <c r="M99" s="433"/>
      <c r="N99" s="433"/>
      <c r="O99" s="433"/>
      <c r="P99" s="433"/>
      <c r="Q99" s="434">
        <f t="shared" si="32"/>
        <v>7000000</v>
      </c>
      <c r="R99" s="435"/>
    </row>
    <row r="100" spans="1:18" ht="11.25" customHeight="1" thickBot="1">
      <c r="A100" s="43"/>
      <c r="B100" s="44" t="s">
        <v>18</v>
      </c>
      <c r="C100" s="79" t="s">
        <v>136</v>
      </c>
      <c r="D100" s="364" t="s">
        <v>398</v>
      </c>
      <c r="E100" s="627"/>
      <c r="F100" s="627"/>
      <c r="G100" s="636"/>
      <c r="H100" s="636">
        <f>2000000+300000</f>
        <v>2300000</v>
      </c>
      <c r="I100" s="627"/>
      <c r="J100" s="627"/>
      <c r="K100" s="627"/>
      <c r="L100" s="618">
        <f>SUM(E100:K100)</f>
        <v>2300000</v>
      </c>
      <c r="M100" s="627"/>
      <c r="N100" s="627"/>
      <c r="O100" s="627"/>
      <c r="P100" s="627"/>
      <c r="Q100" s="431">
        <f t="shared" si="32"/>
        <v>2300000</v>
      </c>
      <c r="R100" s="619"/>
    </row>
    <row r="101" spans="1:18" ht="13.5" customHeight="1">
      <c r="A101" s="35" t="s">
        <v>125</v>
      </c>
      <c r="B101" s="64"/>
      <c r="C101" s="84"/>
      <c r="D101" s="38" t="s">
        <v>99</v>
      </c>
      <c r="E101" s="562">
        <f aca="true" t="shared" si="33" ref="E101:K101">SUM(E102:E104)</f>
        <v>6100000</v>
      </c>
      <c r="F101" s="562">
        <f t="shared" si="33"/>
        <v>1222000</v>
      </c>
      <c r="G101" s="562">
        <f t="shared" si="33"/>
        <v>18773623</v>
      </c>
      <c r="H101" s="562">
        <f t="shared" si="33"/>
        <v>0</v>
      </c>
      <c r="I101" s="562">
        <f>SUM(I102:I104)</f>
        <v>6620000</v>
      </c>
      <c r="J101" s="562">
        <f t="shared" si="33"/>
        <v>0</v>
      </c>
      <c r="K101" s="562">
        <f t="shared" si="33"/>
        <v>0</v>
      </c>
      <c r="L101" s="562">
        <f>SUM(E101:K101)</f>
        <v>32715623</v>
      </c>
      <c r="M101" s="562">
        <f>SUM(M102:M104)</f>
        <v>324377</v>
      </c>
      <c r="N101" s="562">
        <f>SUM(N102:N104)</f>
        <v>0</v>
      </c>
      <c r="O101" s="562">
        <f>SUM(O102:O104)</f>
        <v>0</v>
      </c>
      <c r="P101" s="562">
        <f>SUM(P102:P104)</f>
        <v>0</v>
      </c>
      <c r="Q101" s="38">
        <f t="shared" si="32"/>
        <v>33040000</v>
      </c>
      <c r="R101" s="348">
        <f>R102</f>
        <v>2</v>
      </c>
    </row>
    <row r="102" spans="1:18" ht="12" customHeight="1">
      <c r="A102" s="45"/>
      <c r="B102" s="46" t="s">
        <v>15</v>
      </c>
      <c r="C102" s="77" t="s">
        <v>137</v>
      </c>
      <c r="D102" s="70" t="s">
        <v>314</v>
      </c>
      <c r="E102" s="437">
        <f>4800000+1200000+100000</f>
        <v>6100000</v>
      </c>
      <c r="F102" s="437">
        <f>1170000+52000</f>
        <v>1222000</v>
      </c>
      <c r="G102" s="48">
        <f>25200000-6000000-1170000+1220000-152000-324377</f>
        <v>18773623</v>
      </c>
      <c r="H102" s="48"/>
      <c r="I102" s="437">
        <v>0</v>
      </c>
      <c r="J102" s="437">
        <v>0</v>
      </c>
      <c r="K102" s="437"/>
      <c r="L102" s="562">
        <f>SUM(E102:K102)</f>
        <v>26095623</v>
      </c>
      <c r="M102" s="437">
        <v>324377</v>
      </c>
      <c r="N102" s="437"/>
      <c r="O102" s="437"/>
      <c r="P102" s="437"/>
      <c r="Q102" s="38">
        <f t="shared" si="32"/>
        <v>26420000</v>
      </c>
      <c r="R102" s="438">
        <v>2</v>
      </c>
    </row>
    <row r="103" spans="1:18" ht="21.75" customHeight="1">
      <c r="A103" s="45"/>
      <c r="B103" s="46" t="s">
        <v>16</v>
      </c>
      <c r="C103" s="77" t="s">
        <v>136</v>
      </c>
      <c r="D103" s="70" t="s">
        <v>115</v>
      </c>
      <c r="E103" s="437"/>
      <c r="F103" s="437"/>
      <c r="G103" s="48"/>
      <c r="H103" s="48"/>
      <c r="I103" s="437">
        <v>500000</v>
      </c>
      <c r="J103" s="437">
        <v>0</v>
      </c>
      <c r="K103" s="437"/>
      <c r="L103" s="562">
        <f t="shared" si="30"/>
        <v>500000</v>
      </c>
      <c r="M103" s="437"/>
      <c r="N103" s="437"/>
      <c r="O103" s="48"/>
      <c r="P103" s="48"/>
      <c r="Q103" s="38">
        <f t="shared" si="32"/>
        <v>500000</v>
      </c>
      <c r="R103" s="438"/>
    </row>
    <row r="104" spans="1:18" ht="22.5" customHeight="1" thickBot="1">
      <c r="A104" s="49"/>
      <c r="B104" s="50" t="s">
        <v>17</v>
      </c>
      <c r="C104" s="76" t="s">
        <v>136</v>
      </c>
      <c r="D104" s="732" t="s">
        <v>422</v>
      </c>
      <c r="E104" s="433"/>
      <c r="F104" s="433"/>
      <c r="G104" s="51"/>
      <c r="H104" s="51"/>
      <c r="I104" s="433">
        <v>6120000</v>
      </c>
      <c r="J104" s="433"/>
      <c r="K104" s="433"/>
      <c r="L104" s="432">
        <f>I104</f>
        <v>6120000</v>
      </c>
      <c r="M104" s="433"/>
      <c r="N104" s="433"/>
      <c r="O104" s="51"/>
      <c r="P104" s="51"/>
      <c r="Q104" s="434">
        <f t="shared" si="32"/>
        <v>6120000</v>
      </c>
      <c r="R104" s="435"/>
    </row>
    <row r="105" spans="1:18" ht="11.25" customHeight="1" thickBot="1">
      <c r="A105" s="58" t="s">
        <v>126</v>
      </c>
      <c r="B105" s="98" t="s">
        <v>15</v>
      </c>
      <c r="C105" s="85" t="s">
        <v>137</v>
      </c>
      <c r="D105" s="460" t="s">
        <v>158</v>
      </c>
      <c r="E105" s="461"/>
      <c r="F105" s="461"/>
      <c r="G105" s="462"/>
      <c r="H105" s="462"/>
      <c r="I105" s="461">
        <v>650000</v>
      </c>
      <c r="J105" s="461">
        <v>0</v>
      </c>
      <c r="K105" s="461"/>
      <c r="L105" s="443">
        <f aca="true" t="shared" si="34" ref="L105:L110">SUM(E105:K105)</f>
        <v>650000</v>
      </c>
      <c r="M105" s="461"/>
      <c r="N105" s="461"/>
      <c r="O105" s="462"/>
      <c r="P105" s="462"/>
      <c r="Q105" s="42">
        <f>SUM(L105:P105)</f>
        <v>650000</v>
      </c>
      <c r="R105" s="444"/>
    </row>
    <row r="106" spans="1:18" s="53" customFormat="1" ht="12.75" customHeight="1">
      <c r="A106" s="944" t="s">
        <v>127</v>
      </c>
      <c r="B106" s="61" t="s">
        <v>15</v>
      </c>
      <c r="C106" s="87" t="s">
        <v>136</v>
      </c>
      <c r="D106" s="62" t="s">
        <v>0</v>
      </c>
      <c r="E106" s="560">
        <f>14871600+15171900+20036403</f>
        <v>50079903</v>
      </c>
      <c r="F106" s="560">
        <f>1449948+1479228+1963597</f>
        <v>4892773</v>
      </c>
      <c r="G106" s="560">
        <f>3584448+2174252+2971514+2491276+6000000+5000000</f>
        <v>22221490</v>
      </c>
      <c r="H106" s="560"/>
      <c r="I106" s="560"/>
      <c r="J106" s="560"/>
      <c r="K106" s="560"/>
      <c r="L106" s="560">
        <f t="shared" si="34"/>
        <v>77194166</v>
      </c>
      <c r="M106" s="560">
        <f>'6.mell'!D9</f>
        <v>12778510</v>
      </c>
      <c r="N106" s="560"/>
      <c r="O106" s="560"/>
      <c r="P106" s="560"/>
      <c r="Q106" s="62">
        <f>SUM(L106:P106)</f>
        <v>89972676</v>
      </c>
      <c r="R106" s="621">
        <f>15+15+20</f>
        <v>50</v>
      </c>
    </row>
    <row r="107" spans="1:18" s="53" customFormat="1" ht="12.75" customHeight="1" thickBot="1">
      <c r="A107" s="945"/>
      <c r="B107" s="44" t="s">
        <v>16</v>
      </c>
      <c r="C107" s="79" t="s">
        <v>136</v>
      </c>
      <c r="D107" s="431" t="s">
        <v>389</v>
      </c>
      <c r="E107" s="618">
        <f>1200000-942400+15641586</f>
        <v>15899186</v>
      </c>
      <c r="F107" s="618">
        <f>237600-162800+2961404</f>
        <v>3036204</v>
      </c>
      <c r="G107" s="618">
        <f>10000000-1200000-237600-2222500+23500254</f>
        <v>29840154</v>
      </c>
      <c r="H107" s="618"/>
      <c r="I107" s="618"/>
      <c r="J107" s="618"/>
      <c r="K107" s="618"/>
      <c r="L107" s="618">
        <f>SUM(E107:K107)</f>
        <v>48775544</v>
      </c>
      <c r="M107" s="618">
        <f>'6.mell'!D42</f>
        <v>2584000</v>
      </c>
      <c r="N107" s="618"/>
      <c r="O107" s="618"/>
      <c r="P107" s="618"/>
      <c r="Q107" s="431">
        <f>SUM(L107:P107)</f>
        <v>51359544</v>
      </c>
      <c r="R107" s="619"/>
    </row>
    <row r="108" spans="1:18" s="53" customFormat="1" ht="12.75" customHeight="1">
      <c r="A108" s="32" t="s">
        <v>150</v>
      </c>
      <c r="B108" s="97"/>
      <c r="C108" s="109"/>
      <c r="D108" s="34" t="s">
        <v>100</v>
      </c>
      <c r="E108" s="563">
        <f>SUM(E109:E115)</f>
        <v>6009890</v>
      </c>
      <c r="F108" s="563">
        <f aca="true" t="shared" si="35" ref="F108:K108">SUM(F109:F115)</f>
        <v>2702636</v>
      </c>
      <c r="G108" s="563">
        <f t="shared" si="35"/>
        <v>121539094</v>
      </c>
      <c r="H108" s="563">
        <f t="shared" si="35"/>
        <v>0</v>
      </c>
      <c r="I108" s="563">
        <f t="shared" si="35"/>
        <v>18590000</v>
      </c>
      <c r="J108" s="563">
        <f t="shared" si="35"/>
        <v>250000</v>
      </c>
      <c r="K108" s="563">
        <f t="shared" si="35"/>
        <v>0</v>
      </c>
      <c r="L108" s="563">
        <f>SUM(E108:K108)</f>
        <v>149091620</v>
      </c>
      <c r="M108" s="563">
        <f>SUM(M109:M115)</f>
        <v>14099191</v>
      </c>
      <c r="N108" s="563">
        <f>SUM(N109:N115)</f>
        <v>0</v>
      </c>
      <c r="O108" s="563">
        <f>SUM(O109:O115)</f>
        <v>0</v>
      </c>
      <c r="P108" s="563">
        <f>SUM(P109:P115)</f>
        <v>0</v>
      </c>
      <c r="Q108" s="34">
        <f>SUM(L108:P108)</f>
        <v>163190811</v>
      </c>
      <c r="R108" s="511"/>
    </row>
    <row r="109" spans="1:18" ht="10.5" customHeight="1">
      <c r="A109" s="35"/>
      <c r="B109" s="67" t="s">
        <v>15</v>
      </c>
      <c r="C109" s="84" t="s">
        <v>137</v>
      </c>
      <c r="D109" s="37" t="s">
        <v>171</v>
      </c>
      <c r="E109" s="345"/>
      <c r="F109" s="345"/>
      <c r="G109" s="346">
        <v>0</v>
      </c>
      <c r="H109" s="346"/>
      <c r="I109" s="346">
        <f>800000</f>
        <v>800000</v>
      </c>
      <c r="J109" s="345">
        <v>0</v>
      </c>
      <c r="K109" s="345"/>
      <c r="L109" s="347">
        <f t="shared" si="34"/>
        <v>800000</v>
      </c>
      <c r="M109" s="346"/>
      <c r="N109" s="346"/>
      <c r="O109" s="346"/>
      <c r="P109" s="346"/>
      <c r="Q109" s="436">
        <f>SUM(L109:P109)</f>
        <v>800000</v>
      </c>
      <c r="R109" s="348"/>
    </row>
    <row r="110" spans="1:18" ht="10.5" customHeight="1">
      <c r="A110" s="45"/>
      <c r="B110" s="65" t="s">
        <v>16</v>
      </c>
      <c r="C110" s="77" t="s">
        <v>137</v>
      </c>
      <c r="D110" s="47" t="s">
        <v>157</v>
      </c>
      <c r="E110" s="437"/>
      <c r="F110" s="437"/>
      <c r="G110" s="48"/>
      <c r="H110" s="48"/>
      <c r="I110" s="48">
        <f>500000</f>
        <v>500000</v>
      </c>
      <c r="J110" s="437">
        <v>0</v>
      </c>
      <c r="K110" s="437"/>
      <c r="L110" s="347">
        <f t="shared" si="34"/>
        <v>500000</v>
      </c>
      <c r="M110" s="48"/>
      <c r="N110" s="48"/>
      <c r="O110" s="48"/>
      <c r="P110" s="48"/>
      <c r="Q110" s="436">
        <f aca="true" t="shared" si="36" ref="Q110:Q126">SUM(L110:P110)</f>
        <v>500000</v>
      </c>
      <c r="R110" s="438"/>
    </row>
    <row r="111" spans="1:18" ht="34.5" customHeight="1">
      <c r="A111" s="45"/>
      <c r="B111" s="728" t="s">
        <v>17</v>
      </c>
      <c r="C111" s="77" t="s">
        <v>137</v>
      </c>
      <c r="D111" s="70" t="s">
        <v>420</v>
      </c>
      <c r="E111" s="437"/>
      <c r="F111" s="437"/>
      <c r="G111" s="48">
        <f>88265000+4082142</f>
        <v>92347142</v>
      </c>
      <c r="H111" s="48"/>
      <c r="I111" s="48"/>
      <c r="J111" s="437">
        <v>0</v>
      </c>
      <c r="K111" s="437"/>
      <c r="L111" s="347">
        <f>SUM(E111:K111)</f>
        <v>92347142</v>
      </c>
      <c r="M111" s="48"/>
      <c r="N111" s="48"/>
      <c r="O111" s="48"/>
      <c r="P111" s="48"/>
      <c r="Q111" s="436">
        <f t="shared" si="36"/>
        <v>92347142</v>
      </c>
      <c r="R111" s="438"/>
    </row>
    <row r="112" spans="1:18" ht="12.75" customHeight="1">
      <c r="A112" s="49"/>
      <c r="B112" s="464" t="s">
        <v>18</v>
      </c>
      <c r="C112" s="76" t="s">
        <v>137</v>
      </c>
      <c r="D112" s="366" t="s">
        <v>354</v>
      </c>
      <c r="E112" s="433">
        <f>1900000+500000</f>
        <v>2400000</v>
      </c>
      <c r="F112" s="433">
        <f>870000+267000</f>
        <v>1137000</v>
      </c>
      <c r="G112" s="51">
        <f>10000000+7000000-7000000+1135000+612000</f>
        <v>11747000</v>
      </c>
      <c r="H112" s="51"/>
      <c r="I112" s="51"/>
      <c r="J112" s="433"/>
      <c r="K112" s="433"/>
      <c r="L112" s="432">
        <f>SUM(E112:K112)</f>
        <v>15284000</v>
      </c>
      <c r="M112" s="51"/>
      <c r="N112" s="51"/>
      <c r="O112" s="51"/>
      <c r="P112" s="51"/>
      <c r="Q112" s="434">
        <f t="shared" si="36"/>
        <v>15284000</v>
      </c>
      <c r="R112" s="435"/>
    </row>
    <row r="113" spans="1:18" ht="13.5" customHeight="1">
      <c r="A113" s="49"/>
      <c r="B113" s="464" t="s">
        <v>19</v>
      </c>
      <c r="C113" s="76" t="s">
        <v>137</v>
      </c>
      <c r="D113" s="366" t="s">
        <v>421</v>
      </c>
      <c r="E113" s="433">
        <f>4195000-2419000+1500000</f>
        <v>3276000</v>
      </c>
      <c r="F113" s="433">
        <f>1805000-1081000+775526</f>
        <v>1499526</v>
      </c>
      <c r="G113" s="51">
        <f>19300000-16450000+2405000+1000000+7000000+500000</f>
        <v>13755000</v>
      </c>
      <c r="H113" s="51"/>
      <c r="I113" s="51">
        <f>17390000-100000</f>
        <v>17290000</v>
      </c>
      <c r="J113" s="433">
        <v>250000</v>
      </c>
      <c r="K113" s="433"/>
      <c r="L113" s="432">
        <f>SUM(E113:K113)</f>
        <v>36070526</v>
      </c>
      <c r="M113" s="51">
        <f>'6.mell'!D38</f>
        <v>5000000</v>
      </c>
      <c r="N113" s="51"/>
      <c r="O113" s="51"/>
      <c r="P113" s="51"/>
      <c r="Q113" s="434">
        <f>SUM(L113:P113)</f>
        <v>41070526</v>
      </c>
      <c r="R113" s="435"/>
    </row>
    <row r="114" spans="1:18" ht="21.75" customHeight="1">
      <c r="A114" s="49"/>
      <c r="B114" s="464" t="s">
        <v>20</v>
      </c>
      <c r="C114" s="76" t="s">
        <v>137</v>
      </c>
      <c r="D114" s="366" t="s">
        <v>395</v>
      </c>
      <c r="E114" s="433">
        <v>333890</v>
      </c>
      <c r="F114" s="433">
        <v>66110</v>
      </c>
      <c r="G114" s="51">
        <v>2107000</v>
      </c>
      <c r="H114" s="51"/>
      <c r="I114" s="51"/>
      <c r="J114" s="433"/>
      <c r="K114" s="433"/>
      <c r="L114" s="432">
        <f>SUM(E114:K114)</f>
        <v>2507000</v>
      </c>
      <c r="M114" s="51">
        <f>'6.mell'!D31</f>
        <v>7493000</v>
      </c>
      <c r="N114" s="51"/>
      <c r="O114" s="51"/>
      <c r="P114" s="51"/>
      <c r="Q114" s="434">
        <f>SUM(L114:P114)</f>
        <v>10000000</v>
      </c>
      <c r="R114" s="435"/>
    </row>
    <row r="115" spans="1:18" ht="13.5" customHeight="1" thickBot="1">
      <c r="A115" s="43"/>
      <c r="B115" s="413" t="s">
        <v>21</v>
      </c>
      <c r="C115" s="79" t="s">
        <v>137</v>
      </c>
      <c r="D115" s="472" t="s">
        <v>399</v>
      </c>
      <c r="E115" s="627"/>
      <c r="F115" s="627"/>
      <c r="G115" s="636">
        <v>1582952</v>
      </c>
      <c r="H115" s="636"/>
      <c r="I115" s="636"/>
      <c r="J115" s="627"/>
      <c r="K115" s="627"/>
      <c r="L115" s="618">
        <f>SUM(G115:K115)</f>
        <v>1582952</v>
      </c>
      <c r="M115" s="636">
        <f>'6.mell'!D36</f>
        <v>1606191</v>
      </c>
      <c r="N115" s="636"/>
      <c r="O115" s="636"/>
      <c r="P115" s="636"/>
      <c r="Q115" s="431">
        <f>SUM(L115:P115)</f>
        <v>3189143</v>
      </c>
      <c r="R115" s="619"/>
    </row>
    <row r="116" spans="1:18" s="53" customFormat="1" ht="12.75" customHeight="1">
      <c r="A116" s="32" t="s">
        <v>128</v>
      </c>
      <c r="B116" s="97"/>
      <c r="C116" s="109"/>
      <c r="D116" s="34" t="s">
        <v>101</v>
      </c>
      <c r="E116" s="563">
        <f>E117+E118</f>
        <v>0</v>
      </c>
      <c r="F116" s="563">
        <f aca="true" t="shared" si="37" ref="F116:K116">F117+F118</f>
        <v>0</v>
      </c>
      <c r="G116" s="563">
        <f t="shared" si="37"/>
        <v>45443000</v>
      </c>
      <c r="H116" s="563">
        <f t="shared" si="37"/>
        <v>0</v>
      </c>
      <c r="I116" s="563">
        <f t="shared" si="37"/>
        <v>24245000</v>
      </c>
      <c r="J116" s="563">
        <f t="shared" si="37"/>
        <v>0</v>
      </c>
      <c r="K116" s="563">
        <f t="shared" si="37"/>
        <v>0</v>
      </c>
      <c r="L116" s="563">
        <f>SUM(E116:K116)</f>
        <v>69688000</v>
      </c>
      <c r="M116" s="563">
        <f>M117+M118</f>
        <v>0</v>
      </c>
      <c r="N116" s="563">
        <f>N117+N118</f>
        <v>0</v>
      </c>
      <c r="O116" s="563">
        <f>O117+O118</f>
        <v>0</v>
      </c>
      <c r="P116" s="563">
        <f>P117+P118</f>
        <v>0</v>
      </c>
      <c r="Q116" s="34">
        <f>SUM(L116:P116)</f>
        <v>69688000</v>
      </c>
      <c r="R116" s="617"/>
    </row>
    <row r="117" spans="1:18" ht="35.25" customHeight="1">
      <c r="A117" s="45"/>
      <c r="B117" s="46" t="s">
        <v>15</v>
      </c>
      <c r="C117" s="77" t="s">
        <v>137</v>
      </c>
      <c r="D117" s="366" t="s">
        <v>338</v>
      </c>
      <c r="E117" s="437"/>
      <c r="F117" s="437"/>
      <c r="G117" s="48">
        <f>34646000+797000</f>
        <v>35443000</v>
      </c>
      <c r="H117" s="48"/>
      <c r="I117" s="437"/>
      <c r="J117" s="437">
        <v>0</v>
      </c>
      <c r="K117" s="437"/>
      <c r="L117" s="347">
        <f aca="true" t="shared" si="38" ref="L117:L132">SUM(E117:K117)</f>
        <v>35443000</v>
      </c>
      <c r="M117" s="437">
        <f>'6.mell'!D39</f>
        <v>0</v>
      </c>
      <c r="N117" s="437"/>
      <c r="O117" s="437"/>
      <c r="P117" s="437"/>
      <c r="Q117" s="436">
        <f t="shared" si="36"/>
        <v>35443000</v>
      </c>
      <c r="R117" s="438"/>
    </row>
    <row r="118" spans="1:18" ht="34.5" customHeight="1" thickBot="1">
      <c r="A118" s="43"/>
      <c r="B118" s="727" t="s">
        <v>16</v>
      </c>
      <c r="C118" s="711" t="s">
        <v>136</v>
      </c>
      <c r="D118" s="91" t="s">
        <v>375</v>
      </c>
      <c r="E118" s="627"/>
      <c r="F118" s="627"/>
      <c r="G118" s="636">
        <v>10000000</v>
      </c>
      <c r="H118" s="636"/>
      <c r="I118" s="627">
        <v>24245000</v>
      </c>
      <c r="J118" s="627"/>
      <c r="K118" s="627"/>
      <c r="L118" s="618">
        <f>SUM(G118:K118)</f>
        <v>34245000</v>
      </c>
      <c r="M118" s="627"/>
      <c r="N118" s="627"/>
      <c r="O118" s="627"/>
      <c r="P118" s="627"/>
      <c r="Q118" s="431">
        <f t="shared" si="36"/>
        <v>34245000</v>
      </c>
      <c r="R118" s="619"/>
    </row>
    <row r="119" spans="1:18" ht="12" customHeight="1">
      <c r="A119" s="39" t="s">
        <v>129</v>
      </c>
      <c r="B119" s="52"/>
      <c r="C119" s="78"/>
      <c r="D119" s="403" t="s">
        <v>348</v>
      </c>
      <c r="E119" s="635">
        <f>SUM(E120:E124)</f>
        <v>0</v>
      </c>
      <c r="F119" s="635">
        <f aca="true" t="shared" si="39" ref="F119:K119">SUM(F120:F124)</f>
        <v>0</v>
      </c>
      <c r="G119" s="635">
        <f t="shared" si="39"/>
        <v>2148111</v>
      </c>
      <c r="H119" s="635">
        <f t="shared" si="39"/>
        <v>0</v>
      </c>
      <c r="I119" s="635">
        <f t="shared" si="39"/>
        <v>9932508</v>
      </c>
      <c r="J119" s="635">
        <f t="shared" si="39"/>
        <v>0</v>
      </c>
      <c r="K119" s="635">
        <f t="shared" si="39"/>
        <v>0</v>
      </c>
      <c r="L119" s="635">
        <f t="shared" si="38"/>
        <v>12080619</v>
      </c>
      <c r="M119" s="635">
        <f>SUM(M120:M124)</f>
        <v>22598111</v>
      </c>
      <c r="N119" s="635">
        <f>SUM(N120:N124)</f>
        <v>21233225</v>
      </c>
      <c r="O119" s="635">
        <f>SUM(O120:O124)</f>
        <v>0</v>
      </c>
      <c r="P119" s="635">
        <f>SUM(P120:P124)</f>
        <v>0</v>
      </c>
      <c r="Q119" s="41">
        <f t="shared" si="36"/>
        <v>55911955</v>
      </c>
      <c r="R119" s="575"/>
    </row>
    <row r="120" spans="1:18" ht="12" customHeight="1">
      <c r="A120" s="45"/>
      <c r="B120" s="46" t="s">
        <v>15</v>
      </c>
      <c r="C120" s="77" t="s">
        <v>137</v>
      </c>
      <c r="D120" s="47" t="s">
        <v>168</v>
      </c>
      <c r="E120" s="437"/>
      <c r="F120" s="437"/>
      <c r="G120" s="48"/>
      <c r="H120" s="48"/>
      <c r="I120" s="437">
        <f>530000+110000</f>
        <v>640000</v>
      </c>
      <c r="J120" s="437"/>
      <c r="K120" s="437"/>
      <c r="L120" s="347">
        <f t="shared" si="38"/>
        <v>640000</v>
      </c>
      <c r="M120" s="437"/>
      <c r="N120" s="437">
        <v>0</v>
      </c>
      <c r="O120" s="437"/>
      <c r="P120" s="437"/>
      <c r="Q120" s="436">
        <f t="shared" si="36"/>
        <v>640000</v>
      </c>
      <c r="R120" s="438"/>
    </row>
    <row r="121" spans="1:18" ht="12" customHeight="1">
      <c r="A121" s="45"/>
      <c r="B121" s="46" t="s">
        <v>16</v>
      </c>
      <c r="C121" s="77" t="s">
        <v>137</v>
      </c>
      <c r="D121" s="47" t="s">
        <v>381</v>
      </c>
      <c r="E121" s="437"/>
      <c r="F121" s="437"/>
      <c r="G121" s="48"/>
      <c r="H121" s="48"/>
      <c r="I121" s="437">
        <f>530000</f>
        <v>530000</v>
      </c>
      <c r="J121" s="437"/>
      <c r="K121" s="437"/>
      <c r="L121" s="347">
        <f t="shared" si="38"/>
        <v>530000</v>
      </c>
      <c r="M121" s="437"/>
      <c r="N121" s="437">
        <f>'6.mell'!D67</f>
        <v>21233225</v>
      </c>
      <c r="O121" s="437"/>
      <c r="P121" s="437"/>
      <c r="Q121" s="436">
        <f t="shared" si="36"/>
        <v>21763225</v>
      </c>
      <c r="R121" s="438"/>
    </row>
    <row r="122" spans="1:18" ht="12" customHeight="1">
      <c r="A122" s="39"/>
      <c r="B122" s="52" t="s">
        <v>17</v>
      </c>
      <c r="C122" s="78" t="s">
        <v>137</v>
      </c>
      <c r="D122" s="40" t="s">
        <v>169</v>
      </c>
      <c r="E122" s="574"/>
      <c r="F122" s="574"/>
      <c r="G122" s="645">
        <v>2148111</v>
      </c>
      <c r="H122" s="645"/>
      <c r="I122" s="574">
        <f>400000</f>
        <v>400000</v>
      </c>
      <c r="J122" s="574"/>
      <c r="K122" s="574"/>
      <c r="L122" s="635">
        <f t="shared" si="38"/>
        <v>2548111</v>
      </c>
      <c r="M122" s="574">
        <f>'6.mell'!D56</f>
        <v>22598111</v>
      </c>
      <c r="N122" s="574"/>
      <c r="O122" s="574"/>
      <c r="P122" s="574"/>
      <c r="Q122" s="41">
        <f t="shared" si="36"/>
        <v>25146222</v>
      </c>
      <c r="R122" s="575"/>
    </row>
    <row r="123" spans="1:18" ht="12" customHeight="1">
      <c r="A123" s="45"/>
      <c r="B123" s="46" t="s">
        <v>18</v>
      </c>
      <c r="C123" s="77" t="s">
        <v>137</v>
      </c>
      <c r="D123" s="47" t="s">
        <v>183</v>
      </c>
      <c r="E123" s="437"/>
      <c r="F123" s="437"/>
      <c r="G123" s="48"/>
      <c r="H123" s="48"/>
      <c r="I123" s="437">
        <f>530000</f>
        <v>530000</v>
      </c>
      <c r="J123" s="437"/>
      <c r="K123" s="437"/>
      <c r="L123" s="347">
        <f>I123</f>
        <v>530000</v>
      </c>
      <c r="M123" s="437"/>
      <c r="N123" s="437">
        <v>0</v>
      </c>
      <c r="O123" s="437"/>
      <c r="P123" s="437"/>
      <c r="Q123" s="436">
        <f t="shared" si="36"/>
        <v>530000</v>
      </c>
      <c r="R123" s="438"/>
    </row>
    <row r="124" spans="1:18" ht="12" customHeight="1" thickBot="1">
      <c r="A124" s="49"/>
      <c r="B124" s="50" t="s">
        <v>19</v>
      </c>
      <c r="C124" s="76" t="s">
        <v>136</v>
      </c>
      <c r="D124" s="59" t="s">
        <v>417</v>
      </c>
      <c r="E124" s="433"/>
      <c r="F124" s="433"/>
      <c r="G124" s="51"/>
      <c r="H124" s="51"/>
      <c r="I124" s="433">
        <v>7832508</v>
      </c>
      <c r="J124" s="433"/>
      <c r="K124" s="433"/>
      <c r="L124" s="432">
        <f>SUM(E124:K124)</f>
        <v>7832508</v>
      </c>
      <c r="M124" s="433">
        <f>18821-18821</f>
        <v>0</v>
      </c>
      <c r="N124" s="433"/>
      <c r="O124" s="433"/>
      <c r="P124" s="433"/>
      <c r="Q124" s="434">
        <f t="shared" si="36"/>
        <v>7832508</v>
      </c>
      <c r="R124" s="435"/>
    </row>
    <row r="125" spans="1:18" ht="12.75" customHeight="1" thickBot="1">
      <c r="A125" s="58" t="s">
        <v>130</v>
      </c>
      <c r="B125" s="99" t="s">
        <v>15</v>
      </c>
      <c r="C125" s="82" t="s">
        <v>137</v>
      </c>
      <c r="D125" s="376" t="s">
        <v>102</v>
      </c>
      <c r="E125" s="443"/>
      <c r="F125" s="443"/>
      <c r="G125" s="443">
        <f>125000+19133858+565150+142</f>
        <v>19824150</v>
      </c>
      <c r="H125" s="443"/>
      <c r="I125" s="443"/>
      <c r="J125" s="443">
        <v>0</v>
      </c>
      <c r="K125" s="443"/>
      <c r="L125" s="443">
        <f t="shared" si="38"/>
        <v>19824150</v>
      </c>
      <c r="M125" s="443">
        <f>'6.mell'!D54+'6.mell'!D37</f>
        <v>77626142</v>
      </c>
      <c r="N125" s="443"/>
      <c r="O125" s="443"/>
      <c r="P125" s="443"/>
      <c r="Q125" s="42">
        <f t="shared" si="36"/>
        <v>97450292</v>
      </c>
      <c r="R125" s="617"/>
    </row>
    <row r="126" spans="1:18" s="53" customFormat="1" ht="12" customHeight="1" thickBot="1">
      <c r="A126" s="58" t="s">
        <v>131</v>
      </c>
      <c r="B126" s="98" t="s">
        <v>15</v>
      </c>
      <c r="C126" s="85" t="s">
        <v>136</v>
      </c>
      <c r="D126" s="376" t="s">
        <v>103</v>
      </c>
      <c r="E126" s="443"/>
      <c r="F126" s="443"/>
      <c r="G126" s="443">
        <f>2000000</f>
        <v>2000000</v>
      </c>
      <c r="H126" s="443"/>
      <c r="I126" s="443"/>
      <c r="J126" s="443">
        <v>0</v>
      </c>
      <c r="K126" s="443"/>
      <c r="L126" s="443">
        <f t="shared" si="38"/>
        <v>2000000</v>
      </c>
      <c r="M126" s="443">
        <v>0</v>
      </c>
      <c r="N126" s="443"/>
      <c r="O126" s="443"/>
      <c r="P126" s="443"/>
      <c r="Q126" s="42">
        <f t="shared" si="36"/>
        <v>2000000</v>
      </c>
      <c r="R126" s="621"/>
    </row>
    <row r="127" spans="1:18" s="53" customFormat="1" ht="12" customHeight="1">
      <c r="A127" s="733" t="s">
        <v>132</v>
      </c>
      <c r="B127" s="97"/>
      <c r="C127" s="109" t="s">
        <v>136</v>
      </c>
      <c r="D127" s="956" t="s">
        <v>426</v>
      </c>
      <c r="E127" s="563"/>
      <c r="F127" s="563"/>
      <c r="G127" s="563"/>
      <c r="H127" s="563"/>
      <c r="I127" s="563"/>
      <c r="J127" s="563"/>
      <c r="K127" s="563"/>
      <c r="L127" s="563">
        <f>SUM(E127:K127)</f>
        <v>0</v>
      </c>
      <c r="M127" s="563"/>
      <c r="N127" s="563"/>
      <c r="O127" s="563"/>
      <c r="P127" s="563"/>
      <c r="Q127" s="34">
        <f aca="true" t="shared" si="40" ref="Q127:Q132">SUM(L127:P127)</f>
        <v>0</v>
      </c>
      <c r="R127" s="617"/>
    </row>
    <row r="128" spans="1:18" s="53" customFormat="1" ht="12" customHeight="1" thickBot="1">
      <c r="A128" s="734"/>
      <c r="B128" s="44"/>
      <c r="C128" s="79" t="s">
        <v>137</v>
      </c>
      <c r="D128" s="943"/>
      <c r="E128" s="618"/>
      <c r="F128" s="618"/>
      <c r="G128" s="618"/>
      <c r="H128" s="618"/>
      <c r="I128" s="618">
        <f>340000+200000+150000+100000+100000+200000+60000+40000+200000+500000</f>
        <v>1890000</v>
      </c>
      <c r="J128" s="618"/>
      <c r="K128" s="618"/>
      <c r="L128" s="618">
        <f>SUM(E128:K128)</f>
        <v>1890000</v>
      </c>
      <c r="M128" s="618"/>
      <c r="N128" s="618">
        <v>1000000</v>
      </c>
      <c r="O128" s="618"/>
      <c r="P128" s="618"/>
      <c r="Q128" s="431">
        <f t="shared" si="40"/>
        <v>2890000</v>
      </c>
      <c r="R128" s="619"/>
    </row>
    <row r="129" spans="1:18" s="53" customFormat="1" ht="12" customHeight="1" thickBot="1">
      <c r="A129" s="954" t="s">
        <v>424</v>
      </c>
      <c r="B129" s="955"/>
      <c r="C129" s="955"/>
      <c r="D129" s="955"/>
      <c r="E129" s="443">
        <f>E34+E35+E36+E37+E50+E53+E54+E68+E73+E76+E80+E81+E82+E83+E89+E90+E95+E96+E101+E105+E106+E108+E116+E119+E125+E126+E107</f>
        <v>196791771</v>
      </c>
      <c r="F129" s="443">
        <f aca="true" t="shared" si="41" ref="F129:K129">F34+F35+F36+F37+F50+F53+F54+F68+F73+F76+F80+F81+F82+F83+F89+F90+F95+F96+F101+F105+F106+F108+F116+F119+F125+F126+F107</f>
        <v>38658172</v>
      </c>
      <c r="G129" s="443">
        <f>G34+G35+G36+G37+G50+G53+G54+G68+G73+G76+G80+G81+G82+G83+G89+G90+G95+G96+G101+G105+G106+G108+G116+G119+G125+G126+G107</f>
        <v>996120617</v>
      </c>
      <c r="H129" s="443">
        <f t="shared" si="41"/>
        <v>9900000</v>
      </c>
      <c r="I129" s="443">
        <f>I34+I35+I36+I37+I50+I53+I54+I68+I73+I76+I80+I81+I82+I83+I89+I90+I95+I96+I101+I105+I106+I108+I116+I119+I125+I126+I107+I127+I128</f>
        <v>193578012</v>
      </c>
      <c r="J129" s="443">
        <f t="shared" si="41"/>
        <v>15944138</v>
      </c>
      <c r="K129" s="443">
        <f t="shared" si="41"/>
        <v>36073798</v>
      </c>
      <c r="L129" s="443">
        <f>SUM(E129:K129)</f>
        <v>1487066508</v>
      </c>
      <c r="M129" s="443">
        <f>M34+M35+M36+M37+M50+M53+M54+M68+M73+M76+M80+M81+M82+M83+M89+M90+M95+M96+M101+M105+M106+M108+M116+M119+M125+M126+M107</f>
        <v>3115701880</v>
      </c>
      <c r="N129" s="443">
        <f>N34+N35+N36+N37+N50+N53+N54+N68+N73+N76+N80+N81+N82+N83+N89+N90+N95+N96+N101+N105+N106+N108+N116+N119+N125+N126+N107+N128</f>
        <v>87257260</v>
      </c>
      <c r="O129" s="443">
        <f>O34+O35+O36+O37+O50+O53+O54+O68+O73+O76+O80+O81+O82+O83+O89+O90+O95+O96+O101+O105+O106+O108+O116+O119+O125+O126+O107</f>
        <v>0</v>
      </c>
      <c r="P129" s="443">
        <f>P34+P35+P36+P37+P50+P53+P54+P68+P73+P76+P80+P81+P82+P83+P89+P90+P95+P96+P101+P105+P106+P108+P116+P119+P125+P126+P107</f>
        <v>240000000</v>
      </c>
      <c r="Q129" s="443">
        <f t="shared" si="40"/>
        <v>4930025648</v>
      </c>
      <c r="R129" s="704">
        <f>R34+R35+R36+R37+R50+R53+R54+R68+R73+R76+R80+R81+R82+R83+R89+R90+R95+R96+R101+R106+R108+R116+R125+R126</f>
        <v>54</v>
      </c>
    </row>
    <row r="130" spans="1:18" s="92" customFormat="1" ht="12" customHeight="1">
      <c r="A130" s="946" t="s">
        <v>147</v>
      </c>
      <c r="B130" s="947"/>
      <c r="C130" s="947"/>
      <c r="D130" s="948"/>
      <c r="E130" s="641">
        <f>E34+E35+E36+E38+E40+E42+E45+E48+E49+E51+E52+E53+E56+E58+E61+E63+E64+E70+E74+E77+E78+E79+E80+E86+E89+E94+E95+E98+E103+E104+E126+E65+E106+E99+E124+E46+E93++E118+E66+E107+E100</f>
        <v>159907881</v>
      </c>
      <c r="F130" s="641">
        <f aca="true" t="shared" si="42" ref="F130:K130">F34+F35+F36+F38+F40+F42+F45+F48+F49+F51+F52+F53+F56+F58+F61+F63+F64+F70+F74+F77+F78+F79+F80+F86+F89+F94+F95+F98+F103+F104+F126+F65+F106+F99+F124+F46+F93++F118+F66+F107+F100</f>
        <v>28499977</v>
      </c>
      <c r="G130" s="641">
        <f t="shared" si="42"/>
        <v>666639749</v>
      </c>
      <c r="H130" s="641">
        <f t="shared" si="42"/>
        <v>9900000</v>
      </c>
      <c r="I130" s="641">
        <f t="shared" si="42"/>
        <v>168748012</v>
      </c>
      <c r="J130" s="641">
        <f t="shared" si="42"/>
        <v>13228038</v>
      </c>
      <c r="K130" s="641">
        <f t="shared" si="42"/>
        <v>31663798</v>
      </c>
      <c r="L130" s="641">
        <f>SUM(E130:K130)</f>
        <v>1078587455</v>
      </c>
      <c r="M130" s="641">
        <f>M34+M35+M36+M38+M40+M42+M45+M48+M49+M51+M52+M53+M56+M58+M61+M63+M64+M70+M74+M77+M78+M79+M80+M86+M89+M94+M95+M98+M103+M104+M126+M65+M106+M99+M124+M46+M93++M118+M66+M107+M100</f>
        <v>2946839342</v>
      </c>
      <c r="N130" s="641">
        <f>N34+N35+N36+N38+N40+N42+N45+N48+N49+N51+N52+N53+N56+N58+N61+N63+N64+N70+N74+N77+N78+N79+N80+N86+N89+N94+N95+N98+N103+N104+N126+N65+N106+N99+N124+N46+N93++N118+N66+N107+N100</f>
        <v>42510819</v>
      </c>
      <c r="O130" s="641">
        <f>O34+O35+O36+O38+O40+O42+O45+O48+O49+O51+O52+O53+O56+O58+O61+O63+O64+O70+O74+O77+O78+O79+O80+O86+O89+O94+O95+O98+O103+O104+O126+O65+O106+O99+O124+O46+O93++O118+O66+O107+O100</f>
        <v>0</v>
      </c>
      <c r="P130" s="641">
        <f>P34+P35+P36+P38+P40+P42+P45+P48+P49+P51+P52+P53+P56+P58+P61+P63+P64+P70+P74+P77+P78+P79+P80+P86+P89+P94+P95+P98+P103+P104+P126+P65+P106+P99+P124+P46+P93++P118+P66+P107+P100</f>
        <v>0</v>
      </c>
      <c r="Q130" s="641">
        <f t="shared" si="40"/>
        <v>4067937616</v>
      </c>
      <c r="R130" s="725">
        <f>R34+R35+R36+R38+R40+R42+R45+R49+R51+R52+R53+R56+R58+R61+R64+R70+R74+R77+R78+R79+R80+R86+R89+R94+R95+R98+R103+R104+R126+R65+R106+R99+R124+R46</f>
        <v>51</v>
      </c>
    </row>
    <row r="131" spans="1:18" s="92" customFormat="1" ht="12" customHeight="1">
      <c r="A131" s="939" t="s">
        <v>160</v>
      </c>
      <c r="B131" s="940"/>
      <c r="C131" s="940"/>
      <c r="D131" s="941"/>
      <c r="E131" s="642">
        <v>0</v>
      </c>
      <c r="F131" s="642">
        <v>0</v>
      </c>
      <c r="G131" s="642">
        <v>0</v>
      </c>
      <c r="H131" s="642">
        <v>0</v>
      </c>
      <c r="I131" s="642">
        <v>0</v>
      </c>
      <c r="J131" s="642">
        <f>+J61</f>
        <v>0</v>
      </c>
      <c r="K131" s="642">
        <v>0</v>
      </c>
      <c r="L131" s="642">
        <f t="shared" si="38"/>
        <v>0</v>
      </c>
      <c r="M131" s="642">
        <v>0</v>
      </c>
      <c r="N131" s="642"/>
      <c r="O131" s="642">
        <f>+O676</f>
        <v>0</v>
      </c>
      <c r="P131" s="642">
        <f>+P61</f>
        <v>0</v>
      </c>
      <c r="Q131" s="642">
        <f t="shared" si="40"/>
        <v>0</v>
      </c>
      <c r="R131" s="705">
        <f>+R61</f>
        <v>0</v>
      </c>
    </row>
    <row r="132" spans="1:18" s="92" customFormat="1" ht="12" customHeight="1" thickBot="1">
      <c r="A132" s="949" t="s">
        <v>148</v>
      </c>
      <c r="B132" s="950"/>
      <c r="C132" s="950"/>
      <c r="D132" s="951"/>
      <c r="E132" s="649">
        <f>+E43+E44+E47+E57+E60+E62+E67+E69+E71+E72+E75+E81+E82+E84+E85+E87+E88+E91+E92+E102+E105+E108+E117+E119-E124+E125+E97+E39+E59</f>
        <v>36883890</v>
      </c>
      <c r="F132" s="649">
        <f aca="true" t="shared" si="43" ref="F132:K132">+F43+F44+F47+F57+F60+F62+F67+F69+F71+F72+F75+F81+F82+F84+F85+F87+F88+F91+F92+F102+F105+F108+F117+F119-F124+F125+F97+F39+F59</f>
        <v>10158195</v>
      </c>
      <c r="G132" s="649">
        <f t="shared" si="43"/>
        <v>329480868</v>
      </c>
      <c r="H132" s="649">
        <f t="shared" si="43"/>
        <v>0</v>
      </c>
      <c r="I132" s="649">
        <f>+I43+I44+I47+I57+I60+I62+I67+I69+I71+I72+I75+I81+I82+I84+I85+I87+I88+I91+I92+I102+I105+I108+I117+I119-I124+I125+I97+I39+I59+I128</f>
        <v>24830000</v>
      </c>
      <c r="J132" s="649">
        <f t="shared" si="43"/>
        <v>2716100</v>
      </c>
      <c r="K132" s="649">
        <f t="shared" si="43"/>
        <v>4410000</v>
      </c>
      <c r="L132" s="649">
        <f t="shared" si="38"/>
        <v>408479053</v>
      </c>
      <c r="M132" s="649">
        <f>+M43+M44+M47+M57+M60+M62+M67+M69+M71+M72+M75+M81+M82+M84+M85+M87+M88+M91+M92+M102+M105+M108+M117+M119-M124+M125+M97+M39+M59</f>
        <v>168862538</v>
      </c>
      <c r="N132" s="649">
        <f>+N43+N44+N47+N57+N60+N62+N67+N69+N71+N72+N75+N81+N82+N84+N85+N87+N88+N91+N92+N102+N105+N108+N117+N119-N124+N125+N97+N39+N59+N128</f>
        <v>44746441</v>
      </c>
      <c r="O132" s="649">
        <f>+O43+O44+O47+O57+O60+O62+O67+O69+O71+O72+O75+O81+O82+O84+O85+O87+O88+O91+O92+O102+O105+O108+O117+O119-O124+O125+O97+O39+O59</f>
        <v>0</v>
      </c>
      <c r="P132" s="649">
        <f>+P43+P44+P47+P57+P60+P62+P67+P69+P71+P72+P75+P81+P82+P84+P85+P87+P88+P91+P92+P102+P105+P108+P117+P119-P124+P125+P97+P39+P59</f>
        <v>240000000</v>
      </c>
      <c r="Q132" s="649">
        <f t="shared" si="40"/>
        <v>862088032</v>
      </c>
      <c r="R132" s="706">
        <f>+R43+R44+R47+R48+R57+R60+R62+R69+R71+R72+R75+R81+R82+R84+R85++R91+R92+R102+R105+R108+R117+R119+R125+R97</f>
        <v>3</v>
      </c>
    </row>
    <row r="133" spans="1:18" s="53" customFormat="1" ht="11.25" customHeight="1">
      <c r="A133" s="967" t="s">
        <v>81</v>
      </c>
      <c r="B133" s="968"/>
      <c r="C133" s="968"/>
      <c r="D133" s="968"/>
      <c r="E133" s="968"/>
      <c r="F133" s="968"/>
      <c r="G133" s="968"/>
      <c r="H133" s="968"/>
      <c r="I133" s="968"/>
      <c r="J133" s="968"/>
      <c r="K133" s="968"/>
      <c r="L133" s="968"/>
      <c r="M133" s="968"/>
      <c r="N133" s="968"/>
      <c r="O133" s="968"/>
      <c r="P133" s="968"/>
      <c r="Q133" s="968"/>
      <c r="R133" s="968"/>
    </row>
    <row r="134" spans="1:18" s="53" customFormat="1" ht="12" customHeight="1">
      <c r="A134" s="49" t="s">
        <v>133</v>
      </c>
      <c r="B134" s="50" t="s">
        <v>15</v>
      </c>
      <c r="C134" s="76" t="s">
        <v>136</v>
      </c>
      <c r="D134" s="380" t="s">
        <v>404</v>
      </c>
      <c r="E134" s="432"/>
      <c r="F134" s="432"/>
      <c r="G134" s="433">
        <v>17873670</v>
      </c>
      <c r="H134" s="432"/>
      <c r="I134" s="432"/>
      <c r="J134" s="433"/>
      <c r="K134" s="432"/>
      <c r="L134" s="432">
        <f>SUM(E134:K134)</f>
        <v>17873670</v>
      </c>
      <c r="M134" s="432"/>
      <c r="N134" s="432"/>
      <c r="O134" s="432">
        <v>0</v>
      </c>
      <c r="P134" s="432"/>
      <c r="Q134" s="434">
        <f>L134+O134+N134</f>
        <v>17873670</v>
      </c>
      <c r="R134" s="435"/>
    </row>
    <row r="135" spans="1:18" s="53" customFormat="1" ht="11.25" customHeight="1">
      <c r="A135" s="45" t="s">
        <v>425</v>
      </c>
      <c r="B135" s="969" t="s">
        <v>15</v>
      </c>
      <c r="C135" s="76" t="s">
        <v>137</v>
      </c>
      <c r="D135" s="942" t="s">
        <v>344</v>
      </c>
      <c r="E135" s="432"/>
      <c r="F135" s="432"/>
      <c r="G135" s="433">
        <f>3000000000-600000000</f>
        <v>2400000000</v>
      </c>
      <c r="H135" s="432"/>
      <c r="I135" s="432"/>
      <c r="J135" s="432"/>
      <c r="K135" s="432"/>
      <c r="L135" s="432">
        <f>SUM(E135:K135)</f>
        <v>2400000000</v>
      </c>
      <c r="M135" s="432"/>
      <c r="N135" s="432"/>
      <c r="O135" s="432"/>
      <c r="P135" s="432"/>
      <c r="Q135" s="434">
        <f>SUM(L135:P135)</f>
        <v>2400000000</v>
      </c>
      <c r="R135" s="435"/>
    </row>
    <row r="136" spans="1:18" s="53" customFormat="1" ht="10.5" customHeight="1" thickBot="1">
      <c r="A136" s="735"/>
      <c r="B136" s="976"/>
      <c r="C136" s="79" t="s">
        <v>136</v>
      </c>
      <c r="D136" s="943"/>
      <c r="E136" s="618"/>
      <c r="F136" s="618"/>
      <c r="G136" s="627">
        <v>600000000</v>
      </c>
      <c r="H136" s="618"/>
      <c r="I136" s="618"/>
      <c r="J136" s="618"/>
      <c r="K136" s="618"/>
      <c r="L136" s="618">
        <f>SUM(E136:K136)</f>
        <v>600000000</v>
      </c>
      <c r="M136" s="618"/>
      <c r="N136" s="618"/>
      <c r="O136" s="618"/>
      <c r="P136" s="618"/>
      <c r="Q136" s="431">
        <f>SUM(L136:P136)</f>
        <v>600000000</v>
      </c>
      <c r="R136" s="619"/>
    </row>
    <row r="137" spans="1:18" ht="33" customHeight="1" thickBot="1">
      <c r="A137" s="962" t="s">
        <v>433</v>
      </c>
      <c r="B137" s="963"/>
      <c r="C137" s="963"/>
      <c r="D137" s="964"/>
      <c r="E137" s="443">
        <f>E129+E134+E30</f>
        <v>374798836</v>
      </c>
      <c r="F137" s="443">
        <f>F129+F134+F30</f>
        <v>76584307</v>
      </c>
      <c r="G137" s="443">
        <f>G129+G30</f>
        <v>1040584909</v>
      </c>
      <c r="H137" s="443">
        <f>H129+H134+H30</f>
        <v>10600000</v>
      </c>
      <c r="I137" s="443">
        <f>I129+I134+I30</f>
        <v>193578012</v>
      </c>
      <c r="J137" s="443">
        <f>J129+J134+J30</f>
        <v>40557104</v>
      </c>
      <c r="K137" s="443">
        <f>K129+K134+K30</f>
        <v>43868391</v>
      </c>
      <c r="L137" s="443">
        <f>SUM(E137:K137)+G136+G135+G134</f>
        <v>4798445229</v>
      </c>
      <c r="M137" s="443">
        <f>M129+M134+M30</f>
        <v>3115701880</v>
      </c>
      <c r="N137" s="443">
        <f>N129+N134+N30</f>
        <v>87257260</v>
      </c>
      <c r="O137" s="443">
        <f>O129+O134+O30</f>
        <v>0</v>
      </c>
      <c r="P137" s="443">
        <f>P129+P134+P30</f>
        <v>240000000</v>
      </c>
      <c r="Q137" s="443">
        <f>SUM(L137:P137)</f>
        <v>8241404369</v>
      </c>
      <c r="R137" s="444">
        <f>R129+R134+R30</f>
        <v>99</v>
      </c>
    </row>
    <row r="138" spans="1:18" ht="12.75" customHeight="1" thickBot="1">
      <c r="A138" s="965" t="s">
        <v>434</v>
      </c>
      <c r="B138" s="966"/>
      <c r="C138" s="966"/>
      <c r="D138" s="966"/>
      <c r="E138" s="639">
        <f aca="true" t="shared" si="44" ref="E138:K138">E15+E137</f>
        <v>810512847</v>
      </c>
      <c r="F138" s="639">
        <f t="shared" si="44"/>
        <v>167530460</v>
      </c>
      <c r="G138" s="639">
        <f t="shared" si="44"/>
        <v>1156505473</v>
      </c>
      <c r="H138" s="639">
        <f t="shared" si="44"/>
        <v>10780000</v>
      </c>
      <c r="I138" s="639">
        <f t="shared" si="44"/>
        <v>193578012</v>
      </c>
      <c r="J138" s="639">
        <f t="shared" si="44"/>
        <v>55916767</v>
      </c>
      <c r="K138" s="639">
        <f t="shared" si="44"/>
        <v>43868391</v>
      </c>
      <c r="L138" s="639">
        <f>SUM(E138:K138)+G136+G135+G134</f>
        <v>5456565620</v>
      </c>
      <c r="M138" s="639">
        <f>M15+M137</f>
        <v>3116401880</v>
      </c>
      <c r="N138" s="639">
        <f>N15+N137</f>
        <v>87257260</v>
      </c>
      <c r="O138" s="639">
        <f>O15+O137</f>
        <v>0</v>
      </c>
      <c r="P138" s="639">
        <f>P15+P137</f>
        <v>240000000</v>
      </c>
      <c r="Q138" s="71">
        <f>SUM(L138:P138)</f>
        <v>8900224760</v>
      </c>
      <c r="R138" s="444">
        <f>R15+R137</f>
        <v>236.25</v>
      </c>
    </row>
    <row r="139" spans="1:18" s="75" customFormat="1" ht="12.75" customHeight="1">
      <c r="A139" s="952" t="s">
        <v>147</v>
      </c>
      <c r="B139" s="953"/>
      <c r="C139" s="953"/>
      <c r="D139" s="953"/>
      <c r="E139" s="650">
        <f aca="true" t="shared" si="45" ref="E139:K139">E9+E12+E11+E14+E21+E24+E26+E28+E29+E34+E35+E36+E38+E40+E42+E45+E48+E49+E51+E52+E53+E56+E58+E61+E63+E64+E70+E74+E77+E78+E79+E80+E86+E89+E94+E95+E103+E104+E126+E65+E98+E106+E99+E124+E46+E93+E118+E66+E107+E100</f>
        <v>614910768</v>
      </c>
      <c r="F139" s="650">
        <f t="shared" si="45"/>
        <v>124860220</v>
      </c>
      <c r="G139" s="650">
        <f t="shared" si="45"/>
        <v>768523145</v>
      </c>
      <c r="H139" s="650">
        <f t="shared" si="45"/>
        <v>10600000</v>
      </c>
      <c r="I139" s="650">
        <f t="shared" si="45"/>
        <v>168748012</v>
      </c>
      <c r="J139" s="650">
        <f t="shared" si="45"/>
        <v>44860069</v>
      </c>
      <c r="K139" s="650">
        <f t="shared" si="45"/>
        <v>39458391</v>
      </c>
      <c r="L139" s="707">
        <f>SUM(E139:K139)+G136+G134</f>
        <v>2389834275</v>
      </c>
      <c r="M139" s="650">
        <f>M9+M12+M11+M14+M21+M24+M26+M28+M29+M34+M35+M36+M38+M40+M42+M45+M48+M49+M51+M52+M53+M56+M58+M61+M63+M64+M70+M74+M77+M78+M79+M80+M86+M89+M94+M95+M103+M104+M126+M65+M98+M106+M99+M124+M46+M93+M118+M66+M107+M100</f>
        <v>2946839342</v>
      </c>
      <c r="N139" s="650">
        <f>N9+N12+N11+N14+N21+N24+N26+N28+N29+N34+N35+N36+N38+N40+N42+N45+N48+N49+N51+N52+N53+N56+N58+N61+N63+N64+N70+N74+N77+N78+N79+N80+N86+N89+N94+N95+N103+N104+N126+N65+N98+N106+N99+N124+N46+N93+N118+N66+N107+N100</f>
        <v>42510819</v>
      </c>
      <c r="O139" s="650">
        <f>O9+O12+O11+O14+O21+O24+O26+O28+O29+O34+O35+O36+O38+O40+O42+O45+O48+O49+O51+O52+O53+O56+O58+O61+O63+O64+O70+O74+O77+O78+O79+O80+O86+O89+O94+O95+O103+O104+O126+O65+O98+O106+O99+O124+O46+O93+O118+O66+O107+O100</f>
        <v>0</v>
      </c>
      <c r="P139" s="650">
        <f>P9+P12+P11+P14+P21+P24+P26+P28+P29+P34+P35+P36+P38+P40+P42+P45+P48+P49+P51+P52+P53+P56+P58+P61+P63+P64+P70+P74+P77+P78+P79+P80+P86+P89+P94+P95+P103+P104+P126+P65+P98+P106+P99+P124+P46+P93+P118+P66+P107+P100</f>
        <v>0</v>
      </c>
      <c r="Q139" s="707">
        <f>L139+M139+O139+P139+N139</f>
        <v>5379184436</v>
      </c>
      <c r="R139" s="726">
        <f>R9+R12+R14+R21+R24+R28+R29+R34+R35+R36+R38+R40++R42+R45+R49+R51+R52+R53+R56++R58+R61+R64+R70+R74+R77+R78+R79+R80+R86+R89+R94+R95+R103+R104+R126+R65+R98+R106+R99+R124+R46+R11</f>
        <v>185.6</v>
      </c>
    </row>
    <row r="140" spans="1:18" s="75" customFormat="1" ht="12.75" customHeight="1">
      <c r="A140" s="939" t="s">
        <v>160</v>
      </c>
      <c r="B140" s="940"/>
      <c r="C140" s="940"/>
      <c r="D140" s="941"/>
      <c r="E140" s="651">
        <f>E22</f>
        <v>47105000</v>
      </c>
      <c r="F140" s="651">
        <f>F22</f>
        <v>9625000</v>
      </c>
      <c r="G140" s="651">
        <f>G22</f>
        <v>200000</v>
      </c>
      <c r="H140" s="651">
        <v>0</v>
      </c>
      <c r="I140" s="651">
        <f>I22</f>
        <v>0</v>
      </c>
      <c r="J140" s="651">
        <f>J22</f>
        <v>0</v>
      </c>
      <c r="K140" s="651">
        <f>K22</f>
        <v>0</v>
      </c>
      <c r="L140" s="664">
        <f>SUM(E140:K140)</f>
        <v>56930000</v>
      </c>
      <c r="M140" s="651">
        <f>M22</f>
        <v>0</v>
      </c>
      <c r="N140" s="651">
        <f>N22</f>
        <v>0</v>
      </c>
      <c r="O140" s="651">
        <f>O22</f>
        <v>0</v>
      </c>
      <c r="P140" s="651">
        <f>P22</f>
        <v>0</v>
      </c>
      <c r="Q140" s="664">
        <f>SUM(L140:P140)</f>
        <v>56930000</v>
      </c>
      <c r="R140" s="708">
        <f>R22</f>
        <v>12.2</v>
      </c>
    </row>
    <row r="141" spans="1:18" s="75" customFormat="1" ht="12.75" customHeight="1" thickBot="1">
      <c r="A141" s="960" t="s">
        <v>148</v>
      </c>
      <c r="B141" s="961"/>
      <c r="C141" s="961"/>
      <c r="D141" s="961"/>
      <c r="E141" s="652">
        <f>E10+E13+E25+E43+E44+E47+E57+E59+E60+E62+E67+E69+E71+E72+E75+E81+E82+E84+E85+E87+E88+E91+E92+E102+E105+E108+E117+E119-E124+E125+E97+E39+E23</f>
        <v>148497079</v>
      </c>
      <c r="F141" s="652">
        <f>F10+F13+F25+F43+F44+F47+F57+F59+F60+F62+F67+F69+F71+F72+F75+F81+F82+F84+F85+F87+F88+F91+F92+F102+F105+F108+F117+F119-F124+F125+F97+F39+F23</f>
        <v>33045240</v>
      </c>
      <c r="G141" s="652">
        <f>G10+G13+G25+G43+G44+G47+G57+G59+G60+G62+G67+G69+G71+G72+G75+G81+G82+G84+G85+G87+G88+G91+G92+G102+G105+G108+G117+G119-G124+G125+G97+G39+G23</f>
        <v>387782328</v>
      </c>
      <c r="H141" s="652">
        <f>H10+H13+H25+H43+H44+H47+H57+H59+H60+H62+H67+H69+H71+H72+H75+H81+H82+H84+H85+H87+H88+H91+H92+H102+H105+H108+H117+H119-H124+H125+H97+H39</f>
        <v>180000</v>
      </c>
      <c r="I141" s="652">
        <f>I10+I13+I25+I43+I44+I47+I57+I59+I60+I62+I67+I69+I71+I72+I75+I81+I82+I84+I85+I87+I88+I91+I92+I102+I105+I108+I117+I119-I124+I125+I97+I39+I128</f>
        <v>24830000</v>
      </c>
      <c r="J141" s="652">
        <f>J10+J13+J25+J43+J44+J47+J57+J59+J60+J62+J67+J69+J71+J72+J75+J81+J82+J84+J85+J87+J88+J91+J92+J102+J105+J108+J117+J119-J124+J125+J97+J39</f>
        <v>11056698</v>
      </c>
      <c r="K141" s="652">
        <f>K10+K13+K25+K43+K44+K47+K57+K59+K60+K62+K67+K69+K71+K72+K75+K81+K82+K84+K85+K87+K88+K91+K92+K102+K105+K108+K117+K119-K124+K125+K97+K39</f>
        <v>4410000</v>
      </c>
      <c r="L141" s="709">
        <f>SUM(E141:K141)+G135</f>
        <v>3009801345</v>
      </c>
      <c r="M141" s="652">
        <f>M10+M13+M25+M43+M44+M47+M57+M59+M60+M62+M67+M69+M71+M72+M75+M81+M82+M84+M85++M87+M88+M91+M92+M102+M105+M108+M117+M119-M124+M125+M97+M39</f>
        <v>169562538</v>
      </c>
      <c r="N141" s="652">
        <f>N10+N13+N25+N43+N44+N47+N57+N59+N60+N62+N67+N69+N71+N72+N75+N81+N82+N84+N85++N87+N88+N91+N92+N102+N105+N108+N117+N119-N124+N125+N97+N39+N128</f>
        <v>44746441</v>
      </c>
      <c r="O141" s="652">
        <f>O10+O13+O25+O43+O44+O47+O57+O59+O60+O62+O67+O69+O71+O72+O75+O81+O82+O84+O85++O87+O88+O91+O92+O102+O105+O108+O117+O119-O124+O125+O97+O39</f>
        <v>0</v>
      </c>
      <c r="P141" s="652">
        <f>P10+P13+P25+P43+P44+P47+P57+P59+P60+P62+P67+P69+P71+P72+P75+P81+P82+P84+P85++P87+P88+P91+P92+P102+P105+P108+P117+P119-P124+P125+P97+P39</f>
        <v>240000000</v>
      </c>
      <c r="Q141" s="709">
        <f>SUM(L141:P141)</f>
        <v>3464110324</v>
      </c>
      <c r="R141" s="710">
        <f>R10+R13+R25++R43+R44+R47+R48+R57+R60+R62+R69+R71+R72+R75+R81+R82+R84+R85+R91+R92+R102+R105+R108+R116+R119+R125+R134+R97+R23</f>
        <v>38.45</v>
      </c>
    </row>
    <row r="142" ht="12.75" customHeight="1">
      <c r="C142" s="352"/>
    </row>
    <row r="143" spans="4:8" ht="12.75" customHeight="1">
      <c r="D143" s="408"/>
      <c r="E143" s="408"/>
      <c r="F143" s="408"/>
      <c r="G143" s="408"/>
      <c r="H143" s="408"/>
    </row>
    <row r="144" ht="12.75" customHeight="1">
      <c r="D144" s="408"/>
    </row>
    <row r="145" spans="4:9" ht="12.75" customHeight="1">
      <c r="D145" s="408"/>
      <c r="I145" s="518"/>
    </row>
    <row r="146" ht="12.75" customHeight="1">
      <c r="D146" s="408"/>
    </row>
  </sheetData>
  <sheetProtection/>
  <mergeCells count="44">
    <mergeCell ref="A5:B5"/>
    <mergeCell ref="P6:P7"/>
    <mergeCell ref="N6:N7"/>
    <mergeCell ref="K6:K7"/>
    <mergeCell ref="J6:J7"/>
    <mergeCell ref="I6:I7"/>
    <mergeCell ref="O6:O7"/>
    <mergeCell ref="A30:D30"/>
    <mergeCell ref="A32:D32"/>
    <mergeCell ref="A31:D31"/>
    <mergeCell ref="B58:B59"/>
    <mergeCell ref="A33:D33"/>
    <mergeCell ref="B55:B57"/>
    <mergeCell ref="B41:B43"/>
    <mergeCell ref="B38:B39"/>
    <mergeCell ref="D38:D39"/>
    <mergeCell ref="N1:R1"/>
    <mergeCell ref="A16:D16"/>
    <mergeCell ref="A18:D18"/>
    <mergeCell ref="A6:B6"/>
    <mergeCell ref="I5:K5"/>
    <mergeCell ref="N5:P5"/>
    <mergeCell ref="A7:B7"/>
    <mergeCell ref="A15:D15"/>
    <mergeCell ref="C5:C7"/>
    <mergeCell ref="A17:D17"/>
    <mergeCell ref="B61:B63"/>
    <mergeCell ref="A141:D141"/>
    <mergeCell ref="A137:D137"/>
    <mergeCell ref="A138:D138"/>
    <mergeCell ref="A133:R133"/>
    <mergeCell ref="B45:B47"/>
    <mergeCell ref="D58:D59"/>
    <mergeCell ref="D61:D62"/>
    <mergeCell ref="A131:D131"/>
    <mergeCell ref="B135:B136"/>
    <mergeCell ref="A140:D140"/>
    <mergeCell ref="D135:D136"/>
    <mergeCell ref="A106:A107"/>
    <mergeCell ref="A130:D130"/>
    <mergeCell ref="A132:D132"/>
    <mergeCell ref="A139:D139"/>
    <mergeCell ref="A129:D129"/>
    <mergeCell ref="D127:D1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2"/>
  <rowBreaks count="3" manualBreakCount="3">
    <brk id="43" max="17" man="1"/>
    <brk id="77" max="17" man="1"/>
    <brk id="110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workbookViewId="0" topLeftCell="A1">
      <selection activeCell="D22" sqref="D22"/>
    </sheetView>
  </sheetViews>
  <sheetFormatPr defaultColWidth="9.00390625" defaultRowHeight="12" customHeight="1"/>
  <cols>
    <col min="1" max="1" width="3.25390625" style="381" customWidth="1"/>
    <col min="2" max="2" width="3.125" style="382" customWidth="1"/>
    <col min="3" max="3" width="64.625" style="383" customWidth="1"/>
    <col min="4" max="4" width="12.625" style="521" customWidth="1"/>
    <col min="5" max="16384" width="9.125" style="16" customWidth="1"/>
  </cols>
  <sheetData>
    <row r="1" spans="3:4" ht="12" customHeight="1">
      <c r="C1" s="1015" t="s">
        <v>432</v>
      </c>
      <c r="D1" s="1015"/>
    </row>
    <row r="2" ht="12" customHeight="1">
      <c r="D2" s="381"/>
    </row>
    <row r="3" ht="14.25" customHeight="1">
      <c r="D3" s="381"/>
    </row>
    <row r="4" ht="16.5" customHeight="1" thickBot="1">
      <c r="D4" s="631" t="s">
        <v>366</v>
      </c>
    </row>
    <row r="5" spans="1:4" s="17" customFormat="1" ht="37.5" customHeight="1" thickBot="1">
      <c r="A5" s="1016" t="s">
        <v>29</v>
      </c>
      <c r="B5" s="1017"/>
      <c r="C5" s="1018"/>
      <c r="D5" s="632"/>
    </row>
    <row r="6" spans="1:4" s="378" customFormat="1" ht="12.75" customHeight="1">
      <c r="A6" s="384" t="s">
        <v>35</v>
      </c>
      <c r="B6" s="385"/>
      <c r="C6" s="386" t="s">
        <v>38</v>
      </c>
      <c r="D6" s="644">
        <f>SUM(D7:D43)</f>
        <v>2814718385</v>
      </c>
    </row>
    <row r="7" spans="1:4" s="19" customFormat="1" ht="15.75" customHeight="1">
      <c r="A7" s="18"/>
      <c r="B7" s="112">
        <v>1</v>
      </c>
      <c r="C7" s="390" t="s">
        <v>331</v>
      </c>
      <c r="D7" s="620">
        <f>62000000+1172386-5242992-25000000+20000000-500000</f>
        <v>52429394</v>
      </c>
    </row>
    <row r="8" spans="1:4" s="19" customFormat="1" ht="27" customHeight="1">
      <c r="A8" s="18"/>
      <c r="B8" s="112">
        <v>2</v>
      </c>
      <c r="C8" s="467" t="s">
        <v>323</v>
      </c>
      <c r="D8" s="620">
        <f>63309262-107+473641+2000000+461010-10010601-8105-7172600-15000000-21233225+10000000-510270-12250000-19000000+50490000-3759200+510000-10000000-3000000-144558+510270</f>
        <v>25665517</v>
      </c>
    </row>
    <row r="9" spans="1:4" s="19" customFormat="1" ht="18.75" customHeight="1">
      <c r="A9" s="18"/>
      <c r="B9" s="112">
        <v>3</v>
      </c>
      <c r="C9" s="392" t="s">
        <v>362</v>
      </c>
      <c r="D9" s="620">
        <f>12778510</f>
        <v>12778510</v>
      </c>
    </row>
    <row r="10" spans="1:4" s="19" customFormat="1" ht="12.75" customHeight="1">
      <c r="A10" s="18"/>
      <c r="B10" s="112">
        <v>4</v>
      </c>
      <c r="C10" s="375" t="s">
        <v>383</v>
      </c>
      <c r="D10" s="573">
        <v>15000000</v>
      </c>
    </row>
    <row r="11" spans="1:4" s="19" customFormat="1" ht="16.5" customHeight="1">
      <c r="A11" s="18"/>
      <c r="B11" s="112">
        <v>5</v>
      </c>
      <c r="C11" s="375" t="s">
        <v>328</v>
      </c>
      <c r="D11" s="573">
        <f>6000000+1066528</f>
        <v>7066528</v>
      </c>
    </row>
    <row r="12" spans="1:4" s="19" customFormat="1" ht="17.25" customHeight="1">
      <c r="A12" s="18"/>
      <c r="B12" s="112">
        <v>6</v>
      </c>
      <c r="C12" s="389" t="s">
        <v>275</v>
      </c>
      <c r="D12" s="522"/>
    </row>
    <row r="13" spans="1:4" s="568" customFormat="1" ht="12.75" customHeight="1">
      <c r="A13" s="349"/>
      <c r="B13" s="350"/>
      <c r="C13" s="370" t="s">
        <v>290</v>
      </c>
      <c r="D13" s="567">
        <v>3000000</v>
      </c>
    </row>
    <row r="14" spans="1:4" s="568" customFormat="1" ht="20.25" customHeight="1">
      <c r="A14" s="349"/>
      <c r="B14" s="350"/>
      <c r="C14" s="370" t="s">
        <v>339</v>
      </c>
      <c r="D14" s="567">
        <f>6600000+500000+1000000-653000-1500000+1710000+400000</f>
        <v>8057000</v>
      </c>
    </row>
    <row r="15" spans="1:4" s="351" customFormat="1" ht="15" customHeight="1">
      <c r="A15" s="349"/>
      <c r="B15" s="350"/>
      <c r="C15" s="370" t="s">
        <v>159</v>
      </c>
      <c r="D15" s="567">
        <f>3794930</f>
        <v>3794930</v>
      </c>
    </row>
    <row r="16" spans="1:4" s="568" customFormat="1" ht="17.25" customHeight="1">
      <c r="A16" s="349"/>
      <c r="B16" s="350"/>
      <c r="C16" s="370" t="s">
        <v>77</v>
      </c>
      <c r="D16" s="567">
        <f>150000+2817767+533616+1125570</f>
        <v>4626953</v>
      </c>
    </row>
    <row r="17" spans="1:4" s="568" customFormat="1" ht="16.5" customHeight="1">
      <c r="A17" s="349"/>
      <c r="B17" s="350"/>
      <c r="C17" s="370" t="s">
        <v>78</v>
      </c>
      <c r="D17" s="567">
        <f>150000+700000</f>
        <v>850000</v>
      </c>
    </row>
    <row r="18" spans="1:4" s="351" customFormat="1" ht="33" customHeight="1">
      <c r="A18" s="349"/>
      <c r="B18" s="565">
        <v>7</v>
      </c>
      <c r="C18" s="566" t="s">
        <v>397</v>
      </c>
      <c r="D18" s="573">
        <v>20000000</v>
      </c>
    </row>
    <row r="19" spans="1:4" s="361" customFormat="1" ht="36.75" customHeight="1">
      <c r="A19" s="18"/>
      <c r="B19" s="21">
        <v>8</v>
      </c>
      <c r="C19" s="355" t="s">
        <v>525</v>
      </c>
      <c r="D19" s="573">
        <f>50000000-228600+100000000</f>
        <v>149771400</v>
      </c>
    </row>
    <row r="20" spans="1:4" s="361" customFormat="1" ht="15" customHeight="1">
      <c r="A20" s="18"/>
      <c r="B20" s="565">
        <v>9</v>
      </c>
      <c r="C20" s="392" t="s">
        <v>360</v>
      </c>
      <c r="D20" s="573">
        <f>7000000+3000000</f>
        <v>10000000</v>
      </c>
    </row>
    <row r="21" spans="1:4" s="361" customFormat="1" ht="15" customHeight="1">
      <c r="A21" s="18"/>
      <c r="B21" s="21">
        <v>10</v>
      </c>
      <c r="C21" s="392" t="s">
        <v>386</v>
      </c>
      <c r="D21" s="573">
        <f>370000000+417869054+3589129</f>
        <v>791458183</v>
      </c>
    </row>
    <row r="22" spans="1:4" s="19" customFormat="1" ht="15" customHeight="1">
      <c r="A22" s="18"/>
      <c r="B22" s="565">
        <v>11</v>
      </c>
      <c r="C22" s="623" t="s">
        <v>423</v>
      </c>
      <c r="D22" s="573">
        <f>330213352-280000000+5117100+9786648</f>
        <v>65117100</v>
      </c>
    </row>
    <row r="23" spans="1:4" s="19" customFormat="1" ht="31.5" customHeight="1">
      <c r="A23" s="18"/>
      <c r="B23" s="21">
        <v>12</v>
      </c>
      <c r="C23" s="414" t="s">
        <v>334</v>
      </c>
      <c r="D23" s="620">
        <v>8000000</v>
      </c>
    </row>
    <row r="24" spans="1:4" s="19" customFormat="1" ht="42" customHeight="1">
      <c r="A24" s="18"/>
      <c r="B24" s="565">
        <v>13</v>
      </c>
      <c r="C24" s="414" t="s">
        <v>377</v>
      </c>
      <c r="D24" s="620">
        <f>533689198-1755000-495000-38814490+9529826</f>
        <v>502154534</v>
      </c>
    </row>
    <row r="25" spans="1:4" s="19" customFormat="1" ht="24.75" customHeight="1">
      <c r="A25" s="18"/>
      <c r="B25" s="21">
        <v>14</v>
      </c>
      <c r="C25" s="414" t="s">
        <v>376</v>
      </c>
      <c r="D25" s="620">
        <f>160277037-1145257-300280-10644909+380443</f>
        <v>148567034</v>
      </c>
    </row>
    <row r="26" spans="1:4" s="19" customFormat="1" ht="15" customHeight="1">
      <c r="A26" s="18"/>
      <c r="B26" s="565">
        <v>15</v>
      </c>
      <c r="C26" s="414" t="s">
        <v>391</v>
      </c>
      <c r="D26" s="620">
        <f>286258396-1787654-446913-4502347+6053096</f>
        <v>285574578</v>
      </c>
    </row>
    <row r="27" spans="1:4" s="19" customFormat="1" ht="15" customHeight="1">
      <c r="A27" s="18"/>
      <c r="B27" s="21">
        <v>16</v>
      </c>
      <c r="C27" s="414" t="s">
        <v>343</v>
      </c>
      <c r="D27" s="620">
        <v>30000000</v>
      </c>
    </row>
    <row r="28" spans="1:4" s="361" customFormat="1" ht="15" customHeight="1">
      <c r="A28" s="18"/>
      <c r="B28" s="565">
        <v>17</v>
      </c>
      <c r="C28" s="414" t="s">
        <v>186</v>
      </c>
      <c r="D28" s="620">
        <f>904000+5000000+4419600</f>
        <v>10323600</v>
      </c>
    </row>
    <row r="29" spans="1:4" s="361" customFormat="1" ht="26.25" customHeight="1">
      <c r="A29" s="18"/>
      <c r="B29" s="21">
        <v>18</v>
      </c>
      <c r="C29" s="414" t="s">
        <v>385</v>
      </c>
      <c r="D29" s="620">
        <f>4160000-2482342-377400</f>
        <v>1300258</v>
      </c>
    </row>
    <row r="30" spans="1:5" s="361" customFormat="1" ht="15" customHeight="1">
      <c r="A30" s="18"/>
      <c r="B30" s="565">
        <v>19</v>
      </c>
      <c r="C30" s="414" t="s">
        <v>361</v>
      </c>
      <c r="D30" s="620">
        <f>15240000</f>
        <v>15240000</v>
      </c>
      <c r="E30" s="628"/>
    </row>
    <row r="31" spans="1:4" s="19" customFormat="1" ht="15.75" customHeight="1">
      <c r="A31" s="18"/>
      <c r="B31" s="21">
        <v>20</v>
      </c>
      <c r="C31" s="414" t="s">
        <v>395</v>
      </c>
      <c r="D31" s="620">
        <f>1500000-108774+6101774</f>
        <v>7493000</v>
      </c>
    </row>
    <row r="32" spans="1:4" s="19" customFormat="1" ht="15.75" customHeight="1">
      <c r="A32" s="18"/>
      <c r="B32" s="565">
        <v>21</v>
      </c>
      <c r="C32" s="414" t="s">
        <v>390</v>
      </c>
      <c r="D32" s="620">
        <f>3449359-1571803+1571803-1178740</f>
        <v>2270619</v>
      </c>
    </row>
    <row r="33" spans="1:4" s="19" customFormat="1" ht="17.25" customHeight="1">
      <c r="A33" s="633"/>
      <c r="B33" s="21">
        <v>22</v>
      </c>
      <c r="C33" s="414" t="s">
        <v>521</v>
      </c>
      <c r="D33" s="620">
        <f>39890800+10109200+387965537</f>
        <v>437965537</v>
      </c>
    </row>
    <row r="34" spans="1:4" s="19" customFormat="1" ht="26.25" customHeight="1">
      <c r="A34" s="20"/>
      <c r="B34" s="565">
        <v>23</v>
      </c>
      <c r="C34" s="375" t="s">
        <v>324</v>
      </c>
      <c r="D34" s="573">
        <v>40000000</v>
      </c>
    </row>
    <row r="35" spans="1:4" s="361" customFormat="1" ht="16.5" customHeight="1">
      <c r="A35" s="20"/>
      <c r="B35" s="21">
        <v>24</v>
      </c>
      <c r="C35" s="469" t="s">
        <v>396</v>
      </c>
      <c r="D35" s="634">
        <v>52000000</v>
      </c>
    </row>
    <row r="36" spans="1:4" s="19" customFormat="1" ht="16.5" customHeight="1">
      <c r="A36" s="20"/>
      <c r="B36" s="565">
        <v>25</v>
      </c>
      <c r="C36" s="469" t="s">
        <v>399</v>
      </c>
      <c r="D36" s="634">
        <f>1606191</f>
        <v>1606191</v>
      </c>
    </row>
    <row r="37" spans="1:4" s="19" customFormat="1" ht="16.5" customHeight="1">
      <c r="A37" s="20"/>
      <c r="B37" s="21">
        <v>26</v>
      </c>
      <c r="C37" s="469" t="s">
        <v>400</v>
      </c>
      <c r="D37" s="634">
        <f>90000000-19133858</f>
        <v>70866142</v>
      </c>
    </row>
    <row r="38" spans="1:4" s="19" customFormat="1" ht="16.5" customHeight="1">
      <c r="A38" s="20"/>
      <c r="B38" s="565">
        <v>27</v>
      </c>
      <c r="C38" s="469" t="s">
        <v>416</v>
      </c>
      <c r="D38" s="634">
        <f>3150000+1850000</f>
        <v>5000000</v>
      </c>
    </row>
    <row r="39" spans="1:4" s="19" customFormat="1" ht="16.5" customHeight="1">
      <c r="A39" s="20"/>
      <c r="B39" s="21">
        <v>28</v>
      </c>
      <c r="C39" s="469" t="s">
        <v>503</v>
      </c>
      <c r="D39" s="634">
        <f>510270-510270</f>
        <v>0</v>
      </c>
    </row>
    <row r="40" spans="1:4" s="19" customFormat="1" ht="16.5" customHeight="1">
      <c r="A40" s="20"/>
      <c r="B40" s="21">
        <v>29</v>
      </c>
      <c r="C40" s="469" t="s">
        <v>507</v>
      </c>
      <c r="D40" s="634">
        <v>19000000</v>
      </c>
    </row>
    <row r="41" spans="1:4" s="19" customFormat="1" ht="16.5" customHeight="1">
      <c r="A41" s="20"/>
      <c r="B41" s="21">
        <v>30</v>
      </c>
      <c r="C41" s="469" t="s">
        <v>407</v>
      </c>
      <c r="D41" s="634">
        <v>4833000</v>
      </c>
    </row>
    <row r="42" spans="1:4" s="19" customFormat="1" ht="16.5" customHeight="1">
      <c r="A42" s="20"/>
      <c r="B42" s="21">
        <v>31</v>
      </c>
      <c r="C42" s="469" t="s">
        <v>389</v>
      </c>
      <c r="D42" s="634">
        <v>2584000</v>
      </c>
    </row>
    <row r="43" spans="1:4" s="19" customFormat="1" ht="16.5" customHeight="1">
      <c r="A43" s="20"/>
      <c r="B43" s="21">
        <v>32</v>
      </c>
      <c r="C43" s="469" t="s">
        <v>528</v>
      </c>
      <c r="D43" s="634">
        <v>324377</v>
      </c>
    </row>
    <row r="44" spans="1:4" s="19" customFormat="1" ht="7.5" customHeight="1">
      <c r="A44" s="20"/>
      <c r="B44" s="21"/>
      <c r="C44" s="469"/>
      <c r="D44" s="523"/>
    </row>
    <row r="45" spans="1:4" s="100" customFormat="1" ht="18" customHeight="1">
      <c r="A45" s="20" t="s">
        <v>36</v>
      </c>
      <c r="B45" s="25"/>
      <c r="C45" s="393" t="s">
        <v>80</v>
      </c>
      <c r="D45" s="648">
        <f>SUM(D46:D60)</f>
        <v>301683495</v>
      </c>
    </row>
    <row r="46" spans="1:4" s="19" customFormat="1" ht="17.25" customHeight="1">
      <c r="A46" s="20"/>
      <c r="B46" s="21">
        <v>1</v>
      </c>
      <c r="C46" s="389" t="s">
        <v>329</v>
      </c>
      <c r="D46" s="620">
        <f>6000000</f>
        <v>6000000</v>
      </c>
    </row>
    <row r="47" spans="1:4" s="19" customFormat="1" ht="15" customHeight="1">
      <c r="A47" s="20"/>
      <c r="B47" s="21">
        <v>2</v>
      </c>
      <c r="C47" s="375" t="s">
        <v>324</v>
      </c>
      <c r="D47" s="620">
        <f>71507279-D34</f>
        <v>31507279</v>
      </c>
    </row>
    <row r="48" spans="1:4" s="19" customFormat="1" ht="14.25" customHeight="1">
      <c r="A48" s="20"/>
      <c r="B48" s="21">
        <v>3</v>
      </c>
      <c r="C48" s="389" t="s">
        <v>330</v>
      </c>
      <c r="D48" s="620">
        <f>5242992+25000000-20000000</f>
        <v>10242992</v>
      </c>
    </row>
    <row r="49" spans="1:4" s="19" customFormat="1" ht="19.5" customHeight="1">
      <c r="A49" s="20"/>
      <c r="B49" s="21">
        <v>4</v>
      </c>
      <c r="C49" s="414" t="s">
        <v>335</v>
      </c>
      <c r="D49" s="620">
        <v>7000000</v>
      </c>
    </row>
    <row r="50" spans="1:4" s="19" customFormat="1" ht="16.5" customHeight="1">
      <c r="A50" s="20"/>
      <c r="B50" s="21">
        <v>5</v>
      </c>
      <c r="C50" s="414" t="s">
        <v>336</v>
      </c>
      <c r="D50" s="620">
        <f>25000000+7424928</f>
        <v>32424928</v>
      </c>
    </row>
    <row r="51" spans="1:4" s="361" customFormat="1" ht="15" customHeight="1">
      <c r="A51" s="20"/>
      <c r="B51" s="21">
        <v>6</v>
      </c>
      <c r="C51" s="414" t="s">
        <v>411</v>
      </c>
      <c r="D51" s="620">
        <f>40000000+5000000</f>
        <v>45000000</v>
      </c>
    </row>
    <row r="52" spans="1:4" s="19" customFormat="1" ht="27" customHeight="1">
      <c r="A52" s="20"/>
      <c r="B52" s="21">
        <v>7</v>
      </c>
      <c r="C52" s="414" t="s">
        <v>412</v>
      </c>
      <c r="D52" s="620">
        <f>10000000-10000000</f>
        <v>0</v>
      </c>
    </row>
    <row r="53" spans="1:4" s="361" customFormat="1" ht="18" customHeight="1">
      <c r="A53" s="20"/>
      <c r="B53" s="21">
        <v>8</v>
      </c>
      <c r="C53" s="414" t="s">
        <v>407</v>
      </c>
      <c r="D53" s="620">
        <f>30000000-184426-40574-962210-4833000</f>
        <v>23979790</v>
      </c>
    </row>
    <row r="54" spans="1:4" s="19" customFormat="1" ht="18" customHeight="1">
      <c r="A54" s="20"/>
      <c r="B54" s="21">
        <v>9</v>
      </c>
      <c r="C54" s="414" t="s">
        <v>394</v>
      </c>
      <c r="D54" s="620">
        <f>22000000-15240000-2000000+2000000</f>
        <v>6760000</v>
      </c>
    </row>
    <row r="55" spans="1:4" s="19" customFormat="1" ht="16.5" customHeight="1">
      <c r="A55" s="20"/>
      <c r="B55" s="21">
        <v>10</v>
      </c>
      <c r="C55" s="414" t="s">
        <v>390</v>
      </c>
      <c r="D55" s="620">
        <f>4365702+1178740</f>
        <v>5544442</v>
      </c>
    </row>
    <row r="56" spans="1:4" s="19" customFormat="1" ht="16.5" customHeight="1">
      <c r="A56" s="20"/>
      <c r="B56" s="21">
        <v>11</v>
      </c>
      <c r="C56" s="391" t="s">
        <v>409</v>
      </c>
      <c r="D56" s="620">
        <f>2373111+22373111-2148111</f>
        <v>22598111</v>
      </c>
    </row>
    <row r="57" spans="1:4" s="361" customFormat="1" ht="16.5" customHeight="1">
      <c r="A57" s="20"/>
      <c r="B57" s="21">
        <v>12</v>
      </c>
      <c r="C57" s="772" t="s">
        <v>408</v>
      </c>
      <c r="D57" s="620">
        <f>202788335-65303280-14363160-29158142</f>
        <v>93963753</v>
      </c>
    </row>
    <row r="58" spans="1:4" s="361" customFormat="1" ht="16.5" customHeight="1">
      <c r="A58" s="20"/>
      <c r="B58" s="21">
        <v>13</v>
      </c>
      <c r="C58" s="772" t="s">
        <v>504</v>
      </c>
      <c r="D58" s="620">
        <v>12250000</v>
      </c>
    </row>
    <row r="59" spans="1:4" s="361" customFormat="1" ht="16.5" customHeight="1">
      <c r="A59" s="20"/>
      <c r="B59" s="21">
        <v>14</v>
      </c>
      <c r="C59" s="772" t="s">
        <v>505</v>
      </c>
      <c r="D59" s="620">
        <v>3759200</v>
      </c>
    </row>
    <row r="60" spans="1:4" s="361" customFormat="1" ht="16.5" customHeight="1" thickBot="1">
      <c r="A60" s="20"/>
      <c r="B60" s="21">
        <v>15</v>
      </c>
      <c r="C60" s="622" t="s">
        <v>516</v>
      </c>
      <c r="D60" s="630">
        <v>653000</v>
      </c>
    </row>
    <row r="61" spans="1:4" s="100" customFormat="1" ht="14.25" customHeight="1" thickBot="1" thickTop="1">
      <c r="A61" s="1019" t="s">
        <v>284</v>
      </c>
      <c r="B61" s="1020"/>
      <c r="C61" s="1021"/>
      <c r="D61" s="647">
        <f>D6+D45</f>
        <v>3116401880</v>
      </c>
    </row>
    <row r="62" spans="1:4" s="19" customFormat="1" ht="7.5" customHeight="1">
      <c r="A62" s="18"/>
      <c r="B62" s="24"/>
      <c r="C62" s="394"/>
      <c r="D62" s="524"/>
    </row>
    <row r="63" spans="1:4" s="100" customFormat="1" ht="14.25" customHeight="1">
      <c r="A63" s="20" t="s">
        <v>40</v>
      </c>
      <c r="B63" s="387"/>
      <c r="C63" s="388" t="s">
        <v>281</v>
      </c>
      <c r="D63" s="660">
        <f>D64+D65+D66+D67+D68</f>
        <v>87257260</v>
      </c>
    </row>
    <row r="64" spans="1:4" s="361" customFormat="1" ht="15.75" customHeight="1">
      <c r="A64" s="18"/>
      <c r="B64" s="113">
        <v>1</v>
      </c>
      <c r="C64" s="395" t="s">
        <v>79</v>
      </c>
      <c r="D64" s="573">
        <v>4513216</v>
      </c>
    </row>
    <row r="65" spans="1:4" s="19" customFormat="1" ht="15.75" customHeight="1">
      <c r="A65" s="18"/>
      <c r="B65" s="113">
        <v>2</v>
      </c>
      <c r="C65" s="736" t="s">
        <v>414</v>
      </c>
      <c r="D65" s="620">
        <f>15238092+27272727</f>
        <v>42510819</v>
      </c>
    </row>
    <row r="66" spans="1:4" s="19" customFormat="1" ht="15.75" customHeight="1">
      <c r="A66" s="18"/>
      <c r="B66" s="113">
        <v>3</v>
      </c>
      <c r="C66" s="395" t="s">
        <v>435</v>
      </c>
      <c r="D66" s="573">
        <f>15000000+3000000</f>
        <v>18000000</v>
      </c>
    </row>
    <row r="67" spans="1:4" s="19" customFormat="1" ht="15.75" customHeight="1">
      <c r="A67" s="18"/>
      <c r="B67" s="113">
        <v>4</v>
      </c>
      <c r="C67" s="736" t="s">
        <v>381</v>
      </c>
      <c r="D67" s="620">
        <v>21233225</v>
      </c>
    </row>
    <row r="68" spans="1:4" s="19" customFormat="1" ht="15.75" customHeight="1" thickBot="1">
      <c r="A68" s="18"/>
      <c r="B68" s="113">
        <v>5</v>
      </c>
      <c r="C68" s="463" t="s">
        <v>523</v>
      </c>
      <c r="D68" s="630">
        <v>1000000</v>
      </c>
    </row>
    <row r="69" spans="1:4" ht="14.25" customHeight="1" thickBot="1" thickTop="1">
      <c r="A69" s="1022" t="s">
        <v>71</v>
      </c>
      <c r="B69" s="1023"/>
      <c r="C69" s="1024"/>
      <c r="D69" s="646">
        <f>D63</f>
        <v>87257260</v>
      </c>
    </row>
    <row r="70" spans="1:4" s="379" customFormat="1" ht="14.25" customHeight="1" thickTop="1">
      <c r="A70" s="396"/>
      <c r="B70" s="397"/>
      <c r="C70" s="398" t="s">
        <v>282</v>
      </c>
      <c r="D70" s="1013">
        <f>D61+D69</f>
        <v>3203659140</v>
      </c>
    </row>
    <row r="71" spans="1:4" s="379" customFormat="1" ht="14.25" customHeight="1" thickBot="1">
      <c r="A71" s="399"/>
      <c r="B71" s="400"/>
      <c r="C71" s="401" t="s">
        <v>283</v>
      </c>
      <c r="D71" s="1014"/>
    </row>
    <row r="72" ht="12" customHeight="1">
      <c r="D72" s="631"/>
    </row>
    <row r="73" ht="12" customHeight="1">
      <c r="D73" s="631"/>
    </row>
    <row r="74" ht="12" customHeight="1">
      <c r="D74" s="631"/>
    </row>
    <row r="78" ht="12" customHeight="1">
      <c r="D78" s="631"/>
    </row>
    <row r="80" ht="12" customHeight="1">
      <c r="D80" s="631"/>
    </row>
    <row r="82" ht="12" customHeight="1">
      <c r="D82" s="631"/>
    </row>
  </sheetData>
  <sheetProtection/>
  <mergeCells count="5">
    <mergeCell ref="D70:D71"/>
    <mergeCell ref="C1:D1"/>
    <mergeCell ref="A5:C5"/>
    <mergeCell ref="A61:C61"/>
    <mergeCell ref="A69:C69"/>
  </mergeCells>
  <printOptions horizontalCentered="1" verticalCentered="1"/>
  <pageMargins left="0.7874015748031497" right="0.7874015748031497" top="0.5905511811023623" bottom="0.3937007874015748" header="0.5118110236220472" footer="0"/>
  <pageSetup horizontalDpi="600" verticalDpi="600" orientation="portrait" paperSize="9" r:id="rId2"/>
  <rowBreaks count="1" manualBreakCount="1">
    <brk id="38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SheetLayoutView="100" workbookViewId="0" topLeftCell="A31">
      <selection activeCell="D28" sqref="D28:D29"/>
    </sheetView>
  </sheetViews>
  <sheetFormatPr defaultColWidth="9.00390625" defaultRowHeight="12.75"/>
  <cols>
    <col min="1" max="1" width="4.375" style="737" customWidth="1"/>
    <col min="2" max="2" width="10.625" style="737" customWidth="1"/>
    <col min="3" max="3" width="54.75390625" style="738" customWidth="1"/>
    <col min="4" max="4" width="9.375" style="738" customWidth="1"/>
    <col min="5" max="5" width="8.00390625" style="738" customWidth="1"/>
    <col min="6" max="6" width="12.375" style="737" customWidth="1"/>
    <col min="7" max="7" width="12.375" style="739" customWidth="1"/>
    <col min="8" max="8" width="12.625" style="739" customWidth="1"/>
    <col min="9" max="9" width="7.75390625" style="739" customWidth="1"/>
    <col min="10" max="10" width="8.75390625" style="739" customWidth="1"/>
    <col min="11" max="11" width="14.25390625" style="739" customWidth="1"/>
    <col min="12" max="12" width="14.75390625" style="739" customWidth="1"/>
    <col min="13" max="16384" width="9.125" style="741" customWidth="1"/>
  </cols>
  <sheetData>
    <row r="1" spans="9:12" ht="36.75" customHeight="1">
      <c r="I1" s="1041" t="s">
        <v>509</v>
      </c>
      <c r="J1" s="1041"/>
      <c r="K1" s="1041"/>
      <c r="L1" s="1041"/>
    </row>
    <row r="2" spans="1:12" ht="18" customHeight="1">
      <c r="A2" s="1042" t="s">
        <v>436</v>
      </c>
      <c r="B2" s="1042"/>
      <c r="C2" s="1043"/>
      <c r="D2" s="1043"/>
      <c r="E2" s="1043"/>
      <c r="F2" s="1043"/>
      <c r="G2" s="1043"/>
      <c r="H2" s="742"/>
      <c r="I2" s="740"/>
      <c r="J2" s="740"/>
      <c r="K2" s="740"/>
      <c r="L2" s="743" t="s">
        <v>366</v>
      </c>
    </row>
    <row r="3" spans="1:12" ht="11.25" customHeight="1">
      <c r="A3" s="1044" t="s">
        <v>401</v>
      </c>
      <c r="B3" s="1045" t="s">
        <v>437</v>
      </c>
      <c r="C3" s="1046"/>
      <c r="D3" s="1039" t="s">
        <v>438</v>
      </c>
      <c r="E3" s="1039" t="s">
        <v>439</v>
      </c>
      <c r="F3" s="1039" t="s">
        <v>440</v>
      </c>
      <c r="G3" s="1027" t="s">
        <v>441</v>
      </c>
      <c r="H3" s="1027"/>
      <c r="I3" s="1027"/>
      <c r="J3" s="1027"/>
      <c r="K3" s="1027"/>
      <c r="L3" s="1044" t="s">
        <v>442</v>
      </c>
    </row>
    <row r="4" spans="1:12" ht="24" customHeight="1">
      <c r="A4" s="1044"/>
      <c r="B4" s="1047"/>
      <c r="C4" s="1048"/>
      <c r="D4" s="1051"/>
      <c r="E4" s="1051"/>
      <c r="F4" s="1051"/>
      <c r="G4" s="1053" t="s">
        <v>443</v>
      </c>
      <c r="H4" s="1054"/>
      <c r="I4" s="1039" t="s">
        <v>444</v>
      </c>
      <c r="J4" s="1039" t="s">
        <v>445</v>
      </c>
      <c r="K4" s="1039" t="s">
        <v>446</v>
      </c>
      <c r="L4" s="1044"/>
    </row>
    <row r="5" spans="1:12" ht="25.5" customHeight="1">
      <c r="A5" s="1044"/>
      <c r="B5" s="1049"/>
      <c r="C5" s="1050"/>
      <c r="D5" s="1040"/>
      <c r="E5" s="1040"/>
      <c r="F5" s="1040"/>
      <c r="G5" s="744" t="s">
        <v>447</v>
      </c>
      <c r="H5" s="745" t="s">
        <v>448</v>
      </c>
      <c r="I5" s="1040"/>
      <c r="J5" s="1040"/>
      <c r="K5" s="1040"/>
      <c r="L5" s="1044"/>
    </row>
    <row r="6" spans="1:12" s="750" customFormat="1" ht="18.75" customHeight="1">
      <c r="A6" s="1027">
        <v>1</v>
      </c>
      <c r="B6" s="1028" t="s">
        <v>449</v>
      </c>
      <c r="C6" s="1031" t="s">
        <v>450</v>
      </c>
      <c r="D6" s="1034" t="s">
        <v>451</v>
      </c>
      <c r="E6" s="1034">
        <v>1</v>
      </c>
      <c r="F6" s="746" t="s">
        <v>452</v>
      </c>
      <c r="G6" s="747">
        <v>17077906</v>
      </c>
      <c r="H6" s="747"/>
      <c r="I6" s="747"/>
      <c r="J6" s="747"/>
      <c r="K6" s="747"/>
      <c r="L6" s="748">
        <f>SUM(G6:K6)</f>
        <v>17077906</v>
      </c>
    </row>
    <row r="7" spans="1:12" s="750" customFormat="1" ht="18" customHeight="1">
      <c r="A7" s="1027"/>
      <c r="B7" s="1029"/>
      <c r="C7" s="1032"/>
      <c r="D7" s="1035"/>
      <c r="E7" s="1035"/>
      <c r="F7" s="746" t="s">
        <v>453</v>
      </c>
      <c r="G7" s="747">
        <v>0</v>
      </c>
      <c r="H7" s="747">
        <v>0</v>
      </c>
      <c r="I7" s="751"/>
      <c r="J7" s="751"/>
      <c r="K7" s="747">
        <v>377442328</v>
      </c>
      <c r="L7" s="748">
        <f>100000+8880163</f>
        <v>8980163</v>
      </c>
    </row>
    <row r="8" spans="1:12" s="750" customFormat="1" ht="15.75" customHeight="1">
      <c r="A8" s="1027"/>
      <c r="B8" s="1029"/>
      <c r="C8" s="1032"/>
      <c r="D8" s="1035"/>
      <c r="E8" s="1035"/>
      <c r="F8" s="746" t="s">
        <v>454</v>
      </c>
      <c r="G8" s="747">
        <f>L8-K7-H7+L7-H8</f>
        <v>30255318</v>
      </c>
      <c r="H8" s="747">
        <v>420000000</v>
      </c>
      <c r="I8" s="747"/>
      <c r="J8" s="747"/>
      <c r="K8" s="747"/>
      <c r="L8" s="748">
        <f>'[1]5.mell'!Q92</f>
        <v>818717483</v>
      </c>
    </row>
    <row r="9" spans="1:12" s="750" customFormat="1" ht="15.75" customHeight="1">
      <c r="A9" s="1027"/>
      <c r="B9" s="1029"/>
      <c r="C9" s="1033"/>
      <c r="D9" s="1036"/>
      <c r="E9" s="1036"/>
      <c r="F9" s="746" t="s">
        <v>455</v>
      </c>
      <c r="G9" s="751"/>
      <c r="H9" s="747">
        <v>150000000</v>
      </c>
      <c r="I9" s="747"/>
      <c r="J9" s="747"/>
      <c r="K9" s="747"/>
      <c r="L9" s="748">
        <f>SUM(G9:K9)</f>
        <v>150000000</v>
      </c>
    </row>
    <row r="10" spans="1:12" s="750" customFormat="1" ht="15.75" customHeight="1">
      <c r="A10" s="1027"/>
      <c r="B10" s="1029"/>
      <c r="C10" s="1031" t="s">
        <v>456</v>
      </c>
      <c r="D10" s="1034" t="s">
        <v>457</v>
      </c>
      <c r="E10" s="1034">
        <v>1</v>
      </c>
      <c r="F10" s="746" t="s">
        <v>453</v>
      </c>
      <c r="G10" s="747"/>
      <c r="H10" s="747"/>
      <c r="I10" s="747"/>
      <c r="J10" s="747"/>
      <c r="K10" s="747">
        <v>5877672</v>
      </c>
      <c r="L10" s="748">
        <v>0</v>
      </c>
    </row>
    <row r="11" spans="1:12" s="750" customFormat="1" ht="15.75" customHeight="1">
      <c r="A11" s="1027"/>
      <c r="B11" s="1030"/>
      <c r="C11" s="1033"/>
      <c r="D11" s="1036"/>
      <c r="E11" s="1036"/>
      <c r="F11" s="752" t="s">
        <v>454</v>
      </c>
      <c r="G11" s="450">
        <f>L11-K10+L10</f>
        <v>2000000</v>
      </c>
      <c r="H11" s="747"/>
      <c r="I11" s="747"/>
      <c r="J11" s="747"/>
      <c r="K11" s="747">
        <v>0</v>
      </c>
      <c r="L11" s="748">
        <f>'[1]6.mell'!D32+'[1]6.mell'!D50+62611</f>
        <v>7877672</v>
      </c>
    </row>
    <row r="12" spans="1:12" s="750" customFormat="1" ht="15.75" customHeight="1">
      <c r="A12" s="1027">
        <v>2</v>
      </c>
      <c r="B12" s="1055" t="s">
        <v>376</v>
      </c>
      <c r="C12" s="1056"/>
      <c r="D12" s="1052" t="s">
        <v>458</v>
      </c>
      <c r="E12" s="1034">
        <v>1</v>
      </c>
      <c r="F12" s="746" t="s">
        <v>452</v>
      </c>
      <c r="G12" s="747">
        <v>7374890</v>
      </c>
      <c r="H12" s="747"/>
      <c r="I12" s="747"/>
      <c r="J12" s="747"/>
      <c r="K12" s="747"/>
      <c r="L12" s="748">
        <f>SUM(G12:K12)</f>
        <v>7374890</v>
      </c>
    </row>
    <row r="13" spans="1:12" s="750" customFormat="1" ht="16.5" customHeight="1">
      <c r="A13" s="1027"/>
      <c r="B13" s="1057"/>
      <c r="C13" s="1058"/>
      <c r="D13" s="1052"/>
      <c r="E13" s="1035"/>
      <c r="F13" s="746" t="s">
        <v>453</v>
      </c>
      <c r="G13" s="751"/>
      <c r="H13" s="751"/>
      <c r="I13" s="751"/>
      <c r="J13" s="751"/>
      <c r="K13" s="747">
        <v>137019157</v>
      </c>
      <c r="L13" s="748">
        <f>8000+6808356</f>
        <v>6816356</v>
      </c>
    </row>
    <row r="14" spans="1:12" s="750" customFormat="1" ht="14.25" customHeight="1">
      <c r="A14" s="1027"/>
      <c r="B14" s="1059"/>
      <c r="C14" s="1060"/>
      <c r="D14" s="1052"/>
      <c r="E14" s="1036"/>
      <c r="F14" s="752" t="s">
        <v>454</v>
      </c>
      <c r="G14" s="747">
        <f>L14-K13+L13</f>
        <v>30620414</v>
      </c>
      <c r="H14" s="751"/>
      <c r="I14" s="751"/>
      <c r="J14" s="751"/>
      <c r="K14" s="747">
        <v>0</v>
      </c>
      <c r="L14" s="748">
        <f>160277037+380443+165735</f>
        <v>160823215</v>
      </c>
    </row>
    <row r="15" spans="1:12" s="753" customFormat="1" ht="16.5" customHeight="1">
      <c r="A15" s="1028">
        <v>3</v>
      </c>
      <c r="B15" s="1055" t="s">
        <v>459</v>
      </c>
      <c r="C15" s="1056"/>
      <c r="D15" s="1052" t="s">
        <v>460</v>
      </c>
      <c r="E15" s="1034">
        <v>1</v>
      </c>
      <c r="F15" s="746" t="s">
        <v>452</v>
      </c>
      <c r="G15" s="747">
        <v>10065385</v>
      </c>
      <c r="H15" s="747"/>
      <c r="I15" s="747"/>
      <c r="J15" s="747"/>
      <c r="K15" s="747"/>
      <c r="L15" s="748">
        <f>SUM(G15:K15)</f>
        <v>10065385</v>
      </c>
    </row>
    <row r="16" spans="1:12" s="753" customFormat="1" ht="14.25" customHeight="1">
      <c r="A16" s="1029"/>
      <c r="B16" s="1057"/>
      <c r="C16" s="1058"/>
      <c r="D16" s="1052"/>
      <c r="E16" s="1035"/>
      <c r="F16" s="746" t="s">
        <v>453</v>
      </c>
      <c r="G16" s="747"/>
      <c r="H16" s="747"/>
      <c r="I16" s="747"/>
      <c r="J16" s="747"/>
      <c r="K16" s="747">
        <v>244622074</v>
      </c>
      <c r="L16" s="748">
        <f>180400+7549039</f>
        <v>7729439</v>
      </c>
    </row>
    <row r="17" spans="1:12" s="753" customFormat="1" ht="12.75" customHeight="1">
      <c r="A17" s="1030"/>
      <c r="B17" s="1059"/>
      <c r="C17" s="1060"/>
      <c r="D17" s="1052"/>
      <c r="E17" s="1036"/>
      <c r="F17" s="752" t="s">
        <v>454</v>
      </c>
      <c r="G17" s="747">
        <f>L17-K16+L16</f>
        <v>56736110</v>
      </c>
      <c r="H17" s="747"/>
      <c r="I17" s="747"/>
      <c r="J17" s="747"/>
      <c r="K17" s="747">
        <v>0</v>
      </c>
      <c r="L17" s="748">
        <f>286258396+6053096+1317253</f>
        <v>293628745</v>
      </c>
    </row>
    <row r="18" spans="1:12" s="753" customFormat="1" ht="17.25" customHeight="1">
      <c r="A18" s="1028">
        <v>4</v>
      </c>
      <c r="B18" s="1061" t="s">
        <v>461</v>
      </c>
      <c r="C18" s="1062"/>
      <c r="D18" s="1037" t="s">
        <v>462</v>
      </c>
      <c r="E18" s="1037">
        <v>5</v>
      </c>
      <c r="F18" s="754" t="s">
        <v>453</v>
      </c>
      <c r="G18" s="749"/>
      <c r="H18" s="749"/>
      <c r="I18" s="749"/>
      <c r="J18" s="749"/>
      <c r="K18" s="749"/>
      <c r="L18" s="755"/>
    </row>
    <row r="19" spans="1:12" s="753" customFormat="1" ht="14.25" customHeight="1">
      <c r="A19" s="1030"/>
      <c r="B19" s="1063"/>
      <c r="C19" s="1064"/>
      <c r="D19" s="1038"/>
      <c r="E19" s="1038"/>
      <c r="F19" s="752" t="s">
        <v>454</v>
      </c>
      <c r="G19" s="749">
        <v>0</v>
      </c>
      <c r="H19" s="749"/>
      <c r="I19" s="749"/>
      <c r="J19" s="749"/>
      <c r="K19" s="749">
        <v>25000000</v>
      </c>
      <c r="L19" s="755">
        <f>SUM(G19:K19)</f>
        <v>25000000</v>
      </c>
    </row>
    <row r="20" spans="1:12" s="753" customFormat="1" ht="18" customHeight="1">
      <c r="A20" s="1028">
        <v>5</v>
      </c>
      <c r="B20" s="1061" t="s">
        <v>392</v>
      </c>
      <c r="C20" s="1062"/>
      <c r="D20" s="1037" t="s">
        <v>463</v>
      </c>
      <c r="E20" s="1037">
        <v>1</v>
      </c>
      <c r="F20" s="752" t="s">
        <v>453</v>
      </c>
      <c r="G20" s="749">
        <v>0</v>
      </c>
      <c r="H20" s="749"/>
      <c r="I20" s="749"/>
      <c r="J20" s="749"/>
      <c r="K20" s="749">
        <v>39679080</v>
      </c>
      <c r="L20" s="755">
        <v>10939074</v>
      </c>
    </row>
    <row r="21" spans="1:12" s="753" customFormat="1" ht="15.75" customHeight="1">
      <c r="A21" s="1030"/>
      <c r="B21" s="1063"/>
      <c r="C21" s="1064"/>
      <c r="D21" s="1038"/>
      <c r="E21" s="1038"/>
      <c r="F21" s="752" t="s">
        <v>454</v>
      </c>
      <c r="G21" s="749"/>
      <c r="H21" s="749"/>
      <c r="I21" s="749"/>
      <c r="J21" s="749"/>
      <c r="K21" s="749">
        <f>'[1]4.mell '!F12</f>
        <v>317895</v>
      </c>
      <c r="L21" s="755">
        <f>'[1]5.mell'!Q11</f>
        <v>29057901</v>
      </c>
    </row>
    <row r="22" spans="1:12" s="753" customFormat="1" ht="21.75" customHeight="1">
      <c r="A22" s="1028">
        <v>6</v>
      </c>
      <c r="B22" s="1065" t="s">
        <v>464</v>
      </c>
      <c r="C22" s="1066"/>
      <c r="D22" s="1034" t="s">
        <v>465</v>
      </c>
      <c r="E22" s="1034">
        <v>1</v>
      </c>
      <c r="F22" s="756" t="s">
        <v>453</v>
      </c>
      <c r="G22" s="450">
        <v>228600</v>
      </c>
      <c r="H22" s="450"/>
      <c r="I22" s="450"/>
      <c r="J22" s="450"/>
      <c r="K22" s="450">
        <v>0</v>
      </c>
      <c r="L22" s="755">
        <v>228600</v>
      </c>
    </row>
    <row r="23" spans="1:12" s="753" customFormat="1" ht="16.5" customHeight="1">
      <c r="A23" s="1030"/>
      <c r="B23" s="1067"/>
      <c r="C23" s="1068"/>
      <c r="D23" s="1036"/>
      <c r="E23" s="1036"/>
      <c r="F23" s="752" t="s">
        <v>454</v>
      </c>
      <c r="G23" s="749">
        <f>L23-K23</f>
        <v>49771400</v>
      </c>
      <c r="H23" s="749"/>
      <c r="I23" s="749"/>
      <c r="J23" s="749"/>
      <c r="K23" s="749">
        <v>100000000</v>
      </c>
      <c r="L23" s="755">
        <f>'[1]6.mell'!D19+100000000</f>
        <v>149771400</v>
      </c>
    </row>
    <row r="24" spans="1:12" s="753" customFormat="1" ht="15" customHeight="1">
      <c r="A24" s="1028">
        <v>7</v>
      </c>
      <c r="B24" s="1061" t="s">
        <v>466</v>
      </c>
      <c r="C24" s="1062"/>
      <c r="D24" s="1039" t="s">
        <v>467</v>
      </c>
      <c r="E24" s="1039">
        <v>6</v>
      </c>
      <c r="F24" s="752" t="s">
        <v>453</v>
      </c>
      <c r="G24" s="749">
        <v>0</v>
      </c>
      <c r="H24" s="749"/>
      <c r="I24" s="749"/>
      <c r="J24" s="749"/>
      <c r="K24" s="749">
        <v>0</v>
      </c>
      <c r="L24" s="755">
        <v>0</v>
      </c>
    </row>
    <row r="25" spans="1:12" s="753" customFormat="1" ht="20.25" customHeight="1">
      <c r="A25" s="1030"/>
      <c r="B25" s="1063"/>
      <c r="C25" s="1064"/>
      <c r="D25" s="1040"/>
      <c r="E25" s="1040"/>
      <c r="F25" s="752" t="s">
        <v>454</v>
      </c>
      <c r="G25" s="749">
        <v>0</v>
      </c>
      <c r="H25" s="749"/>
      <c r="I25" s="749"/>
      <c r="J25" s="749"/>
      <c r="K25" s="749">
        <v>60000000</v>
      </c>
      <c r="L25" s="755">
        <v>60000000</v>
      </c>
    </row>
    <row r="26" spans="1:12" s="753" customFormat="1" ht="17.25" customHeight="1">
      <c r="A26" s="1028">
        <v>8</v>
      </c>
      <c r="B26" s="1065" t="s">
        <v>385</v>
      </c>
      <c r="C26" s="1066"/>
      <c r="D26" s="1069" t="s">
        <v>468</v>
      </c>
      <c r="E26" s="1069">
        <v>1</v>
      </c>
      <c r="F26" s="752" t="s">
        <v>453</v>
      </c>
      <c r="G26" s="749"/>
      <c r="H26" s="749"/>
      <c r="I26" s="749"/>
      <c r="J26" s="749"/>
      <c r="K26" s="749">
        <v>9000000</v>
      </c>
      <c r="L26" s="755">
        <f>59885+2482342</f>
        <v>2542227</v>
      </c>
    </row>
    <row r="27" spans="1:12" s="753" customFormat="1" ht="17.25" customHeight="1">
      <c r="A27" s="1030"/>
      <c r="B27" s="1067"/>
      <c r="C27" s="1068"/>
      <c r="D27" s="1070"/>
      <c r="E27" s="1070"/>
      <c r="F27" s="752" t="s">
        <v>454</v>
      </c>
      <c r="G27" s="749"/>
      <c r="H27" s="749"/>
      <c r="I27" s="749"/>
      <c r="J27" s="749"/>
      <c r="K27" s="749"/>
      <c r="L27" s="755">
        <f>'[1]5.mell'!Q62-1370800</f>
        <v>8457773</v>
      </c>
    </row>
    <row r="28" spans="1:12" s="753" customFormat="1" ht="15.75" customHeight="1">
      <c r="A28" s="1028">
        <v>9</v>
      </c>
      <c r="B28" s="1065" t="s">
        <v>469</v>
      </c>
      <c r="C28" s="1066"/>
      <c r="D28" s="1069" t="s">
        <v>470</v>
      </c>
      <c r="E28" s="1069">
        <v>5</v>
      </c>
      <c r="F28" s="752" t="s">
        <v>453</v>
      </c>
      <c r="G28" s="749">
        <v>0</v>
      </c>
      <c r="H28" s="749"/>
      <c r="I28" s="749"/>
      <c r="J28" s="749"/>
      <c r="K28" s="749">
        <v>0</v>
      </c>
      <c r="L28" s="755">
        <v>0</v>
      </c>
    </row>
    <row r="29" spans="1:12" s="753" customFormat="1" ht="19.5" customHeight="1">
      <c r="A29" s="1030"/>
      <c r="B29" s="1067"/>
      <c r="C29" s="1068"/>
      <c r="D29" s="1070"/>
      <c r="E29" s="1070"/>
      <c r="F29" s="752" t="s">
        <v>454</v>
      </c>
      <c r="G29" s="749">
        <v>0</v>
      </c>
      <c r="H29" s="749"/>
      <c r="I29" s="749"/>
      <c r="J29" s="749"/>
      <c r="K29" s="749">
        <v>500000000</v>
      </c>
      <c r="L29" s="755">
        <v>500000000</v>
      </c>
    </row>
    <row r="30" spans="1:12" s="753" customFormat="1" ht="15.75" customHeight="1">
      <c r="A30" s="1028">
        <v>10</v>
      </c>
      <c r="B30" s="1071" t="s">
        <v>405</v>
      </c>
      <c r="C30" s="1072"/>
      <c r="D30" s="1069" t="s">
        <v>471</v>
      </c>
      <c r="E30" s="1069">
        <v>1</v>
      </c>
      <c r="F30" s="752" t="s">
        <v>452</v>
      </c>
      <c r="G30" s="757">
        <f>2883205+23524222</f>
        <v>26407427</v>
      </c>
      <c r="H30" s="757"/>
      <c r="I30" s="757"/>
      <c r="J30" s="757"/>
      <c r="K30" s="757"/>
      <c r="L30" s="748">
        <f>K30+G30</f>
        <v>26407427</v>
      </c>
    </row>
    <row r="31" spans="1:12" s="753" customFormat="1" ht="15" customHeight="1">
      <c r="A31" s="1029"/>
      <c r="B31" s="1073"/>
      <c r="C31" s="1074"/>
      <c r="D31" s="1077"/>
      <c r="E31" s="1077"/>
      <c r="F31" s="752" t="s">
        <v>453</v>
      </c>
      <c r="G31" s="749">
        <f>L31</f>
        <v>4101582</v>
      </c>
      <c r="H31" s="749"/>
      <c r="I31" s="749"/>
      <c r="J31" s="749"/>
      <c r="K31" s="749"/>
      <c r="L31" s="755">
        <f>3016580+1085002</f>
        <v>4101582</v>
      </c>
    </row>
    <row r="32" spans="1:12" s="753" customFormat="1" ht="12.75" customHeight="1">
      <c r="A32" s="1030"/>
      <c r="B32" s="1075"/>
      <c r="C32" s="1076"/>
      <c r="D32" s="1070"/>
      <c r="E32" s="1070"/>
      <c r="F32" s="752" t="s">
        <v>472</v>
      </c>
      <c r="G32" s="749">
        <f>L32-K32</f>
        <v>123219024</v>
      </c>
      <c r="H32" s="749"/>
      <c r="I32" s="749"/>
      <c r="J32" s="749"/>
      <c r="K32" s="749">
        <v>420000000</v>
      </c>
      <c r="L32" s="755">
        <f>533689198+9529826</f>
        <v>543219024</v>
      </c>
    </row>
    <row r="33" spans="1:12" s="753" customFormat="1" ht="16.5" customHeight="1">
      <c r="A33" s="1028">
        <v>11</v>
      </c>
      <c r="B33" s="1065" t="s">
        <v>473</v>
      </c>
      <c r="C33" s="1066"/>
      <c r="D33" s="1069" t="s">
        <v>474</v>
      </c>
      <c r="E33" s="1069">
        <v>4</v>
      </c>
      <c r="F33" s="752" t="s">
        <v>453</v>
      </c>
      <c r="G33" s="749">
        <v>0</v>
      </c>
      <c r="H33" s="749"/>
      <c r="I33" s="749"/>
      <c r="J33" s="749"/>
      <c r="K33" s="749">
        <v>0</v>
      </c>
      <c r="L33" s="755">
        <v>0</v>
      </c>
    </row>
    <row r="34" spans="1:12" s="753" customFormat="1" ht="17.25" customHeight="1">
      <c r="A34" s="1030"/>
      <c r="B34" s="1067"/>
      <c r="C34" s="1068"/>
      <c r="D34" s="1070"/>
      <c r="E34" s="1070"/>
      <c r="F34" s="752" t="s">
        <v>454</v>
      </c>
      <c r="G34" s="749">
        <v>0</v>
      </c>
      <c r="H34" s="749"/>
      <c r="I34" s="749"/>
      <c r="J34" s="749"/>
      <c r="K34" s="749">
        <v>50000000</v>
      </c>
      <c r="L34" s="755">
        <v>50000000</v>
      </c>
    </row>
    <row r="35" spans="1:12" s="753" customFormat="1" ht="18.75" customHeight="1">
      <c r="A35" s="1028">
        <v>12</v>
      </c>
      <c r="B35" s="1065" t="s">
        <v>408</v>
      </c>
      <c r="C35" s="1066"/>
      <c r="D35" s="1069" t="s">
        <v>475</v>
      </c>
      <c r="E35" s="1069">
        <v>1</v>
      </c>
      <c r="F35" s="752" t="s">
        <v>453</v>
      </c>
      <c r="G35" s="749"/>
      <c r="H35" s="749"/>
      <c r="I35" s="749"/>
      <c r="J35" s="749"/>
      <c r="K35" s="749"/>
      <c r="L35" s="755"/>
    </row>
    <row r="36" spans="1:12" s="753" customFormat="1" ht="18.75" customHeight="1">
      <c r="A36" s="1030"/>
      <c r="B36" s="1067"/>
      <c r="C36" s="1068"/>
      <c r="D36" s="1070"/>
      <c r="E36" s="1070"/>
      <c r="F36" s="752" t="s">
        <v>454</v>
      </c>
      <c r="G36" s="749">
        <v>8000000</v>
      </c>
      <c r="H36" s="749"/>
      <c r="I36" s="749"/>
      <c r="J36" s="749"/>
      <c r="K36" s="749">
        <f>'[1]3.mell'!F51+'[1]3.mell'!G60</f>
        <v>194788335</v>
      </c>
      <c r="L36" s="755">
        <v>202788335</v>
      </c>
    </row>
    <row r="37" spans="1:12" s="753" customFormat="1" ht="17.25" customHeight="1">
      <c r="A37" s="1028">
        <v>13</v>
      </c>
      <c r="B37" s="1065" t="s">
        <v>476</v>
      </c>
      <c r="C37" s="1066"/>
      <c r="D37" s="1069" t="s">
        <v>477</v>
      </c>
      <c r="E37" s="1069">
        <v>3</v>
      </c>
      <c r="F37" s="752" t="s">
        <v>453</v>
      </c>
      <c r="G37" s="749"/>
      <c r="H37" s="749"/>
      <c r="I37" s="749"/>
      <c r="J37" s="749"/>
      <c r="K37" s="749"/>
      <c r="L37" s="755"/>
    </row>
    <row r="38" spans="1:12" s="753" customFormat="1" ht="12.75" customHeight="1">
      <c r="A38" s="1030"/>
      <c r="B38" s="1067"/>
      <c r="C38" s="1068"/>
      <c r="D38" s="1070"/>
      <c r="E38" s="1070"/>
      <c r="F38" s="752" t="s">
        <v>454</v>
      </c>
      <c r="G38" s="749">
        <v>5000000</v>
      </c>
      <c r="H38" s="749"/>
      <c r="I38" s="749"/>
      <c r="J38" s="749"/>
      <c r="K38" s="749">
        <v>120000000</v>
      </c>
      <c r="L38" s="755">
        <v>125000000</v>
      </c>
    </row>
    <row r="39" spans="1:12" s="753" customFormat="1" ht="20.25" customHeight="1">
      <c r="A39" s="1028">
        <v>14</v>
      </c>
      <c r="B39" s="1065" t="s">
        <v>478</v>
      </c>
      <c r="C39" s="1066"/>
      <c r="D39" s="1069" t="s">
        <v>479</v>
      </c>
      <c r="E39" s="1069">
        <v>6</v>
      </c>
      <c r="F39" s="752" t="s">
        <v>453</v>
      </c>
      <c r="G39" s="749">
        <v>40000</v>
      </c>
      <c r="H39" s="749"/>
      <c r="I39" s="749"/>
      <c r="J39" s="749"/>
      <c r="K39" s="749">
        <v>0</v>
      </c>
      <c r="L39" s="755">
        <v>40000</v>
      </c>
    </row>
    <row r="40" spans="1:12" s="753" customFormat="1" ht="18" customHeight="1">
      <c r="A40" s="1030"/>
      <c r="B40" s="1067"/>
      <c r="C40" s="1068"/>
      <c r="D40" s="1070"/>
      <c r="E40" s="1070"/>
      <c r="F40" s="752" t="s">
        <v>454</v>
      </c>
      <c r="G40" s="749">
        <v>0</v>
      </c>
      <c r="H40" s="749"/>
      <c r="I40" s="749"/>
      <c r="J40" s="749"/>
      <c r="K40" s="749">
        <v>120000000</v>
      </c>
      <c r="L40" s="755">
        <v>120000000</v>
      </c>
    </row>
    <row r="41" spans="1:12" s="753" customFormat="1" ht="24.75" customHeight="1">
      <c r="A41" s="1028">
        <v>15</v>
      </c>
      <c r="B41" s="1065" t="s">
        <v>406</v>
      </c>
      <c r="C41" s="1066"/>
      <c r="D41" s="1069" t="s">
        <v>480</v>
      </c>
      <c r="E41" s="1080">
        <v>1</v>
      </c>
      <c r="F41" s="776" t="s">
        <v>452</v>
      </c>
      <c r="G41" s="757">
        <v>0</v>
      </c>
      <c r="H41" s="757">
        <v>150000000</v>
      </c>
      <c r="I41" s="757"/>
      <c r="J41" s="757"/>
      <c r="K41" s="757"/>
      <c r="L41" s="748">
        <v>150000000</v>
      </c>
    </row>
    <row r="42" spans="1:12" s="753" customFormat="1" ht="25.5" customHeight="1">
      <c r="A42" s="1029"/>
      <c r="B42" s="1078"/>
      <c r="C42" s="1079"/>
      <c r="D42" s="1077"/>
      <c r="E42" s="1081"/>
      <c r="F42" s="776" t="s">
        <v>453</v>
      </c>
      <c r="G42" s="757">
        <f>L42</f>
        <v>3209899</v>
      </c>
      <c r="H42" s="757"/>
      <c r="I42" s="757"/>
      <c r="J42" s="757"/>
      <c r="K42" s="757"/>
      <c r="L42" s="748">
        <f>3209899</f>
        <v>3209899</v>
      </c>
    </row>
    <row r="43" spans="1:12" s="753" customFormat="1" ht="27.75" customHeight="1">
      <c r="A43" s="1030"/>
      <c r="B43" s="1067"/>
      <c r="C43" s="1068"/>
      <c r="D43" s="1070"/>
      <c r="E43" s="1082"/>
      <c r="F43" s="776" t="s">
        <v>454</v>
      </c>
      <c r="G43" s="757">
        <f>L43</f>
        <v>57430452</v>
      </c>
      <c r="H43" s="757">
        <v>0</v>
      </c>
      <c r="I43" s="757"/>
      <c r="J43" s="757"/>
      <c r="K43" s="757">
        <v>0</v>
      </c>
      <c r="L43" s="748">
        <f>67217100-9786648</f>
        <v>57430452</v>
      </c>
    </row>
    <row r="44" spans="1:12" s="753" customFormat="1" ht="17.25" customHeight="1">
      <c r="A44" s="1028">
        <v>16</v>
      </c>
      <c r="B44" s="1065" t="s">
        <v>481</v>
      </c>
      <c r="C44" s="1066"/>
      <c r="D44" s="1069" t="s">
        <v>482</v>
      </c>
      <c r="E44" s="1069">
        <v>1</v>
      </c>
      <c r="F44" s="752" t="s">
        <v>483</v>
      </c>
      <c r="G44" s="749">
        <v>3327700</v>
      </c>
      <c r="H44" s="749"/>
      <c r="I44" s="749"/>
      <c r="J44" s="749"/>
      <c r="K44" s="749">
        <v>0</v>
      </c>
      <c r="L44" s="755">
        <v>3327700</v>
      </c>
    </row>
    <row r="45" spans="1:12" s="753" customFormat="1" ht="15.75" customHeight="1">
      <c r="A45" s="1030"/>
      <c r="B45" s="1067"/>
      <c r="C45" s="1068"/>
      <c r="D45" s="1070"/>
      <c r="E45" s="1070"/>
      <c r="F45" s="752" t="s">
        <v>454</v>
      </c>
      <c r="G45" s="749"/>
      <c r="H45" s="749"/>
      <c r="I45" s="749"/>
      <c r="J45" s="749"/>
      <c r="K45" s="749">
        <f>44687244</f>
        <v>44687244</v>
      </c>
      <c r="L45" s="755">
        <f>6672300+44687244</f>
        <v>51359544</v>
      </c>
    </row>
    <row r="46" spans="1:12" s="753" customFormat="1" ht="16.5" customHeight="1">
      <c r="A46" s="1028">
        <v>17</v>
      </c>
      <c r="B46" s="1065" t="s">
        <v>407</v>
      </c>
      <c r="C46" s="1066"/>
      <c r="D46" s="1069" t="s">
        <v>484</v>
      </c>
      <c r="E46" s="1069">
        <v>1</v>
      </c>
      <c r="F46" s="752" t="s">
        <v>453</v>
      </c>
      <c r="G46" s="749">
        <v>317500</v>
      </c>
      <c r="H46" s="749"/>
      <c r="I46" s="749"/>
      <c r="J46" s="749"/>
      <c r="K46" s="749">
        <v>0</v>
      </c>
      <c r="L46" s="755">
        <v>317500</v>
      </c>
    </row>
    <row r="47" spans="1:12" s="753" customFormat="1" ht="13.5" customHeight="1">
      <c r="A47" s="1030"/>
      <c r="B47" s="1067"/>
      <c r="C47" s="1068"/>
      <c r="D47" s="1070"/>
      <c r="E47" s="1070"/>
      <c r="F47" s="752" t="s">
        <v>454</v>
      </c>
      <c r="G47" s="749"/>
      <c r="H47" s="749"/>
      <c r="I47" s="749"/>
      <c r="J47" s="749"/>
      <c r="K47" s="749">
        <v>30000000</v>
      </c>
      <c r="L47" s="755">
        <v>30000000</v>
      </c>
    </row>
    <row r="48" spans="1:12" s="753" customFormat="1" ht="18.75" customHeight="1">
      <c r="A48" s="1028">
        <v>18</v>
      </c>
      <c r="B48" s="1065" t="s">
        <v>485</v>
      </c>
      <c r="C48" s="1066"/>
      <c r="D48" s="1069" t="s">
        <v>486</v>
      </c>
      <c r="E48" s="1069">
        <v>4</v>
      </c>
      <c r="F48" s="752" t="s">
        <v>453</v>
      </c>
      <c r="G48" s="749">
        <f>L48</f>
        <v>3977900</v>
      </c>
      <c r="H48" s="749"/>
      <c r="I48" s="749"/>
      <c r="J48" s="749"/>
      <c r="K48" s="749">
        <v>0</v>
      </c>
      <c r="L48" s="755">
        <v>3977900</v>
      </c>
    </row>
    <row r="49" spans="1:12" s="753" customFormat="1" ht="17.25" customHeight="1">
      <c r="A49" s="1030"/>
      <c r="B49" s="1067"/>
      <c r="C49" s="1068"/>
      <c r="D49" s="1070"/>
      <c r="E49" s="1070"/>
      <c r="F49" s="752" t="s">
        <v>454</v>
      </c>
      <c r="G49" s="749"/>
      <c r="H49" s="749"/>
      <c r="I49" s="749"/>
      <c r="J49" s="749"/>
      <c r="K49" s="749">
        <v>60145206</v>
      </c>
      <c r="L49" s="755">
        <f>K49</f>
        <v>60145206</v>
      </c>
    </row>
    <row r="50" spans="1:12" s="753" customFormat="1" ht="18.75" customHeight="1">
      <c r="A50" s="1028">
        <v>19</v>
      </c>
      <c r="B50" s="1065" t="s">
        <v>487</v>
      </c>
      <c r="C50" s="1066"/>
      <c r="D50" s="1069" t="s">
        <v>488</v>
      </c>
      <c r="E50" s="1069">
        <v>1</v>
      </c>
      <c r="F50" s="752" t="s">
        <v>453</v>
      </c>
      <c r="G50" s="749">
        <v>0</v>
      </c>
      <c r="H50" s="749"/>
      <c r="I50" s="749"/>
      <c r="J50" s="749"/>
      <c r="K50" s="749">
        <v>0</v>
      </c>
      <c r="L50" s="755">
        <v>0</v>
      </c>
    </row>
    <row r="51" spans="1:12" s="753" customFormat="1" ht="16.5" customHeight="1">
      <c r="A51" s="1030"/>
      <c r="B51" s="1067"/>
      <c r="C51" s="1068"/>
      <c r="D51" s="1070"/>
      <c r="E51" s="1070"/>
      <c r="F51" s="752" t="s">
        <v>454</v>
      </c>
      <c r="G51" s="749">
        <v>50000000</v>
      </c>
      <c r="H51" s="749"/>
      <c r="I51" s="749"/>
      <c r="J51" s="758"/>
      <c r="K51" s="749">
        <v>430000000</v>
      </c>
      <c r="L51" s="755">
        <f>'[1]6.mell'!D33+K51</f>
        <v>480000000</v>
      </c>
    </row>
    <row r="52" spans="1:12" s="753" customFormat="1" ht="15.75" customHeight="1">
      <c r="A52" s="1028">
        <v>20</v>
      </c>
      <c r="B52" s="1065" t="s">
        <v>489</v>
      </c>
      <c r="C52" s="1066"/>
      <c r="D52" s="1069" t="s">
        <v>490</v>
      </c>
      <c r="E52" s="1069">
        <v>4</v>
      </c>
      <c r="F52" s="752" t="s">
        <v>453</v>
      </c>
      <c r="G52" s="749">
        <v>0</v>
      </c>
      <c r="H52" s="749"/>
      <c r="I52" s="749"/>
      <c r="J52" s="758"/>
      <c r="K52" s="749">
        <v>0</v>
      </c>
      <c r="L52" s="755">
        <v>0</v>
      </c>
    </row>
    <row r="53" spans="1:12" s="753" customFormat="1" ht="19.5" customHeight="1">
      <c r="A53" s="1030"/>
      <c r="B53" s="1067"/>
      <c r="C53" s="1068"/>
      <c r="D53" s="1070"/>
      <c r="E53" s="1070"/>
      <c r="F53" s="752" t="s">
        <v>454</v>
      </c>
      <c r="G53" s="749">
        <v>760000</v>
      </c>
      <c r="H53" s="749"/>
      <c r="I53" s="749"/>
      <c r="J53" s="758"/>
      <c r="K53" s="749">
        <v>7600000</v>
      </c>
      <c r="L53" s="755">
        <v>8360000</v>
      </c>
    </row>
    <row r="54" spans="1:12" s="753" customFormat="1" ht="19.5" customHeight="1">
      <c r="A54" s="773">
        <v>21</v>
      </c>
      <c r="B54" s="1025" t="s">
        <v>489</v>
      </c>
      <c r="C54" s="1026"/>
      <c r="D54" s="774" t="s">
        <v>510</v>
      </c>
      <c r="E54" s="774">
        <v>5</v>
      </c>
      <c r="F54" s="752" t="s">
        <v>454</v>
      </c>
      <c r="G54" s="749">
        <v>797500</v>
      </c>
      <c r="H54" s="749"/>
      <c r="I54" s="749"/>
      <c r="J54" s="758"/>
      <c r="K54" s="749">
        <v>7975000</v>
      </c>
      <c r="L54" s="755">
        <f>K54+G54</f>
        <v>8772500</v>
      </c>
    </row>
    <row r="55" spans="1:12" s="753" customFormat="1" ht="14.25">
      <c r="A55" s="1084" t="s">
        <v>491</v>
      </c>
      <c r="B55" s="1084"/>
      <c r="C55" s="1084"/>
      <c r="D55" s="1084"/>
      <c r="E55" s="1084"/>
      <c r="F55" s="1084"/>
      <c r="G55" s="759">
        <f>SUM(G6:G50)</f>
        <v>439161507</v>
      </c>
      <c r="H55" s="759">
        <f>SUM(H6:H50)</f>
        <v>720000000</v>
      </c>
      <c r="I55" s="759">
        <f>SUM(I6:I50)</f>
        <v>0</v>
      </c>
      <c r="J55" s="760">
        <f>SUM(J6:J50)</f>
        <v>0</v>
      </c>
      <c r="K55" s="759">
        <f>SUM(K6:K54)</f>
        <v>2984153991</v>
      </c>
      <c r="L55" s="759">
        <f>SUM(L6:L50)</f>
        <v>3706412798</v>
      </c>
    </row>
    <row r="56" spans="1:12" s="753" customFormat="1" ht="14.25">
      <c r="A56" s="761"/>
      <c r="B56" s="762"/>
      <c r="C56" s="762"/>
      <c r="D56" s="761"/>
      <c r="E56" s="761"/>
      <c r="F56" s="761"/>
      <c r="G56" s="763"/>
      <c r="H56" s="763"/>
      <c r="I56" s="763"/>
      <c r="J56" s="763"/>
      <c r="K56" s="764"/>
      <c r="L56" s="765" t="s">
        <v>492</v>
      </c>
    </row>
    <row r="57" spans="1:12" s="750" customFormat="1" ht="24" customHeight="1">
      <c r="A57" s="745">
        <v>1</v>
      </c>
      <c r="B57" s="1085" t="s">
        <v>493</v>
      </c>
      <c r="C57" s="1085"/>
      <c r="D57" s="744" t="s">
        <v>494</v>
      </c>
      <c r="E57" s="744">
        <v>4</v>
      </c>
      <c r="F57" s="752" t="s">
        <v>453</v>
      </c>
      <c r="G57" s="749"/>
      <c r="H57" s="749"/>
      <c r="I57" s="749"/>
      <c r="J57" s="758"/>
      <c r="K57" s="749">
        <v>0</v>
      </c>
      <c r="L57" s="755">
        <v>0</v>
      </c>
    </row>
    <row r="58" spans="1:12" s="750" customFormat="1" ht="16.5" customHeight="1">
      <c r="A58" s="1086" t="s">
        <v>495</v>
      </c>
      <c r="B58" s="1086"/>
      <c r="C58" s="1086"/>
      <c r="D58" s="1086"/>
      <c r="E58" s="1086"/>
      <c r="F58" s="766"/>
      <c r="G58" s="766"/>
      <c r="H58" s="766"/>
      <c r="I58" s="766"/>
      <c r="J58" s="766"/>
      <c r="K58" s="766"/>
      <c r="L58" s="766"/>
    </row>
    <row r="59" spans="1:12" s="750" customFormat="1" ht="16.5" customHeight="1">
      <c r="A59" s="1087" t="s">
        <v>496</v>
      </c>
      <c r="B59" s="1087"/>
      <c r="C59" s="1087"/>
      <c r="D59" s="1087"/>
      <c r="E59" s="1087"/>
      <c r="F59" s="767"/>
      <c r="G59" s="767"/>
      <c r="H59" s="767"/>
      <c r="I59" s="767"/>
      <c r="J59" s="767"/>
      <c r="K59" s="767"/>
      <c r="L59" s="767"/>
    </row>
    <row r="60" spans="1:12" s="750" customFormat="1" ht="16.5" customHeight="1">
      <c r="A60" s="1087" t="s">
        <v>497</v>
      </c>
      <c r="B60" s="1087"/>
      <c r="C60" s="1087"/>
      <c r="D60" s="1087"/>
      <c r="E60" s="1087"/>
      <c r="F60" s="767"/>
      <c r="G60" s="767"/>
      <c r="H60" s="767"/>
      <c r="I60" s="767"/>
      <c r="J60" s="767"/>
      <c r="K60" s="767"/>
      <c r="L60" s="767"/>
    </row>
    <row r="61" spans="1:12" s="750" customFormat="1" ht="12.75" customHeight="1">
      <c r="A61" s="1083" t="s">
        <v>498</v>
      </c>
      <c r="B61" s="1083"/>
      <c r="C61" s="1083"/>
      <c r="D61" s="1083"/>
      <c r="E61" s="1083"/>
      <c r="F61" s="768"/>
      <c r="G61" s="769"/>
      <c r="H61" s="769"/>
      <c r="I61" s="769"/>
      <c r="J61" s="769"/>
      <c r="K61" s="769"/>
      <c r="L61" s="769"/>
    </row>
    <row r="62" spans="1:12" s="750" customFormat="1" ht="12.75" customHeight="1">
      <c r="A62" s="1083" t="s">
        <v>512</v>
      </c>
      <c r="B62" s="1083"/>
      <c r="C62" s="1083"/>
      <c r="D62" s="1083"/>
      <c r="E62" s="1083"/>
      <c r="F62" s="768"/>
      <c r="G62" s="769"/>
      <c r="H62" s="769"/>
      <c r="I62" s="769"/>
      <c r="J62" s="769"/>
      <c r="K62" s="769"/>
      <c r="L62" s="769"/>
    </row>
    <row r="63" spans="1:12" s="750" customFormat="1" ht="15.75" customHeight="1">
      <c r="A63" s="1083" t="s">
        <v>511</v>
      </c>
      <c r="B63" s="1083"/>
      <c r="C63" s="1083"/>
      <c r="D63" s="1083"/>
      <c r="E63" s="1083"/>
      <c r="F63" s="768"/>
      <c r="G63" s="769"/>
      <c r="H63" s="769"/>
      <c r="I63" s="769"/>
      <c r="J63" s="769"/>
      <c r="K63" s="769"/>
      <c r="L63" s="769"/>
    </row>
    <row r="64" spans="1:10" ht="15">
      <c r="A64" s="1088" t="s">
        <v>401</v>
      </c>
      <c r="B64" s="1027" t="s">
        <v>499</v>
      </c>
      <c r="C64" s="1027"/>
      <c r="D64" s="1027"/>
      <c r="E64" s="1027"/>
      <c r="F64" s="1027"/>
      <c r="G64" s="1044" t="s">
        <v>285</v>
      </c>
      <c r="H64" s="1044"/>
      <c r="I64" s="1044"/>
      <c r="J64" s="1044"/>
    </row>
    <row r="65" spans="1:10" ht="25.5">
      <c r="A65" s="1089"/>
      <c r="B65" s="1027"/>
      <c r="C65" s="1027"/>
      <c r="D65" s="1027"/>
      <c r="E65" s="1027"/>
      <c r="F65" s="1027"/>
      <c r="G65" s="744" t="s">
        <v>500</v>
      </c>
      <c r="H65" s="744" t="s">
        <v>501</v>
      </c>
      <c r="I65" s="1044" t="s">
        <v>502</v>
      </c>
      <c r="J65" s="1044"/>
    </row>
    <row r="66" spans="1:10" ht="15" customHeight="1">
      <c r="A66" s="1092">
        <v>1</v>
      </c>
      <c r="B66" s="1093" t="s">
        <v>375</v>
      </c>
      <c r="C66" s="1093"/>
      <c r="D66" s="1088" t="s">
        <v>508</v>
      </c>
      <c r="E66" s="1027"/>
      <c r="F66" s="775" t="s">
        <v>452</v>
      </c>
      <c r="G66" s="770">
        <v>6540500</v>
      </c>
      <c r="H66" s="770">
        <v>0</v>
      </c>
      <c r="I66" s="1090">
        <v>0</v>
      </c>
      <c r="J66" s="1090"/>
    </row>
    <row r="67" spans="1:10" ht="15">
      <c r="A67" s="1092"/>
      <c r="B67" s="1093"/>
      <c r="C67" s="1093"/>
      <c r="D67" s="1088"/>
      <c r="E67" s="1027"/>
      <c r="F67" s="754" t="s">
        <v>453</v>
      </c>
      <c r="G67" s="749">
        <v>5715000</v>
      </c>
      <c r="H67" s="749">
        <v>3500000</v>
      </c>
      <c r="I67" s="1091">
        <v>0</v>
      </c>
      <c r="J67" s="1091"/>
    </row>
    <row r="68" spans="1:10" ht="15">
      <c r="A68" s="1092"/>
      <c r="B68" s="1093"/>
      <c r="C68" s="1093"/>
      <c r="D68" s="1088"/>
      <c r="E68" s="1027"/>
      <c r="F68" s="754" t="s">
        <v>454</v>
      </c>
      <c r="G68" s="771">
        <v>10000000</v>
      </c>
      <c r="H68" s="771">
        <v>24245000</v>
      </c>
      <c r="I68" s="1094">
        <v>0</v>
      </c>
      <c r="J68" s="1095"/>
    </row>
  </sheetData>
  <sheetProtection/>
  <mergeCells count="117">
    <mergeCell ref="I67:J67"/>
    <mergeCell ref="A66:A68"/>
    <mergeCell ref="B66:C68"/>
    <mergeCell ref="D66:D68"/>
    <mergeCell ref="E66:E68"/>
    <mergeCell ref="I68:J68"/>
    <mergeCell ref="A63:E63"/>
    <mergeCell ref="A64:A65"/>
    <mergeCell ref="B64:F65"/>
    <mergeCell ref="G64:J64"/>
    <mergeCell ref="I65:J65"/>
    <mergeCell ref="I66:J66"/>
    <mergeCell ref="A55:F55"/>
    <mergeCell ref="B57:C57"/>
    <mergeCell ref="A58:E58"/>
    <mergeCell ref="A59:E59"/>
    <mergeCell ref="A60:E60"/>
    <mergeCell ref="A61:E61"/>
    <mergeCell ref="A62:E62"/>
    <mergeCell ref="A52:A53"/>
    <mergeCell ref="B52:C53"/>
    <mergeCell ref="D52:D53"/>
    <mergeCell ref="E52:E53"/>
    <mergeCell ref="A48:A49"/>
    <mergeCell ref="B48:C49"/>
    <mergeCell ref="D48:D49"/>
    <mergeCell ref="E48:E49"/>
    <mergeCell ref="A50:A51"/>
    <mergeCell ref="B50:C51"/>
    <mergeCell ref="D50:D51"/>
    <mergeCell ref="E50:E51"/>
    <mergeCell ref="A44:A45"/>
    <mergeCell ref="B44:C45"/>
    <mergeCell ref="D44:D45"/>
    <mergeCell ref="E44:E45"/>
    <mergeCell ref="A46:A47"/>
    <mergeCell ref="B46:C47"/>
    <mergeCell ref="D46:D47"/>
    <mergeCell ref="E46:E47"/>
    <mergeCell ref="A41:A43"/>
    <mergeCell ref="B41:C43"/>
    <mergeCell ref="D41:D43"/>
    <mergeCell ref="E41:E43"/>
    <mergeCell ref="A37:A38"/>
    <mergeCell ref="B37:C38"/>
    <mergeCell ref="D37:D38"/>
    <mergeCell ref="E37:E38"/>
    <mergeCell ref="A39:A40"/>
    <mergeCell ref="B39:C40"/>
    <mergeCell ref="D39:D40"/>
    <mergeCell ref="E39:E40"/>
    <mergeCell ref="A33:A34"/>
    <mergeCell ref="B33:C34"/>
    <mergeCell ref="D33:D34"/>
    <mergeCell ref="E33:E34"/>
    <mergeCell ref="A35:A36"/>
    <mergeCell ref="B35:C36"/>
    <mergeCell ref="D35:D36"/>
    <mergeCell ref="E35:E36"/>
    <mergeCell ref="A30:A32"/>
    <mergeCell ref="B30:C32"/>
    <mergeCell ref="D30:D32"/>
    <mergeCell ref="E30:E32"/>
    <mergeCell ref="A26:A27"/>
    <mergeCell ref="B26:C27"/>
    <mergeCell ref="D26:D27"/>
    <mergeCell ref="E26:E27"/>
    <mergeCell ref="A28:A29"/>
    <mergeCell ref="B28:C29"/>
    <mergeCell ref="D28:D29"/>
    <mergeCell ref="E28:E29"/>
    <mergeCell ref="A22:A23"/>
    <mergeCell ref="B22:C23"/>
    <mergeCell ref="D22:D23"/>
    <mergeCell ref="E22:E23"/>
    <mergeCell ref="A24:A25"/>
    <mergeCell ref="B24:C25"/>
    <mergeCell ref="D24:D25"/>
    <mergeCell ref="E18:E19"/>
    <mergeCell ref="A20:A21"/>
    <mergeCell ref="B20:C21"/>
    <mergeCell ref="D20:D21"/>
    <mergeCell ref="E20:E21"/>
    <mergeCell ref="B18:C19"/>
    <mergeCell ref="A15:A17"/>
    <mergeCell ref="B15:C17"/>
    <mergeCell ref="D15:D17"/>
    <mergeCell ref="E15:E17"/>
    <mergeCell ref="A12:A14"/>
    <mergeCell ref="B12:C14"/>
    <mergeCell ref="G4:H4"/>
    <mergeCell ref="I4:I5"/>
    <mergeCell ref="J4:J5"/>
    <mergeCell ref="K4:K5"/>
    <mergeCell ref="E3:E5"/>
    <mergeCell ref="F3:F5"/>
    <mergeCell ref="G3:K3"/>
    <mergeCell ref="E24:E25"/>
    <mergeCell ref="I1:L1"/>
    <mergeCell ref="A2:G2"/>
    <mergeCell ref="A3:A5"/>
    <mergeCell ref="B3:C5"/>
    <mergeCell ref="D3:D5"/>
    <mergeCell ref="D12:D14"/>
    <mergeCell ref="E12:E14"/>
    <mergeCell ref="A18:A19"/>
    <mergeCell ref="L3:L5"/>
    <mergeCell ref="B54:C54"/>
    <mergeCell ref="A6:A11"/>
    <mergeCell ref="B6:B11"/>
    <mergeCell ref="C6:C9"/>
    <mergeCell ref="D6:D9"/>
    <mergeCell ref="E6:E9"/>
    <mergeCell ref="C10:C11"/>
    <mergeCell ref="D10:D11"/>
    <mergeCell ref="E10:E11"/>
    <mergeCell ref="D18:D1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2"/>
  <rowBreaks count="1" manualBreakCount="1">
    <brk id="3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2018-10-30T09:39:23Z</cp:lastPrinted>
  <dcterms:created xsi:type="dcterms:W3CDTF">2006-02-08T00:02:41Z</dcterms:created>
  <dcterms:modified xsi:type="dcterms:W3CDTF">2018-11-16T09:45:46Z</dcterms:modified>
  <cp:category/>
  <cp:version/>
  <cp:contentType/>
  <cp:contentStatus/>
</cp:coreProperties>
</file>