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932" activeTab="0"/>
  </bookViews>
  <sheets>
    <sheet name="5.mell" sheetId="1" r:id="rId1"/>
  </sheets>
  <definedNames>
    <definedName name="_xlnm.Print_Titles" localSheetId="0">'5.mell'!$5:$7</definedName>
    <definedName name="_xlnm.Print_Area" localSheetId="0">'5.mell'!$A$1:$R$152</definedName>
  </definedNames>
  <calcPr fullCalcOnLoad="1"/>
</workbook>
</file>

<file path=xl/sharedStrings.xml><?xml version="1.0" encoding="utf-8"?>
<sst xmlns="http://schemas.openxmlformats.org/spreadsheetml/2006/main" count="383" uniqueCount="191">
  <si>
    <t>Intézményi villamosenergia</t>
  </si>
  <si>
    <t xml:space="preserve">Közfoglalkoztatás </t>
  </si>
  <si>
    <t>Útépítés</t>
  </si>
  <si>
    <t>Ezer Ft - ban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</si>
  <si>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</si>
  <si>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</si>
  <si>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</si>
  <si>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</si>
  <si>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</si>
  <si>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</si>
  <si>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</si>
  <si>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</si>
  <si>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</si>
  <si>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</si>
  <si>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</si>
  <si>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</si>
  <si>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Működési</t>
  </si>
  <si>
    <t>KIADÁSOK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</si>
  <si>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</si>
  <si>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</si>
  <si>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</si>
  <si>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</si>
  <si>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</si>
  <si>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</si>
  <si>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</si>
  <si>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</si>
  <si>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</si>
  <si>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Egyéb felhalmozási célú kiadások</t>
  </si>
  <si>
    <t>Cím</t>
  </si>
  <si>
    <t>Cím ,</t>
  </si>
  <si>
    <t>Személyi</t>
  </si>
  <si>
    <t>Dologi</t>
  </si>
  <si>
    <t>Beruházá-</t>
  </si>
  <si>
    <t>Létszám-</t>
  </si>
  <si>
    <t>Alcím</t>
  </si>
  <si>
    <t xml:space="preserve">             alcím megnevezése</t>
  </si>
  <si>
    <t>kiadások</t>
  </si>
  <si>
    <t>célú kiadások</t>
  </si>
  <si>
    <t>sok, felújí-</t>
  </si>
  <si>
    <t>keret</t>
  </si>
  <si>
    <t>Szám</t>
  </si>
  <si>
    <t>tások</t>
  </si>
  <si>
    <t>Város -és községgazdálkodási szolgáltatás</t>
  </si>
  <si>
    <t>Közvilágítás</t>
  </si>
  <si>
    <t xml:space="preserve"> </t>
  </si>
  <si>
    <t>Lakbértámogatás</t>
  </si>
  <si>
    <t>Köztemetés</t>
  </si>
  <si>
    <t>Petőfi Sándor Városi Könyvtár</t>
  </si>
  <si>
    <t xml:space="preserve">Petőfi Szülőház és Emlékmúzeum </t>
  </si>
  <si>
    <t>Finanszírozási kiadások</t>
  </si>
  <si>
    <t xml:space="preserve">      Áruértékesítéshez, szolgáltatásnyújtáshoz kapcsolódó ÁFA befizetések</t>
  </si>
  <si>
    <t>Önkormányzat igazgatási tevékenysége</t>
  </si>
  <si>
    <t>Igazgatási tevékenység</t>
  </si>
  <si>
    <t>Adóigazgatási tevékenység</t>
  </si>
  <si>
    <t xml:space="preserve">     Állategészségügyi tevékenység</t>
  </si>
  <si>
    <t>Víztermelés, -kezelés, - ellátás</t>
  </si>
  <si>
    <t>Lakó- és nem lakóépület építése, felújítása</t>
  </si>
  <si>
    <t>Közutak üzemeltetése, fenntartársa</t>
  </si>
  <si>
    <t xml:space="preserve">     Önkormányzati vagyon hasznosításával kapcsolatos kiadások</t>
  </si>
  <si>
    <t>Zöldterület-kezelés, parkfenntartás, parképítés</t>
  </si>
  <si>
    <t>Testületi feladatok</t>
  </si>
  <si>
    <t xml:space="preserve">     Költségvetési tartalékok</t>
  </si>
  <si>
    <t xml:space="preserve">     Mezőőri feladatok</t>
  </si>
  <si>
    <t>Központi költségvetési befizetések</t>
  </si>
  <si>
    <t>Önkormányzatok nemzetközi kapcsolatai</t>
  </si>
  <si>
    <t>Közterület rendjének fenntartása</t>
  </si>
  <si>
    <t>Bűnmegelőzés</t>
  </si>
  <si>
    <t>Önkéntes Tűzoltó Egyesület támogatása</t>
  </si>
  <si>
    <t>Ár- és belvízvédelemmel összefüggő tevékenységek</t>
  </si>
  <si>
    <t>Egyéb szociális ellátások bentlakás nélkül</t>
  </si>
  <si>
    <t>Kulturális műsorok, rendezvények, kiállítások szervezése</t>
  </si>
  <si>
    <t xml:space="preserve">      Szüreti Napok</t>
  </si>
  <si>
    <t>Közművelődési tevékenységek és támogatásuk</t>
  </si>
  <si>
    <t>Szabadidős park, fürdő- és strandszolgáltatás</t>
  </si>
  <si>
    <t>Köztemető fenntartása és működtetése</t>
  </si>
  <si>
    <t>Egyéb működési célú kiadások</t>
  </si>
  <si>
    <t>juttatások</t>
  </si>
  <si>
    <t>Egyéb veszélyes hulladékok kezelése</t>
  </si>
  <si>
    <t>Szennyvíz-kezelés</t>
  </si>
  <si>
    <t>Képviselő-testületi ülések, városi rendezvények közvetítése</t>
  </si>
  <si>
    <t>Mezőgazdaság igazgatási és szabályozási feladatai</t>
  </si>
  <si>
    <t>Köz- és díszvilágítás</t>
  </si>
  <si>
    <t xml:space="preserve">     Térfigyelő kamera üzemeltetése</t>
  </si>
  <si>
    <t>Oktatási feladatok</t>
  </si>
  <si>
    <t>BURSA - támogatás önerő</t>
  </si>
  <si>
    <t>Állami lakástámogatások jogszabály alapján - Sikeres Magyarországért Panel Plusz</t>
  </si>
  <si>
    <t>Egyéb köztisztasági tevékenységek</t>
  </si>
  <si>
    <t>Díszvilágítás</t>
  </si>
  <si>
    <t>Környezetvédelmi Alap felhasználása</t>
  </si>
  <si>
    <t>23.</t>
  </si>
  <si>
    <t>34.</t>
  </si>
  <si>
    <t>20.</t>
  </si>
  <si>
    <t>22.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</si>
  <si>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</si>
  <si>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</si>
  <si>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</si>
  <si>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</si>
  <si>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</si>
  <si>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</si>
  <si>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</si>
  <si>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</si>
  <si>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</si>
  <si>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k</t>
  </si>
  <si>
    <t>ö</t>
  </si>
  <si>
    <t>Munkaadókat terhelő</t>
  </si>
  <si>
    <t>járulékok és szociális</t>
  </si>
  <si>
    <t>hozzájárulási adó</t>
  </si>
  <si>
    <t>Ebből: kötelező feladatellátás</t>
  </si>
  <si>
    <t>önként vállalt feladatok</t>
  </si>
  <si>
    <t>Ebből: kötelező feladatellátáshoz kapcsolódó</t>
  </si>
  <si>
    <t>önként vállalt feladatok ellátásához kapcsolódó</t>
  </si>
  <si>
    <t>Kiemelt önkormányzati, városi rendezvények, fizetendő jogdíjak</t>
  </si>
  <si>
    <t>Társulási hozzájárulás</t>
  </si>
  <si>
    <t>27.</t>
  </si>
  <si>
    <t>Utak fenntartása, építése</t>
  </si>
  <si>
    <t xml:space="preserve">        önként vállalt feladatok</t>
  </si>
  <si>
    <t>Polgármesteri Hivatal tevékenysége</t>
  </si>
  <si>
    <t>Petőfi Sándor Társaság támogatása</t>
  </si>
  <si>
    <t>Kiskőrös Városért Alapítvány támogatása</t>
  </si>
  <si>
    <t>Kiskőrösi Óvodák</t>
  </si>
  <si>
    <t>állami (államigazgatási) feladat</t>
  </si>
  <si>
    <t>á</t>
  </si>
  <si>
    <t>Jogalkotás</t>
  </si>
  <si>
    <t>Társulás  - Háziorvosi ügyelet támogatása</t>
  </si>
  <si>
    <t>Települési marketing és média</t>
  </si>
  <si>
    <t>Kiskőrösi Advent</t>
  </si>
  <si>
    <t>Sportcélok támogatása</t>
  </si>
  <si>
    <t>Férfi kézilabda támogatása</t>
  </si>
  <si>
    <t>Kiskőrösi Labdarúgó Klub támogatása</t>
  </si>
  <si>
    <t>Küzdősportok támogatása</t>
  </si>
  <si>
    <t>Kiskőrös Város Hegyközsége támogatása</t>
  </si>
  <si>
    <t>Borversenyek, Agrárexpo támogatása</t>
  </si>
  <si>
    <t>Jégelhárító rendszer működtetése</t>
  </si>
  <si>
    <t>Polgármesteri Hivatal pénzbeli és természetbeni ellátásai</t>
  </si>
  <si>
    <t xml:space="preserve">     Vagyon hasznosításával kapcsolatos kiadások</t>
  </si>
  <si>
    <t>Kisoroszi tábor fenntartása, működtetése</t>
  </si>
  <si>
    <t>35.</t>
  </si>
  <si>
    <t>Kiskőrösi Női KSZSE támogatása</t>
  </si>
  <si>
    <t>Bem DSE  támogatása</t>
  </si>
  <si>
    <t>Egészségügyi, Gyermekjóléti és Szociális Intézmény</t>
  </si>
  <si>
    <t>Társulási feladatok ellátása</t>
  </si>
  <si>
    <t>Rendszeres gyermekvédelmi kedvezmény</t>
  </si>
  <si>
    <t>Településrendezési terv</t>
  </si>
  <si>
    <t>Ellátottak</t>
  </si>
  <si>
    <t>pénzbeli</t>
  </si>
  <si>
    <t>juttatásai</t>
  </si>
  <si>
    <t>Mellrákszűrés</t>
  </si>
  <si>
    <t>Tranzakciós illeték, kamatkiadások, bankköltségek</t>
  </si>
  <si>
    <t>Rendőrség támogatása</t>
  </si>
  <si>
    <t>János Vitéz Látogatóközpont kialakítása Kiskőrösön - DAOP -2.1.1/J-12-2012-0060</t>
  </si>
  <si>
    <t>Önkormányzati pénzbeli, természetbeni ellátások</t>
  </si>
  <si>
    <t>államház-tartáson kívülre</t>
  </si>
  <si>
    <t>államház-tartáson belülre</t>
  </si>
  <si>
    <t>tarta-lékok</t>
  </si>
  <si>
    <t>Települési támogatás</t>
  </si>
  <si>
    <t>k: kötelező, ö: önként vállalt, á: állam-igaz-gatási feladat</t>
  </si>
  <si>
    <t xml:space="preserve"> Értékbecslések, tulajdoni lapok, térképkivonatok, vázrajzok, ingatlan-nyilvántartási eljárás díjai, közbeszerzési eljárások lebonyolítása, közzétételi díjak, ellenjegyzést igénylő szerződések ügyvédi munkadíjai</t>
  </si>
  <si>
    <t>Polgári védelmi feladatok, védőeszközök tárolása, kezelése</t>
  </si>
  <si>
    <t>Kőrösszolg Kft. - intézményüzemeltetési feladatai</t>
  </si>
  <si>
    <t>Kőrösszolg Kft. - köztisztasági és parkfenntartási feladatai</t>
  </si>
  <si>
    <t>Épületek építése, fenntartása, üzemeltetése</t>
  </si>
  <si>
    <t>Egészségfejlesztési Iroda</t>
  </si>
  <si>
    <t>Család- és gyermekjóléti központ kialakítása</t>
  </si>
  <si>
    <t>Szeretetházi Baptista Gyülekezet Kiskőrös - család- és gyermekjóléti szolgálat normatíva továbbutalása</t>
  </si>
  <si>
    <t>Rászoruló gyermekek intézményen kívüli szünidei étkezése</t>
  </si>
  <si>
    <t>Gyermekétkeztetési feladatok</t>
  </si>
  <si>
    <t>Bentlakásos intézmény étkezés</t>
  </si>
  <si>
    <t>2016. évi nettó finanszírozás megelőlegezésének visszafizetése</t>
  </si>
  <si>
    <t>ő</t>
  </si>
  <si>
    <t>János Vitéz Látogatóközpont</t>
  </si>
  <si>
    <t>INTÉZMÉNYEK ÖSSZESEN ( 1. - 4. sorok )</t>
  </si>
  <si>
    <t>POLGÁRMESTERI HIVATAL KIADÁSAI ÖSSZESEN (5. sor)</t>
  </si>
  <si>
    <t xml:space="preserve">     Fürdő üzemeltetési díja</t>
  </si>
  <si>
    <t>Kőrösszolg Kft. - sport feladatai</t>
  </si>
  <si>
    <t>Önkormányzati bérlakások felújítása, kialakítása, karbantartása</t>
  </si>
  <si>
    <t>ÖNKORMÁNYZATI KIADÁSOK ÖSSZESEN ( 6-33. sorok )</t>
  </si>
  <si>
    <r>
      <t xml:space="preserve">ÖNKORMÁNYZAT ÉS A POLGÁRMESTERI HIVATAL KIADÁSAI FINANSZÍROZÁSI KIADÁSOKKAL ÖSSZESEN </t>
    </r>
    <r>
      <rPr>
        <sz val="8"/>
        <rFont val="Times New Roman CE"/>
        <family val="1"/>
      </rPr>
      <t>(6-35. sorok)</t>
    </r>
  </si>
  <si>
    <r>
      <t xml:space="preserve">KIADÁSOK ÖSSZESEN </t>
    </r>
    <r>
      <rPr>
        <sz val="8"/>
        <rFont val="Times New Roman CE"/>
        <family val="1"/>
      </rPr>
      <t>( 1-35. sorok )</t>
    </r>
  </si>
  <si>
    <t>Új Óvoda</t>
  </si>
  <si>
    <t>Áruértékesítéshez, szolgáltatásnyújtáshoz kapcsolódó ÁFA befizetések</t>
  </si>
  <si>
    <t>Támogatások</t>
  </si>
  <si>
    <t>2015. évi maradvány</t>
  </si>
  <si>
    <t>Európai Uniós szakmai konferencia - önerő</t>
  </si>
  <si>
    <t>1. melléklet a ../2016. (…...) önk. rendelethez</t>
  </si>
  <si>
    <t>János Vitéz Látogatóközpont kialakítása Kiskőrösön - DAOP-2.1.1/J-12-2012-0060</t>
  </si>
  <si>
    <t>Közművelődési intézmények, kulturális és közösségi színterek működtetése, infrastrukturális fejlesztése, Tourinform Iroda működtetése</t>
  </si>
  <si>
    <t>SZÓ-LA-M Alapfokú Művészeti Iskola néptánc tanszak</t>
  </si>
  <si>
    <t xml:space="preserve">    Városi Sporttelep fejlesztései, Sportpark építése</t>
  </si>
  <si>
    <t>Betétek elhelyezése, értékpapírok vásárlása</t>
  </si>
  <si>
    <t>1,1-6</t>
  </si>
  <si>
    <t>Népszavazás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</si>
</sst>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0000000"/>
    <numFmt numFmtId="170" formatCode="0.0%"/>
    <numFmt numFmtId="171" formatCode="_-* #,##0.000\ &quot;Ft&quot;_-;\-* #,##0.000\ &quot;Ft&quot;_-;_-* &quot;-&quot;??\ &quot;Ft&quot;_-;_-@_-"/>
    <numFmt numFmtId="172" formatCode="_-* #,##0.0\ &quot;Ft&quot;_-;\-* #,##0.0\ &quot;Ft&quot;_-;_-* &quot;-&quot;??\ &quot;Ft&quot;_-;_-@_-"/>
    <numFmt numFmtId="173" formatCode="_-* #,##0\ &quot;Ft&quot;_-;\-* #,##0\ &quot;Ft&quot;_-;_-* &quot;-&quot;??\ &quot;Ft&quot;_-;_-@_-"/>
    <numFmt numFmtId="174" formatCode="0.000"/>
    <numFmt numFmtId="175" formatCode="#,##0.000"/>
    <numFmt numFmtId="176" formatCode="#,##0.0000"/>
    <numFmt numFmtId="177" formatCode="00"/>
    <numFmt numFmtId="178" formatCode="0000000"/>
    <numFmt numFmtId="179" formatCode="0.000000"/>
    <numFmt numFmtId="180" formatCode="0.00000"/>
    <numFmt numFmtId="181" formatCode="0.0000"/>
    <numFmt numFmtId="182" formatCode="_-* #,##0.0\ _F_t_-;\-* #,##0.0\ _F_t_-;_-* &quot;-&quot;??\ _F_t_-;_-@_-"/>
    <numFmt numFmtId="183" formatCode="_-* #,##0\ _F_t_-;\-* #,##0\ _F_t_-;_-* &quot;-&quot;??\ _F_t_-;_-@_-"/>
    <numFmt numFmtId="184" formatCode="#,##0.00;[Red]\-#,##0.00"/>
    <numFmt numFmtId="185" formatCode="#,##0;[Red]\-#,##0"/>
    <numFmt numFmtId="186" formatCode="&quot;H-&quot;0000"/>
    <numFmt numFmtId="187" formatCode="[$¥€-2]\ #\ ##,000_);[Red]\([$€-2]\ #\ ##,000\)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sz val="7"/>
      <name val="Times New Roman CE"/>
      <family val="1"/>
    </font>
    <font>
      <sz val="10"/>
      <name val="Times New Roman CE"/>
      <family val="1"/>
    </font>
    <font>
      <b/>
      <sz val="7"/>
      <name val="Times New Roman CE"/>
      <family val="1"/>
    </font>
    <font>
      <b/>
      <sz val="10"/>
      <name val="Times New Roman CE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 CE"/>
      <family val="1"/>
    </font>
    <font>
      <i/>
      <sz val="8"/>
      <name val="Times New Roman CE"/>
      <family val="1"/>
    </font>
    <font>
      <sz val="7"/>
      <color indexed="10"/>
      <name val="Times New Roman CE"/>
      <family val="1"/>
    </font>
    <font>
      <b/>
      <i/>
      <sz val="7"/>
      <name val="Times New Roman CE"/>
      <family val="1"/>
    </font>
    <font>
      <i/>
      <sz val="7"/>
      <name val="Times New Roman CE"/>
      <family val="1"/>
    </font>
    <font>
      <i/>
      <sz val="7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i/>
      <sz val="7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b/>
      <i/>
      <sz val="7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"/>
      <color indexed="8"/>
      <name val="Tahoma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27" fillId="4" borderId="0" applyNumberFormat="0" applyBorder="0" applyAlignment="0" applyProtection="0"/>
    <xf numFmtId="0" fontId="45" fillId="5" borderId="0" applyNumberFormat="0" applyBorder="0" applyAlignment="0" applyProtection="0"/>
    <xf numFmtId="0" fontId="27" fillId="5" borderId="0" applyNumberFormat="0" applyBorder="0" applyAlignment="0" applyProtection="0"/>
    <xf numFmtId="0" fontId="45" fillId="6" borderId="0" applyNumberFormat="0" applyBorder="0" applyAlignment="0" applyProtection="0"/>
    <xf numFmtId="0" fontId="27" fillId="6" borderId="0" applyNumberFormat="0" applyBorder="0" applyAlignment="0" applyProtection="0"/>
    <xf numFmtId="0" fontId="45" fillId="7" borderId="0" applyNumberFormat="0" applyBorder="0" applyAlignment="0" applyProtection="0"/>
    <xf numFmtId="0" fontId="27" fillId="7" borderId="0" applyNumberFormat="0" applyBorder="0" applyAlignment="0" applyProtection="0"/>
    <xf numFmtId="0" fontId="45" fillId="8" borderId="0" applyNumberFormat="0" applyBorder="0" applyAlignment="0" applyProtection="0"/>
    <xf numFmtId="0" fontId="27" fillId="9" borderId="0" applyNumberFormat="0" applyBorder="0" applyAlignment="0" applyProtection="0"/>
    <xf numFmtId="0" fontId="45" fillId="10" borderId="0" applyNumberFormat="0" applyBorder="0" applyAlignment="0" applyProtection="0"/>
    <xf numFmtId="0" fontId="27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27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5" fillId="18" borderId="0" applyNumberFormat="0" applyBorder="0" applyAlignment="0" applyProtection="0"/>
    <xf numFmtId="0" fontId="27" fillId="18" borderId="0" applyNumberFormat="0" applyBorder="0" applyAlignment="0" applyProtection="0"/>
    <xf numFmtId="0" fontId="45" fillId="19" borderId="0" applyNumberFormat="0" applyBorder="0" applyAlignment="0" applyProtection="0"/>
    <xf numFmtId="0" fontId="27" fillId="7" borderId="0" applyNumberFormat="0" applyBorder="0" applyAlignment="0" applyProtection="0"/>
    <xf numFmtId="0" fontId="45" fillId="20" borderId="0" applyNumberFormat="0" applyBorder="0" applyAlignment="0" applyProtection="0"/>
    <xf numFmtId="0" fontId="27" fillId="15" borderId="0" applyNumberFormat="0" applyBorder="0" applyAlignment="0" applyProtection="0"/>
    <xf numFmtId="0" fontId="45" fillId="21" borderId="0" applyNumberFormat="0" applyBorder="0" applyAlignment="0" applyProtection="0"/>
    <xf numFmtId="0" fontId="27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17" borderId="0" applyNumberFormat="0" applyBorder="0" applyAlignment="0" applyProtection="0"/>
    <xf numFmtId="0" fontId="44" fillId="18" borderId="0" applyNumberFormat="0" applyBorder="0" applyAlignment="0" applyProtection="0"/>
    <xf numFmtId="0" fontId="26" fillId="18" borderId="0" applyNumberFormat="0" applyBorder="0" applyAlignment="0" applyProtection="0"/>
    <xf numFmtId="0" fontId="44" fillId="28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0" applyNumberFormat="0" applyBorder="0" applyAlignment="0" applyProtection="0"/>
    <xf numFmtId="0" fontId="26" fillId="30" borderId="0" applyNumberFormat="0" applyBorder="0" applyAlignment="0" applyProtection="0"/>
    <xf numFmtId="0" fontId="44" fillId="31" borderId="0" applyNumberFormat="0" applyBorder="0" applyAlignment="0" applyProtection="0"/>
    <xf numFmtId="0" fontId="26" fillId="31" borderId="0" applyNumberFormat="0" applyBorder="0" applyAlignment="0" applyProtection="0"/>
    <xf numFmtId="0" fontId="46" fillId="32" borderId="1" applyNumberFormat="0" applyAlignment="0" applyProtection="0"/>
    <xf numFmtId="0" fontId="28" fillId="11" borderId="2" applyNumberFormat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30" fillId="0" borderId="4" applyNumberFormat="0" applyFill="0" applyAlignment="0" applyProtection="0"/>
    <xf numFmtId="0" fontId="49" fillId="0" borderId="5" applyNumberFormat="0" applyFill="0" applyAlignment="0" applyProtection="0"/>
    <xf numFmtId="0" fontId="31" fillId="0" borderId="6" applyNumberFormat="0" applyFill="0" applyAlignment="0" applyProtection="0"/>
    <xf numFmtId="0" fontId="50" fillId="0" borderId="7" applyNumberFormat="0" applyFill="0" applyAlignment="0" applyProtection="0"/>
    <xf numFmtId="0" fontId="32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33" borderId="9" applyNumberFormat="0" applyAlignment="0" applyProtection="0"/>
    <xf numFmtId="0" fontId="33" fillId="34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35" fillId="0" borderId="12" applyNumberFormat="0" applyFill="0" applyAlignment="0" applyProtection="0"/>
    <xf numFmtId="0" fontId="0" fillId="35" borderId="13" applyNumberFormat="0" applyFont="0" applyAlignment="0" applyProtection="0"/>
    <xf numFmtId="0" fontId="0" fillId="36" borderId="14" applyNumberFormat="0" applyFont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40" borderId="0" applyNumberFormat="0" applyBorder="0" applyAlignment="0" applyProtection="0"/>
    <xf numFmtId="0" fontId="54" fillId="41" borderId="0" applyNumberFormat="0" applyBorder="0" applyAlignment="0" applyProtection="0"/>
    <xf numFmtId="0" fontId="36" fillId="6" borderId="0" applyNumberFormat="0" applyBorder="0" applyAlignment="0" applyProtection="0"/>
    <xf numFmtId="0" fontId="55" fillId="42" borderId="15" applyNumberFormat="0" applyAlignment="0" applyProtection="0"/>
    <xf numFmtId="0" fontId="37" fillId="43" borderId="16" applyNumberFormat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17" applyNumberFormat="0" applyFill="0" applyAlignment="0" applyProtection="0"/>
    <xf numFmtId="0" fontId="39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44" borderId="0" applyNumberFormat="0" applyBorder="0" applyAlignment="0" applyProtection="0"/>
    <xf numFmtId="0" fontId="40" fillId="5" borderId="0" applyNumberFormat="0" applyBorder="0" applyAlignment="0" applyProtection="0"/>
    <xf numFmtId="0" fontId="59" fillId="45" borderId="0" applyNumberFormat="0" applyBorder="0" applyAlignment="0" applyProtection="0"/>
    <xf numFmtId="0" fontId="41" fillId="46" borderId="0" applyNumberFormat="0" applyBorder="0" applyAlignment="0" applyProtection="0"/>
    <xf numFmtId="0" fontId="60" fillId="42" borderId="1" applyNumberFormat="0" applyAlignment="0" applyProtection="0"/>
    <xf numFmtId="0" fontId="42" fillId="43" borderId="2" applyNumberFormat="0" applyAlignment="0" applyProtection="0"/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3" fontId="9" fillId="0" borderId="0" xfId="94" applyNumberFormat="1" applyFont="1" applyFill="1" applyAlignment="1">
      <alignment horizontal="center" vertical="center"/>
      <protection/>
    </xf>
    <xf numFmtId="3" fontId="7" fillId="0" borderId="0" xfId="94" applyNumberFormat="1" applyFont="1" applyFill="1" applyAlignment="1">
      <alignment vertical="center"/>
      <protection/>
    </xf>
    <xf numFmtId="3" fontId="12" fillId="0" borderId="19" xfId="94" applyNumberFormat="1" applyFont="1" applyFill="1" applyBorder="1" applyAlignment="1">
      <alignment horizontal="center" vertical="center"/>
      <protection/>
    </xf>
    <xf numFmtId="3" fontId="8" fillId="0" borderId="0" xfId="94" applyNumberFormat="1" applyFont="1" applyFill="1" applyBorder="1" applyAlignment="1">
      <alignment horizontal="center" vertical="center"/>
      <protection/>
    </xf>
    <xf numFmtId="3" fontId="12" fillId="0" borderId="20" xfId="94" applyNumberFormat="1" applyFont="1" applyFill="1" applyBorder="1" applyAlignment="1">
      <alignment horizontal="center" vertical="center"/>
      <protection/>
    </xf>
    <xf numFmtId="3" fontId="12" fillId="0" borderId="21" xfId="94" applyNumberFormat="1" applyFont="1" applyFill="1" applyBorder="1" applyAlignment="1">
      <alignment horizontal="center" vertical="center"/>
      <protection/>
    </xf>
    <xf numFmtId="3" fontId="8" fillId="0" borderId="22" xfId="94" applyNumberFormat="1" applyFont="1" applyFill="1" applyBorder="1" applyAlignment="1">
      <alignment horizontal="center" vertical="center"/>
      <protection/>
    </xf>
    <xf numFmtId="3" fontId="6" fillId="0" borderId="23" xfId="94" applyNumberFormat="1" applyFont="1" applyFill="1" applyBorder="1" applyAlignment="1">
      <alignment vertical="center"/>
      <protection/>
    </xf>
    <xf numFmtId="3" fontId="12" fillId="0" borderId="23" xfId="94" applyNumberFormat="1" applyFont="1" applyFill="1" applyBorder="1" applyAlignment="1">
      <alignment vertical="center"/>
      <protection/>
    </xf>
    <xf numFmtId="3" fontId="8" fillId="0" borderId="24" xfId="94" applyNumberFormat="1" applyFont="1" applyFill="1" applyBorder="1" applyAlignment="1">
      <alignment horizontal="center" vertical="center"/>
      <protection/>
    </xf>
    <xf numFmtId="3" fontId="6" fillId="0" borderId="25" xfId="94" applyNumberFormat="1" applyFont="1" applyFill="1" applyBorder="1" applyAlignment="1">
      <alignment vertical="center"/>
      <protection/>
    </xf>
    <xf numFmtId="3" fontId="10" fillId="0" borderId="25" xfId="94" applyNumberFormat="1" applyFont="1" applyFill="1" applyBorder="1" applyAlignment="1">
      <alignment horizontal="left" vertical="center" indent="1"/>
      <protection/>
    </xf>
    <xf numFmtId="3" fontId="12" fillId="0" borderId="25" xfId="94" applyNumberFormat="1" applyFont="1" applyFill="1" applyBorder="1" applyAlignment="1">
      <alignment vertical="center"/>
      <protection/>
    </xf>
    <xf numFmtId="3" fontId="8" fillId="0" borderId="26" xfId="94" applyNumberFormat="1" applyFont="1" applyFill="1" applyBorder="1" applyAlignment="1">
      <alignment horizontal="center" vertical="center"/>
      <protection/>
    </xf>
    <xf numFmtId="3" fontId="10" fillId="0" borderId="20" xfId="94" applyNumberFormat="1" applyFont="1" applyFill="1" applyBorder="1" applyAlignment="1">
      <alignment horizontal="left" vertical="center" indent="1"/>
      <protection/>
    </xf>
    <xf numFmtId="3" fontId="12" fillId="0" borderId="20" xfId="94" applyNumberFormat="1" applyFont="1" applyFill="1" applyBorder="1" applyAlignment="1">
      <alignment vertical="center"/>
      <protection/>
    </xf>
    <xf numFmtId="3" fontId="12" fillId="0" borderId="27" xfId="94" applyNumberFormat="1" applyFont="1" applyFill="1" applyBorder="1" applyAlignment="1">
      <alignment vertical="center"/>
      <protection/>
    </xf>
    <xf numFmtId="3" fontId="8" fillId="0" borderId="28" xfId="94" applyNumberFormat="1" applyFont="1" applyFill="1" applyBorder="1" applyAlignment="1">
      <alignment horizontal="center" vertical="center"/>
      <protection/>
    </xf>
    <xf numFmtId="3" fontId="6" fillId="0" borderId="29" xfId="94" applyNumberFormat="1" applyFont="1" applyFill="1" applyBorder="1" applyAlignment="1">
      <alignment horizontal="center" vertical="center"/>
      <protection/>
    </xf>
    <xf numFmtId="3" fontId="8" fillId="0" borderId="30" xfId="94" applyNumberFormat="1" applyFont="1" applyFill="1" applyBorder="1" applyAlignment="1">
      <alignment horizontal="center" vertical="center"/>
      <protection/>
    </xf>
    <xf numFmtId="3" fontId="6" fillId="0" borderId="31" xfId="94" applyNumberFormat="1" applyFont="1" applyFill="1" applyBorder="1" applyAlignment="1">
      <alignment horizontal="center" vertical="center"/>
      <protection/>
    </xf>
    <xf numFmtId="3" fontId="10" fillId="0" borderId="31" xfId="94" applyNumberFormat="1" applyFont="1" applyFill="1" applyBorder="1" applyAlignment="1">
      <alignment horizontal="left" vertical="center" indent="1"/>
      <protection/>
    </xf>
    <xf numFmtId="3" fontId="10" fillId="0" borderId="31" xfId="94" applyNumberFormat="1" applyFont="1" applyFill="1" applyBorder="1" applyAlignment="1">
      <alignment vertical="center"/>
      <protection/>
    </xf>
    <xf numFmtId="3" fontId="8" fillId="0" borderId="32" xfId="94" applyNumberFormat="1" applyFont="1" applyFill="1" applyBorder="1" applyAlignment="1">
      <alignment horizontal="center" vertical="center"/>
      <protection/>
    </xf>
    <xf numFmtId="3" fontId="6" fillId="0" borderId="33" xfId="94" applyNumberFormat="1" applyFont="1" applyFill="1" applyBorder="1" applyAlignment="1">
      <alignment horizontal="center" vertical="center"/>
      <protection/>
    </xf>
    <xf numFmtId="3" fontId="10" fillId="0" borderId="33" xfId="94" applyNumberFormat="1" applyFont="1" applyFill="1" applyBorder="1" applyAlignment="1">
      <alignment vertical="center"/>
      <protection/>
    </xf>
    <xf numFmtId="3" fontId="6" fillId="0" borderId="20" xfId="94" applyNumberFormat="1" applyFont="1" applyFill="1" applyBorder="1" applyAlignment="1">
      <alignment horizontal="center" vertical="center"/>
      <protection/>
    </xf>
    <xf numFmtId="3" fontId="9" fillId="0" borderId="0" xfId="94" applyNumberFormat="1" applyFont="1" applyFill="1" applyAlignment="1">
      <alignment vertical="center"/>
      <protection/>
    </xf>
    <xf numFmtId="3" fontId="6" fillId="0" borderId="30" xfId="94" applyNumberFormat="1" applyFont="1" applyFill="1" applyBorder="1" applyAlignment="1">
      <alignment horizontal="center" vertical="center"/>
      <protection/>
    </xf>
    <xf numFmtId="3" fontId="6" fillId="0" borderId="28" xfId="94" applyNumberFormat="1" applyFont="1" applyFill="1" applyBorder="1" applyAlignment="1">
      <alignment horizontal="center" vertical="center"/>
      <protection/>
    </xf>
    <xf numFmtId="1" fontId="6" fillId="0" borderId="31" xfId="94" applyNumberFormat="1" applyFont="1" applyFill="1" applyBorder="1" applyAlignment="1">
      <alignment horizontal="center" vertical="center"/>
      <protection/>
    </xf>
    <xf numFmtId="1" fontId="6" fillId="0" borderId="33" xfId="94" applyNumberFormat="1" applyFont="1" applyFill="1" applyBorder="1" applyAlignment="1">
      <alignment horizontal="center" vertical="center"/>
      <protection/>
    </xf>
    <xf numFmtId="3" fontId="8" fillId="0" borderId="34" xfId="94" applyNumberFormat="1" applyFont="1" applyFill="1" applyBorder="1" applyAlignment="1">
      <alignment horizontal="center" vertical="center"/>
      <protection/>
    </xf>
    <xf numFmtId="3" fontId="10" fillId="0" borderId="33" xfId="94" applyNumberFormat="1" applyFont="1" applyFill="1" applyBorder="1" applyAlignment="1">
      <alignment horizontal="left" vertical="center" indent="1"/>
      <protection/>
    </xf>
    <xf numFmtId="3" fontId="8" fillId="0" borderId="35" xfId="94" applyNumberFormat="1" applyFont="1" applyFill="1" applyBorder="1" applyAlignment="1">
      <alignment horizontal="center" vertical="center"/>
      <protection/>
    </xf>
    <xf numFmtId="3" fontId="6" fillId="0" borderId="19" xfId="94" applyNumberFormat="1" applyFont="1" applyFill="1" applyBorder="1" applyAlignment="1">
      <alignment horizontal="center" vertical="center"/>
      <protection/>
    </xf>
    <xf numFmtId="3" fontId="12" fillId="0" borderId="19" xfId="94" applyNumberFormat="1" applyFont="1" applyFill="1" applyBorder="1" applyAlignment="1">
      <alignment vertical="center"/>
      <protection/>
    </xf>
    <xf numFmtId="164" fontId="6" fillId="0" borderId="29" xfId="94" applyNumberFormat="1" applyFont="1" applyFill="1" applyBorder="1" applyAlignment="1">
      <alignment horizontal="center" vertical="center"/>
      <protection/>
    </xf>
    <xf numFmtId="3" fontId="6" fillId="0" borderId="25" xfId="94" applyNumberFormat="1" applyFont="1" applyFill="1" applyBorder="1" applyAlignment="1">
      <alignment horizontal="center" vertical="center"/>
      <protection/>
    </xf>
    <xf numFmtId="164" fontId="6" fillId="0" borderId="31" xfId="94" applyNumberFormat="1" applyFont="1" applyFill="1" applyBorder="1" applyAlignment="1">
      <alignment horizontal="center" vertical="center"/>
      <protection/>
    </xf>
    <xf numFmtId="3" fontId="8" fillId="0" borderId="36" xfId="94" applyNumberFormat="1" applyFont="1" applyFill="1" applyBorder="1" applyAlignment="1">
      <alignment horizontal="center" vertical="center"/>
      <protection/>
    </xf>
    <xf numFmtId="164" fontId="6" fillId="0" borderId="25" xfId="94" applyNumberFormat="1" applyFont="1" applyFill="1" applyBorder="1" applyAlignment="1">
      <alignment horizontal="center" vertical="center"/>
      <protection/>
    </xf>
    <xf numFmtId="3" fontId="6" fillId="0" borderId="30" xfId="94" applyNumberFormat="1" applyFont="1" applyFill="1" applyBorder="1" applyAlignment="1">
      <alignment horizontal="left" vertical="center"/>
      <protection/>
    </xf>
    <xf numFmtId="3" fontId="12" fillId="0" borderId="19" xfId="94" applyNumberFormat="1" applyFont="1" applyFill="1" applyBorder="1" applyAlignment="1">
      <alignment horizontal="center" vertical="center" wrapText="1"/>
      <protection/>
    </xf>
    <xf numFmtId="3" fontId="10" fillId="0" borderId="31" xfId="94" applyNumberFormat="1" applyFont="1" applyFill="1" applyBorder="1" applyAlignment="1">
      <alignment horizontal="left" vertical="center" wrapText="1" indent="1"/>
      <protection/>
    </xf>
    <xf numFmtId="3" fontId="12" fillId="0" borderId="21" xfId="94" applyNumberFormat="1" applyFont="1" applyFill="1" applyBorder="1" applyAlignment="1">
      <alignment vertical="center"/>
      <protection/>
    </xf>
    <xf numFmtId="3" fontId="12" fillId="0" borderId="23" xfId="94" applyNumberFormat="1" applyFont="1" applyFill="1" applyBorder="1" applyAlignment="1">
      <alignment horizontal="left" vertical="center"/>
      <protection/>
    </xf>
    <xf numFmtId="3" fontId="12" fillId="0" borderId="20" xfId="94" applyNumberFormat="1" applyFont="1" applyFill="1" applyBorder="1" applyAlignment="1">
      <alignment horizontal="center" vertical="center" wrapText="1"/>
      <protection/>
    </xf>
    <xf numFmtId="3" fontId="12" fillId="0" borderId="21" xfId="94" applyNumberFormat="1" applyFont="1" applyFill="1" applyBorder="1" applyAlignment="1">
      <alignment horizontal="center" vertical="center" wrapText="1"/>
      <protection/>
    </xf>
    <xf numFmtId="1" fontId="14" fillId="0" borderId="0" xfId="94" applyNumberFormat="1" applyFont="1" applyFill="1" applyAlignment="1">
      <alignment horizontal="right" vertical="center"/>
      <protection/>
    </xf>
    <xf numFmtId="1" fontId="16" fillId="0" borderId="19" xfId="94" applyNumberFormat="1" applyFont="1" applyFill="1" applyBorder="1" applyAlignment="1">
      <alignment horizontal="right" vertical="center"/>
      <protection/>
    </xf>
    <xf numFmtId="3" fontId="17" fillId="0" borderId="24" xfId="94" applyNumberFormat="1" applyFont="1" applyFill="1" applyBorder="1" applyAlignment="1">
      <alignment horizontal="center" vertical="center"/>
      <protection/>
    </xf>
    <xf numFmtId="3" fontId="20" fillId="0" borderId="0" xfId="94" applyNumberFormat="1" applyFont="1" applyFill="1" applyAlignment="1">
      <alignment vertical="center"/>
      <protection/>
    </xf>
    <xf numFmtId="1" fontId="6" fillId="0" borderId="33" xfId="94" applyNumberFormat="1" applyFont="1" applyFill="1" applyBorder="1" applyAlignment="1">
      <alignment horizontal="right" vertical="center"/>
      <protection/>
    </xf>
    <xf numFmtId="1" fontId="6" fillId="0" borderId="31" xfId="94" applyNumberFormat="1" applyFont="1" applyFill="1" applyBorder="1" applyAlignment="1">
      <alignment horizontal="right" vertical="center"/>
      <protection/>
    </xf>
    <xf numFmtId="1" fontId="6" fillId="0" borderId="20" xfId="94" applyNumberFormat="1" applyFont="1" applyFill="1" applyBorder="1" applyAlignment="1">
      <alignment horizontal="right" vertical="center"/>
      <protection/>
    </xf>
    <xf numFmtId="1" fontId="6" fillId="0" borderId="29" xfId="94" applyNumberFormat="1" applyFont="1" applyFill="1" applyBorder="1" applyAlignment="1">
      <alignment horizontal="right" vertical="center"/>
      <protection/>
    </xf>
    <xf numFmtId="1" fontId="18" fillId="0" borderId="31" xfId="94" applyNumberFormat="1" applyFont="1" applyFill="1" applyBorder="1" applyAlignment="1">
      <alignment horizontal="right" vertical="center"/>
      <protection/>
    </xf>
    <xf numFmtId="1" fontId="6" fillId="0" borderId="23" xfId="94" applyNumberFormat="1" applyFont="1" applyFill="1" applyBorder="1" applyAlignment="1">
      <alignment horizontal="right" vertical="center"/>
      <protection/>
    </xf>
    <xf numFmtId="1" fontId="6" fillId="0" borderId="27" xfId="94" applyNumberFormat="1" applyFont="1" applyFill="1" applyBorder="1" applyAlignment="1">
      <alignment horizontal="right" vertical="center"/>
      <protection/>
    </xf>
    <xf numFmtId="3" fontId="18" fillId="0" borderId="24" xfId="94" applyNumberFormat="1" applyFont="1" applyFill="1" applyBorder="1" applyAlignment="1">
      <alignment horizontal="center" vertical="center"/>
      <protection/>
    </xf>
    <xf numFmtId="1" fontId="18" fillId="0" borderId="25" xfId="94" applyNumberFormat="1" applyFont="1" applyFill="1" applyBorder="1" applyAlignment="1">
      <alignment horizontal="right" vertical="center"/>
      <protection/>
    </xf>
    <xf numFmtId="1" fontId="6" fillId="0" borderId="25" xfId="94" applyNumberFormat="1" applyFont="1" applyFill="1" applyBorder="1" applyAlignment="1">
      <alignment horizontal="right" vertical="center"/>
      <protection/>
    </xf>
    <xf numFmtId="1" fontId="6" fillId="0" borderId="27" xfId="94" applyNumberFormat="1" applyFont="1" applyFill="1" applyBorder="1" applyAlignment="1">
      <alignment horizontal="right" vertical="center"/>
      <protection/>
    </xf>
    <xf numFmtId="3" fontId="17" fillId="0" borderId="32" xfId="94" applyNumberFormat="1" applyFont="1" applyFill="1" applyBorder="1" applyAlignment="1">
      <alignment horizontal="center" vertical="center"/>
      <protection/>
    </xf>
    <xf numFmtId="1" fontId="6" fillId="0" borderId="19" xfId="94" applyNumberFormat="1" applyFont="1" applyFill="1" applyBorder="1" applyAlignment="1">
      <alignment horizontal="right" vertical="center"/>
      <protection/>
    </xf>
    <xf numFmtId="1" fontId="8" fillId="0" borderId="27" xfId="94" applyNumberFormat="1" applyFont="1" applyFill="1" applyBorder="1" applyAlignment="1">
      <alignment horizontal="right" vertical="center"/>
      <protection/>
    </xf>
    <xf numFmtId="1" fontId="6" fillId="0" borderId="21" xfId="94" applyNumberFormat="1" applyFont="1" applyFill="1" applyBorder="1" applyAlignment="1">
      <alignment horizontal="right" vertical="center"/>
      <protection/>
    </xf>
    <xf numFmtId="3" fontId="10" fillId="0" borderId="29" xfId="94" applyNumberFormat="1" applyFont="1" applyFill="1" applyBorder="1" applyAlignment="1">
      <alignment horizontal="left" vertical="center" wrapText="1" indent="1"/>
      <protection/>
    </xf>
    <xf numFmtId="3" fontId="21" fillId="0" borderId="0" xfId="94" applyNumberFormat="1" applyFont="1" applyFill="1" applyAlignment="1">
      <alignment vertical="center"/>
      <protection/>
    </xf>
    <xf numFmtId="164" fontId="6" fillId="0" borderId="33" xfId="94" applyNumberFormat="1" applyFont="1" applyFill="1" applyBorder="1" applyAlignment="1">
      <alignment horizontal="center" vertical="center"/>
      <protection/>
    </xf>
    <xf numFmtId="1" fontId="18" fillId="0" borderId="33" xfId="94" applyNumberFormat="1" applyFont="1" applyFill="1" applyBorder="1" applyAlignment="1">
      <alignment horizontal="right" vertical="center"/>
      <protection/>
    </xf>
    <xf numFmtId="3" fontId="6" fillId="0" borderId="25" xfId="94" applyNumberFormat="1" applyFont="1" applyFill="1" applyBorder="1" applyAlignment="1">
      <alignment horizontal="center" vertical="center"/>
      <protection/>
    </xf>
    <xf numFmtId="3" fontId="6" fillId="0" borderId="21" xfId="94" applyNumberFormat="1" applyFont="1" applyFill="1" applyBorder="1" applyAlignment="1">
      <alignment horizontal="center" vertical="center"/>
      <protection/>
    </xf>
    <xf numFmtId="3" fontId="6" fillId="0" borderId="23" xfId="94" applyNumberFormat="1" applyFont="1" applyFill="1" applyBorder="1" applyAlignment="1">
      <alignment horizontal="center" vertical="center"/>
      <protection/>
    </xf>
    <xf numFmtId="3" fontId="6" fillId="0" borderId="23" xfId="94" applyNumberFormat="1" applyFont="1" applyFill="1" applyBorder="1" applyAlignment="1">
      <alignment horizontal="center" vertical="center"/>
      <protection/>
    </xf>
    <xf numFmtId="3" fontId="6" fillId="0" borderId="27" xfId="94" applyNumberFormat="1" applyFont="1" applyFill="1" applyBorder="1" applyAlignment="1">
      <alignment horizontal="center" vertical="center"/>
      <protection/>
    </xf>
    <xf numFmtId="3" fontId="6" fillId="0" borderId="27" xfId="94" applyNumberFormat="1" applyFont="1" applyFill="1" applyBorder="1" applyAlignment="1">
      <alignment horizontal="center" vertical="center"/>
      <protection/>
    </xf>
    <xf numFmtId="3" fontId="12" fillId="0" borderId="37" xfId="94" applyNumberFormat="1" applyFont="1" applyFill="1" applyBorder="1" applyAlignment="1">
      <alignment horizontal="right" vertical="center"/>
      <protection/>
    </xf>
    <xf numFmtId="3" fontId="8" fillId="0" borderId="27" xfId="94" applyNumberFormat="1" applyFont="1" applyFill="1" applyBorder="1" applyAlignment="1">
      <alignment horizontal="center" vertical="center"/>
      <protection/>
    </xf>
    <xf numFmtId="1" fontId="8" fillId="0" borderId="27" xfId="94" applyNumberFormat="1" applyFont="1" applyFill="1" applyBorder="1" applyAlignment="1">
      <alignment horizontal="right" vertical="center"/>
      <protection/>
    </xf>
    <xf numFmtId="3" fontId="8" fillId="0" borderId="19" xfId="94" applyNumberFormat="1" applyFont="1" applyFill="1" applyBorder="1" applyAlignment="1">
      <alignment horizontal="center" vertical="center"/>
      <protection/>
    </xf>
    <xf numFmtId="1" fontId="8" fillId="0" borderId="19" xfId="94" applyNumberFormat="1" applyFont="1" applyFill="1" applyBorder="1" applyAlignment="1">
      <alignment horizontal="right" vertical="center"/>
      <protection/>
    </xf>
    <xf numFmtId="1" fontId="6" fillId="0" borderId="31" xfId="94" applyNumberFormat="1" applyFont="1" applyFill="1" applyBorder="1" applyAlignment="1">
      <alignment horizontal="right" vertical="center"/>
      <protection/>
    </xf>
    <xf numFmtId="3" fontId="18" fillId="0" borderId="30" xfId="94" applyNumberFormat="1" applyFont="1" applyFill="1" applyBorder="1" applyAlignment="1">
      <alignment horizontal="left" vertical="center"/>
      <protection/>
    </xf>
    <xf numFmtId="4" fontId="12" fillId="0" borderId="38" xfId="94" applyNumberFormat="1" applyFont="1" applyFill="1" applyBorder="1" applyAlignment="1">
      <alignment horizontal="center" vertical="center"/>
      <protection/>
    </xf>
    <xf numFmtId="4" fontId="12" fillId="0" borderId="39" xfId="94" applyNumberFormat="1" applyFont="1" applyFill="1" applyBorder="1" applyAlignment="1">
      <alignment horizontal="center" vertical="center"/>
      <protection/>
    </xf>
    <xf numFmtId="4" fontId="12" fillId="0" borderId="40" xfId="94" applyNumberFormat="1" applyFont="1" applyFill="1" applyBorder="1" applyAlignment="1">
      <alignment horizontal="right" vertical="center"/>
      <protection/>
    </xf>
    <xf numFmtId="1" fontId="6" fillId="0" borderId="23" xfId="94" applyNumberFormat="1" applyFont="1" applyFill="1" applyBorder="1" applyAlignment="1">
      <alignment horizontal="right" vertical="center"/>
      <protection/>
    </xf>
    <xf numFmtId="3" fontId="6" fillId="0" borderId="24" xfId="94" applyNumberFormat="1" applyFont="1" applyFill="1" applyBorder="1" applyAlignment="1">
      <alignment horizontal="left" vertical="center"/>
      <protection/>
    </xf>
    <xf numFmtId="3" fontId="8" fillId="0" borderId="24" xfId="94" applyNumberFormat="1" applyFont="1" applyFill="1" applyBorder="1" applyAlignment="1">
      <alignment horizontal="left" vertical="center"/>
      <protection/>
    </xf>
    <xf numFmtId="1" fontId="8" fillId="0" borderId="25" xfId="94" applyNumberFormat="1" applyFont="1" applyFill="1" applyBorder="1" applyAlignment="1">
      <alignment horizontal="right" vertical="center"/>
      <protection/>
    </xf>
    <xf numFmtId="165" fontId="6" fillId="0" borderId="31" xfId="94" applyNumberFormat="1" applyFont="1" applyFill="1" applyBorder="1" applyAlignment="1">
      <alignment horizontal="center" vertical="center"/>
      <protection/>
    </xf>
    <xf numFmtId="165" fontId="18" fillId="0" borderId="31" xfId="94" applyNumberFormat="1" applyFont="1" applyFill="1" applyBorder="1" applyAlignment="1">
      <alignment horizontal="center" vertical="center"/>
      <protection/>
    </xf>
    <xf numFmtId="165" fontId="8" fillId="0" borderId="25" xfId="94" applyNumberFormat="1" applyFont="1" applyFill="1" applyBorder="1" applyAlignment="1">
      <alignment horizontal="center" vertical="center"/>
      <protection/>
    </xf>
    <xf numFmtId="165" fontId="6" fillId="0" borderId="25" xfId="94" applyNumberFormat="1" applyFont="1" applyFill="1" applyBorder="1" applyAlignment="1">
      <alignment horizontal="center" vertical="center"/>
      <protection/>
    </xf>
    <xf numFmtId="1" fontId="6" fillId="0" borderId="29" xfId="94" applyNumberFormat="1" applyFont="1" applyFill="1" applyBorder="1" applyAlignment="1">
      <alignment horizontal="right" vertical="center"/>
      <protection/>
    </xf>
    <xf numFmtId="3" fontId="6" fillId="0" borderId="32" xfId="94" applyNumberFormat="1" applyFont="1" applyFill="1" applyBorder="1" applyAlignment="1">
      <alignment horizontal="center" vertical="center"/>
      <protection/>
    </xf>
    <xf numFmtId="1" fontId="6" fillId="0" borderId="33" xfId="94" applyNumberFormat="1" applyFont="1" applyFill="1" applyBorder="1" applyAlignment="1">
      <alignment horizontal="right" vertical="center"/>
      <protection/>
    </xf>
    <xf numFmtId="3" fontId="23" fillId="0" borderId="0" xfId="94" applyNumberFormat="1" applyFont="1" applyFill="1" applyAlignment="1">
      <alignment vertical="center"/>
      <protection/>
    </xf>
    <xf numFmtId="3" fontId="24" fillId="0" borderId="0" xfId="94" applyNumberFormat="1" applyFont="1" applyFill="1" applyBorder="1" applyAlignment="1">
      <alignment vertical="center"/>
      <protection/>
    </xf>
    <xf numFmtId="4" fontId="24" fillId="0" borderId="0" xfId="94" applyNumberFormat="1" applyFont="1" applyFill="1" applyBorder="1" applyAlignment="1">
      <alignment horizontal="right" vertical="center"/>
      <protection/>
    </xf>
    <xf numFmtId="4" fontId="24" fillId="0" borderId="37" xfId="94" applyNumberFormat="1" applyFont="1" applyFill="1" applyBorder="1" applyAlignment="1">
      <alignment horizontal="right" vertical="center"/>
      <protection/>
    </xf>
    <xf numFmtId="4" fontId="24" fillId="0" borderId="41" xfId="94" applyNumberFormat="1" applyFont="1" applyFill="1" applyBorder="1" applyAlignment="1">
      <alignment horizontal="right" vertical="center"/>
      <protection/>
    </xf>
    <xf numFmtId="4" fontId="24" fillId="0" borderId="42" xfId="94" applyNumberFormat="1" applyFont="1" applyFill="1" applyBorder="1" applyAlignment="1">
      <alignment horizontal="right" vertical="center"/>
      <protection/>
    </xf>
    <xf numFmtId="4" fontId="24" fillId="0" borderId="38" xfId="94" applyNumberFormat="1" applyFont="1" applyFill="1" applyBorder="1" applyAlignment="1">
      <alignment horizontal="right" vertical="center"/>
      <protection/>
    </xf>
    <xf numFmtId="4" fontId="24" fillId="0" borderId="43" xfId="94" applyNumberFormat="1" applyFont="1" applyFill="1" applyBorder="1" applyAlignment="1">
      <alignment horizontal="right" vertical="center"/>
      <protection/>
    </xf>
    <xf numFmtId="4" fontId="24" fillId="0" borderId="44" xfId="94" applyNumberFormat="1" applyFont="1" applyFill="1" applyBorder="1" applyAlignment="1">
      <alignment horizontal="right" vertical="center"/>
      <protection/>
    </xf>
    <xf numFmtId="4" fontId="24" fillId="0" borderId="39" xfId="94" applyNumberFormat="1" applyFont="1" applyFill="1" applyBorder="1" applyAlignment="1">
      <alignment horizontal="right" vertical="center"/>
      <protection/>
    </xf>
    <xf numFmtId="4" fontId="25" fillId="0" borderId="45" xfId="94" applyNumberFormat="1" applyFont="1" applyFill="1" applyBorder="1" applyAlignment="1">
      <alignment horizontal="right" vertical="center"/>
      <protection/>
    </xf>
    <xf numFmtId="4" fontId="23" fillId="0" borderId="45" xfId="94" applyNumberFormat="1" applyFont="1" applyFill="1" applyBorder="1" applyAlignment="1">
      <alignment horizontal="right" vertical="center"/>
      <protection/>
    </xf>
    <xf numFmtId="4" fontId="24" fillId="0" borderId="46" xfId="94" applyNumberFormat="1" applyFont="1" applyFill="1" applyBorder="1" applyAlignment="1">
      <alignment horizontal="right" vertical="center"/>
      <protection/>
    </xf>
    <xf numFmtId="4" fontId="24" fillId="0" borderId="45" xfId="94" applyNumberFormat="1" applyFont="1" applyFill="1" applyBorder="1" applyAlignment="1">
      <alignment horizontal="right" vertical="center"/>
      <protection/>
    </xf>
    <xf numFmtId="4" fontId="24" fillId="0" borderId="0" xfId="94" applyNumberFormat="1" applyFont="1" applyFill="1" applyAlignment="1">
      <alignment horizontal="right" vertical="center"/>
      <protection/>
    </xf>
    <xf numFmtId="2" fontId="23" fillId="0" borderId="0" xfId="94" applyNumberFormat="1" applyFont="1" applyFill="1" applyAlignment="1">
      <alignment vertical="center"/>
      <protection/>
    </xf>
    <xf numFmtId="3" fontId="24" fillId="0" borderId="0" xfId="94" applyNumberFormat="1" applyFont="1" applyFill="1" applyAlignment="1">
      <alignment vertical="center"/>
      <protection/>
    </xf>
    <xf numFmtId="2" fontId="24" fillId="0" borderId="0" xfId="94" applyNumberFormat="1" applyFont="1" applyFill="1" applyAlignment="1">
      <alignment horizontal="right" vertical="center"/>
      <protection/>
    </xf>
    <xf numFmtId="3" fontId="10" fillId="0" borderId="25" xfId="94" applyNumberFormat="1" applyFont="1" applyFill="1" applyBorder="1" applyAlignment="1">
      <alignment horizontal="right" vertical="center"/>
      <protection/>
    </xf>
    <xf numFmtId="3" fontId="10" fillId="0" borderId="25" xfId="94" applyNumberFormat="1" applyFont="1" applyFill="1" applyBorder="1" applyAlignment="1">
      <alignment vertical="center"/>
      <protection/>
    </xf>
    <xf numFmtId="3" fontId="12" fillId="0" borderId="31" xfId="94" applyNumberFormat="1" applyFont="1" applyFill="1" applyBorder="1" applyAlignment="1">
      <alignment horizontal="right" vertical="center"/>
      <protection/>
    </xf>
    <xf numFmtId="4" fontId="12" fillId="0" borderId="41" xfId="94" applyNumberFormat="1" applyFont="1" applyFill="1" applyBorder="1" applyAlignment="1">
      <alignment horizontal="right" vertical="center"/>
      <protection/>
    </xf>
    <xf numFmtId="3" fontId="10" fillId="0" borderId="31" xfId="94" applyNumberFormat="1" applyFont="1" applyFill="1" applyBorder="1" applyAlignment="1">
      <alignment horizontal="right" vertical="center"/>
      <protection/>
    </xf>
    <xf numFmtId="3" fontId="12" fillId="0" borderId="31" xfId="94" applyNumberFormat="1" applyFont="1" applyFill="1" applyBorder="1" applyAlignment="1">
      <alignment vertical="center"/>
      <protection/>
    </xf>
    <xf numFmtId="4" fontId="12" fillId="0" borderId="43" xfId="94" applyNumberFormat="1" applyFont="1" applyFill="1" applyBorder="1" applyAlignment="1">
      <alignment horizontal="right" vertical="center"/>
      <protection/>
    </xf>
    <xf numFmtId="3" fontId="10" fillId="0" borderId="33" xfId="94" applyNumberFormat="1" applyFont="1" applyFill="1" applyBorder="1" applyAlignment="1">
      <alignment horizontal="right" vertical="center"/>
      <protection/>
    </xf>
    <xf numFmtId="3" fontId="22" fillId="0" borderId="31" xfId="94" applyNumberFormat="1" applyFont="1" applyFill="1" applyBorder="1" applyAlignment="1">
      <alignment horizontal="right" vertical="center"/>
      <protection/>
    </xf>
    <xf numFmtId="4" fontId="22" fillId="0" borderId="43" xfId="94" applyNumberFormat="1" applyFont="1" applyFill="1" applyBorder="1" applyAlignment="1">
      <alignment horizontal="right" vertical="center"/>
      <protection/>
    </xf>
    <xf numFmtId="3" fontId="12" fillId="0" borderId="19" xfId="94" applyNumberFormat="1" applyFont="1" applyFill="1" applyBorder="1" applyAlignment="1">
      <alignment horizontal="right" vertical="center"/>
      <protection/>
    </xf>
    <xf numFmtId="4" fontId="12" fillId="0" borderId="38" xfId="94" applyNumberFormat="1" applyFont="1" applyFill="1" applyBorder="1" applyAlignment="1">
      <alignment horizontal="right" vertical="center"/>
      <protection/>
    </xf>
    <xf numFmtId="3" fontId="12" fillId="0" borderId="33" xfId="94" applyNumberFormat="1" applyFont="1" applyFill="1" applyBorder="1" applyAlignment="1">
      <alignment horizontal="right" vertical="center"/>
      <protection/>
    </xf>
    <xf numFmtId="3" fontId="12" fillId="0" borderId="33" xfId="94" applyNumberFormat="1" applyFont="1" applyFill="1" applyBorder="1" applyAlignment="1">
      <alignment vertical="center"/>
      <protection/>
    </xf>
    <xf numFmtId="3" fontId="12" fillId="0" borderId="20" xfId="94" applyNumberFormat="1" applyFont="1" applyFill="1" applyBorder="1" applyAlignment="1">
      <alignment horizontal="right" vertical="center"/>
      <protection/>
    </xf>
    <xf numFmtId="3" fontId="12" fillId="0" borderId="27" xfId="94" applyNumberFormat="1" applyFont="1" applyFill="1" applyBorder="1" applyAlignment="1">
      <alignment horizontal="right" vertical="center"/>
      <protection/>
    </xf>
    <xf numFmtId="4" fontId="12" fillId="0" borderId="42" xfId="94" applyNumberFormat="1" applyFont="1" applyFill="1" applyBorder="1" applyAlignment="1">
      <alignment horizontal="right" vertical="center"/>
      <protection/>
    </xf>
    <xf numFmtId="4" fontId="12" fillId="0" borderId="45" xfId="94" applyNumberFormat="1" applyFont="1" applyFill="1" applyBorder="1" applyAlignment="1">
      <alignment horizontal="right" vertical="center"/>
      <protection/>
    </xf>
    <xf numFmtId="3" fontId="22" fillId="0" borderId="25" xfId="94" applyNumberFormat="1" applyFont="1" applyFill="1" applyBorder="1" applyAlignment="1">
      <alignment vertical="center"/>
      <protection/>
    </xf>
    <xf numFmtId="4" fontId="22" fillId="0" borderId="41" xfId="94" applyNumberFormat="1" applyFont="1" applyFill="1" applyBorder="1" applyAlignment="1">
      <alignment horizontal="right" vertical="center"/>
      <protection/>
    </xf>
    <xf numFmtId="3" fontId="12" fillId="0" borderId="23" xfId="94" applyNumberFormat="1" applyFont="1" applyFill="1" applyBorder="1" applyAlignment="1">
      <alignment horizontal="right" vertical="center"/>
      <protection/>
    </xf>
    <xf numFmtId="3" fontId="10" fillId="0" borderId="29" xfId="94" applyNumberFormat="1" applyFont="1" applyFill="1" applyBorder="1" applyAlignment="1">
      <alignment vertical="center"/>
      <protection/>
    </xf>
    <xf numFmtId="3" fontId="10" fillId="0" borderId="29" xfId="94" applyNumberFormat="1" applyFont="1" applyFill="1" applyBorder="1" applyAlignment="1">
      <alignment horizontal="right" vertical="center"/>
      <protection/>
    </xf>
    <xf numFmtId="3" fontId="12" fillId="0" borderId="29" xfId="94" applyNumberFormat="1" applyFont="1" applyFill="1" applyBorder="1" applyAlignment="1">
      <alignment horizontal="right" vertical="center"/>
      <protection/>
    </xf>
    <xf numFmtId="3" fontId="12" fillId="0" borderId="29" xfId="94" applyNumberFormat="1" applyFont="1" applyFill="1" applyBorder="1" applyAlignment="1">
      <alignment vertical="center"/>
      <protection/>
    </xf>
    <xf numFmtId="3" fontId="12" fillId="0" borderId="25" xfId="94" applyNumberFormat="1" applyFont="1" applyFill="1" applyBorder="1" applyAlignment="1">
      <alignment horizontal="right" vertical="center"/>
      <protection/>
    </xf>
    <xf numFmtId="4" fontId="12" fillId="0" borderId="44" xfId="94" applyNumberFormat="1" applyFont="1" applyFill="1" applyBorder="1" applyAlignment="1">
      <alignment horizontal="right" vertical="center"/>
      <protection/>
    </xf>
    <xf numFmtId="4" fontId="12" fillId="0" borderId="46" xfId="94" applyNumberFormat="1" applyFont="1" applyFill="1" applyBorder="1" applyAlignment="1">
      <alignment horizontal="right" vertical="center"/>
      <protection/>
    </xf>
    <xf numFmtId="3" fontId="22" fillId="0" borderId="23" xfId="94" applyNumberFormat="1" applyFont="1" applyFill="1" applyBorder="1" applyAlignment="1">
      <alignment horizontal="right" vertical="center"/>
      <protection/>
    </xf>
    <xf numFmtId="4" fontId="19" fillId="0" borderId="44" xfId="94" applyNumberFormat="1" applyFont="1" applyFill="1" applyBorder="1" applyAlignment="1">
      <alignment horizontal="right" vertical="center"/>
      <protection/>
    </xf>
    <xf numFmtId="4" fontId="19" fillId="0" borderId="43" xfId="94" applyNumberFormat="1" applyFont="1" applyFill="1" applyBorder="1" applyAlignment="1">
      <alignment horizontal="right" vertical="center"/>
      <protection/>
    </xf>
    <xf numFmtId="3" fontId="22" fillId="0" borderId="20" xfId="94" applyNumberFormat="1" applyFont="1" applyFill="1" applyBorder="1" applyAlignment="1">
      <alignment horizontal="right" vertical="center"/>
      <protection/>
    </xf>
    <xf numFmtId="4" fontId="19" fillId="0" borderId="39" xfId="94" applyNumberFormat="1" applyFont="1" applyFill="1" applyBorder="1" applyAlignment="1">
      <alignment horizontal="right" vertical="center"/>
      <protection/>
    </xf>
    <xf numFmtId="3" fontId="22" fillId="0" borderId="31" xfId="94" applyNumberFormat="1" applyFont="1" applyFill="1" applyBorder="1" applyAlignment="1">
      <alignment vertical="center"/>
      <protection/>
    </xf>
    <xf numFmtId="4" fontId="12" fillId="0" borderId="39" xfId="94" applyNumberFormat="1" applyFont="1" applyFill="1" applyBorder="1" applyAlignment="1">
      <alignment horizontal="right" vertical="center"/>
      <protection/>
    </xf>
    <xf numFmtId="3" fontId="22" fillId="0" borderId="20" xfId="94" applyNumberFormat="1" applyFont="1" applyFill="1" applyBorder="1" applyAlignment="1">
      <alignment vertical="center"/>
      <protection/>
    </xf>
    <xf numFmtId="4" fontId="19" fillId="0" borderId="40" xfId="94" applyNumberFormat="1" applyFont="1" applyFill="1" applyBorder="1" applyAlignment="1">
      <alignment horizontal="right" vertical="center"/>
      <protection/>
    </xf>
    <xf numFmtId="3" fontId="22" fillId="0" borderId="29" xfId="94" applyNumberFormat="1" applyFont="1" applyFill="1" applyBorder="1" applyAlignment="1">
      <alignment horizontal="right" vertical="center"/>
      <protection/>
    </xf>
    <xf numFmtId="4" fontId="10" fillId="0" borderId="46" xfId="94" applyNumberFormat="1" applyFont="1" applyFill="1" applyBorder="1" applyAlignment="1">
      <alignment horizontal="right" vertical="center"/>
      <protection/>
    </xf>
    <xf numFmtId="3" fontId="22" fillId="0" borderId="33" xfId="94" applyNumberFormat="1" applyFont="1" applyFill="1" applyBorder="1" applyAlignment="1">
      <alignment vertical="center"/>
      <protection/>
    </xf>
    <xf numFmtId="2" fontId="12" fillId="0" borderId="42" xfId="94" applyNumberFormat="1" applyFont="1" applyFill="1" applyBorder="1" applyAlignment="1">
      <alignment horizontal="right" vertical="center"/>
      <protection/>
    </xf>
    <xf numFmtId="3" fontId="22" fillId="0" borderId="23" xfId="94" applyNumberFormat="1" applyFont="1" applyFill="1" applyBorder="1" applyAlignment="1">
      <alignment vertical="center"/>
      <protection/>
    </xf>
    <xf numFmtId="3" fontId="22" fillId="0" borderId="29" xfId="94" applyNumberFormat="1" applyFont="1" applyFill="1" applyBorder="1" applyAlignment="1">
      <alignment vertical="center"/>
      <protection/>
    </xf>
    <xf numFmtId="1" fontId="7" fillId="0" borderId="0" xfId="94" applyNumberFormat="1" applyFont="1" applyFill="1" applyAlignment="1">
      <alignment horizontal="right" vertical="center"/>
      <protection/>
    </xf>
    <xf numFmtId="4" fontId="12" fillId="0" borderId="0" xfId="94" applyNumberFormat="1" applyFont="1" applyFill="1" applyAlignment="1">
      <alignment horizontal="right" vertical="center"/>
      <protection/>
    </xf>
    <xf numFmtId="2" fontId="22" fillId="0" borderId="39" xfId="94" applyNumberFormat="1" applyFont="1" applyFill="1" applyBorder="1" applyAlignment="1">
      <alignment horizontal="right" vertical="center"/>
      <protection/>
    </xf>
    <xf numFmtId="2" fontId="19" fillId="0" borderId="39" xfId="94" applyNumberFormat="1" applyFont="1" applyFill="1" applyBorder="1" applyAlignment="1">
      <alignment vertical="center"/>
      <protection/>
    </xf>
    <xf numFmtId="3" fontId="12" fillId="0" borderId="0" xfId="94" applyNumberFormat="1" applyFont="1" applyFill="1" applyAlignment="1">
      <alignment vertical="center"/>
      <protection/>
    </xf>
    <xf numFmtId="3" fontId="13" fillId="0" borderId="0" xfId="94" applyNumberFormat="1" applyFont="1" applyFill="1" applyAlignment="1">
      <alignment vertical="center"/>
      <protection/>
    </xf>
    <xf numFmtId="2" fontId="22" fillId="0" borderId="46" xfId="94" applyNumberFormat="1" applyFont="1" applyFill="1" applyBorder="1" applyAlignment="1">
      <alignment horizontal="right" vertical="center"/>
      <protection/>
    </xf>
    <xf numFmtId="2" fontId="19" fillId="0" borderId="46" xfId="94" applyNumberFormat="1" applyFont="1" applyFill="1" applyBorder="1" applyAlignment="1">
      <alignment vertical="center"/>
      <protection/>
    </xf>
    <xf numFmtId="4" fontId="10" fillId="0" borderId="45" xfId="94" applyNumberFormat="1" applyFont="1" applyFill="1" applyBorder="1" applyAlignment="1">
      <alignment horizontal="right" vertical="center"/>
      <protection/>
    </xf>
    <xf numFmtId="3" fontId="61" fillId="0" borderId="0" xfId="94" applyNumberFormat="1" applyFont="1" applyFill="1" applyAlignment="1">
      <alignment vertical="center"/>
      <protection/>
    </xf>
    <xf numFmtId="3" fontId="61" fillId="0" borderId="31" xfId="94" applyNumberFormat="1" applyFont="1" applyFill="1" applyBorder="1" applyAlignment="1">
      <alignment vertical="center"/>
      <protection/>
    </xf>
    <xf numFmtId="3" fontId="61" fillId="0" borderId="33" xfId="94" applyNumberFormat="1" applyFont="1" applyFill="1" applyBorder="1" applyAlignment="1">
      <alignment vertical="center"/>
      <protection/>
    </xf>
    <xf numFmtId="3" fontId="61" fillId="0" borderId="31" xfId="94" applyNumberFormat="1" applyFont="1" applyFill="1" applyBorder="1" applyAlignment="1">
      <alignment horizontal="right" vertical="center"/>
      <protection/>
    </xf>
    <xf numFmtId="3" fontId="61" fillId="0" borderId="33" xfId="94" applyNumberFormat="1" applyFont="1" applyFill="1" applyBorder="1" applyAlignment="1">
      <alignment horizontal="right" vertical="center"/>
      <protection/>
    </xf>
    <xf numFmtId="3" fontId="19" fillId="0" borderId="25" xfId="94" applyNumberFormat="1" applyFont="1" applyFill="1" applyBorder="1" applyAlignment="1">
      <alignment horizontal="left" vertical="center" indent="2"/>
      <protection/>
    </xf>
    <xf numFmtId="3" fontId="19" fillId="0" borderId="25" xfId="94" applyNumberFormat="1" applyFont="1" applyFill="1" applyBorder="1" applyAlignment="1">
      <alignment horizontal="right" vertical="center"/>
      <protection/>
    </xf>
    <xf numFmtId="3" fontId="19" fillId="0" borderId="25" xfId="94" applyNumberFormat="1" applyFont="1" applyFill="1" applyBorder="1" applyAlignment="1">
      <alignment vertical="center"/>
      <protection/>
    </xf>
    <xf numFmtId="3" fontId="10" fillId="0" borderId="29" xfId="94" applyNumberFormat="1" applyFont="1" applyFill="1" applyBorder="1" applyAlignment="1">
      <alignment horizontal="left" vertical="center" indent="1"/>
      <protection/>
    </xf>
    <xf numFmtId="3" fontId="12" fillId="0" borderId="27" xfId="94" applyNumberFormat="1" applyFont="1" applyFill="1" applyBorder="1" applyAlignment="1">
      <alignment horizontal="left" vertical="center" wrapText="1"/>
      <protection/>
    </xf>
    <xf numFmtId="3" fontId="10" fillId="0" borderId="33" xfId="94" applyNumberFormat="1" applyFont="1" applyFill="1" applyBorder="1" applyAlignment="1">
      <alignment horizontal="left" vertical="center" wrapText="1" indent="1"/>
      <protection/>
    </xf>
    <xf numFmtId="3" fontId="19" fillId="0" borderId="33" xfId="94" applyNumberFormat="1" applyFont="1" applyFill="1" applyBorder="1" applyAlignment="1">
      <alignment horizontal="right" vertical="center"/>
      <protection/>
    </xf>
    <xf numFmtId="3" fontId="19" fillId="0" borderId="31" xfId="94" applyNumberFormat="1" applyFont="1" applyFill="1" applyBorder="1" applyAlignment="1">
      <alignment horizontal="left" vertical="center" indent="2"/>
      <protection/>
    </xf>
    <xf numFmtId="3" fontId="10" fillId="0" borderId="20" xfId="94" applyNumberFormat="1" applyFont="1" applyFill="1" applyBorder="1" applyAlignment="1">
      <alignment horizontal="right" vertical="center"/>
      <protection/>
    </xf>
    <xf numFmtId="3" fontId="10" fillId="0" borderId="20" xfId="94" applyNumberFormat="1" applyFont="1" applyFill="1" applyBorder="1" applyAlignment="1">
      <alignment vertical="center"/>
      <protection/>
    </xf>
    <xf numFmtId="3" fontId="10" fillId="0" borderId="20" xfId="94" applyNumberFormat="1" applyFont="1" applyFill="1" applyBorder="1" applyAlignment="1">
      <alignment horizontal="left" vertical="center" wrapText="1" indent="1"/>
      <protection/>
    </xf>
    <xf numFmtId="3" fontId="19" fillId="0" borderId="23" xfId="94" applyNumberFormat="1" applyFont="1" applyFill="1" applyBorder="1" applyAlignment="1">
      <alignment horizontal="right" vertical="center"/>
      <protection/>
    </xf>
    <xf numFmtId="3" fontId="19" fillId="0" borderId="31" xfId="94" applyNumberFormat="1" applyFont="1" applyFill="1" applyBorder="1" applyAlignment="1">
      <alignment horizontal="right" vertical="center"/>
      <protection/>
    </xf>
    <xf numFmtId="3" fontId="19" fillId="0" borderId="20" xfId="94" applyNumberFormat="1" applyFont="1" applyFill="1" applyBorder="1" applyAlignment="1">
      <alignment horizontal="right" vertical="center"/>
      <protection/>
    </xf>
    <xf numFmtId="3" fontId="6" fillId="0" borderId="31" xfId="94" applyNumberFormat="1" applyFont="1" applyFill="1" applyBorder="1" applyAlignment="1">
      <alignment horizontal="left" vertical="center" indent="1"/>
      <protection/>
    </xf>
    <xf numFmtId="3" fontId="8" fillId="0" borderId="19" xfId="94" applyNumberFormat="1" applyFont="1" applyFill="1" applyBorder="1" applyAlignment="1">
      <alignment horizontal="left" vertical="center"/>
      <protection/>
    </xf>
    <xf numFmtId="3" fontId="18" fillId="0" borderId="31" xfId="94" applyNumberFormat="1" applyFont="1" applyFill="1" applyBorder="1" applyAlignment="1">
      <alignment horizontal="left" vertical="center" indent="2"/>
      <protection/>
    </xf>
    <xf numFmtId="3" fontId="6" fillId="0" borderId="25" xfId="94" applyNumberFormat="1" applyFont="1" applyFill="1" applyBorder="1" applyAlignment="1">
      <alignment horizontal="left" vertical="center" indent="1"/>
      <protection/>
    </xf>
    <xf numFmtId="3" fontId="12" fillId="0" borderId="31" xfId="94" applyNumberFormat="1" applyFont="1" applyFill="1" applyBorder="1" applyAlignment="1">
      <alignment horizontal="left" vertical="center" indent="1"/>
      <protection/>
    </xf>
    <xf numFmtId="3" fontId="12" fillId="0" borderId="27" xfId="94" applyNumberFormat="1" applyFont="1" applyFill="1" applyBorder="1" applyAlignment="1">
      <alignment horizontal="left" vertical="center"/>
      <protection/>
    </xf>
    <xf numFmtId="3" fontId="10" fillId="0" borderId="21" xfId="94" applyNumberFormat="1" applyFont="1" applyFill="1" applyBorder="1" applyAlignment="1">
      <alignment horizontal="right" vertical="center"/>
      <protection/>
    </xf>
    <xf numFmtId="3" fontId="12" fillId="0" borderId="21" xfId="94" applyNumberFormat="1" applyFont="1" applyFill="1" applyBorder="1" applyAlignment="1">
      <alignment horizontal="right" vertical="center"/>
      <protection/>
    </xf>
    <xf numFmtId="3" fontId="12" fillId="0" borderId="27" xfId="94" applyNumberFormat="1" applyFont="1" applyFill="1" applyBorder="1" applyAlignment="1">
      <alignment horizontal="left" vertical="center" indent="1"/>
      <protection/>
    </xf>
    <xf numFmtId="3" fontId="12" fillId="0" borderId="33" xfId="94" applyNumberFormat="1" applyFont="1" applyFill="1" applyBorder="1" applyAlignment="1">
      <alignment horizontal="left" vertical="center" indent="1"/>
      <protection/>
    </xf>
    <xf numFmtId="3" fontId="12" fillId="0" borderId="19" xfId="94" applyNumberFormat="1" applyFont="1" applyFill="1" applyBorder="1" applyAlignment="1">
      <alignment horizontal="left" vertical="center"/>
      <protection/>
    </xf>
    <xf numFmtId="3" fontId="12" fillId="0" borderId="20" xfId="94" applyNumberFormat="1" applyFont="1" applyFill="1" applyBorder="1" applyAlignment="1">
      <alignment horizontal="left" vertical="center"/>
      <protection/>
    </xf>
    <xf numFmtId="3" fontId="19" fillId="0" borderId="31" xfId="94" applyNumberFormat="1" applyFont="1" applyFill="1" applyBorder="1" applyAlignment="1">
      <alignment vertical="center"/>
      <protection/>
    </xf>
    <xf numFmtId="3" fontId="10" fillId="0" borderId="33" xfId="94" applyNumberFormat="1" applyFont="1" applyFill="1" applyBorder="1" applyAlignment="1">
      <alignment horizontal="left" vertical="center" indent="1" shrinkToFit="1"/>
      <protection/>
    </xf>
    <xf numFmtId="3" fontId="19" fillId="0" borderId="33" xfId="94" applyNumberFormat="1" applyFont="1" applyFill="1" applyBorder="1" applyAlignment="1">
      <alignment vertical="center"/>
      <protection/>
    </xf>
    <xf numFmtId="3" fontId="12" fillId="0" borderId="19" xfId="94" applyNumberFormat="1" applyFont="1" applyFill="1" applyBorder="1" applyAlignment="1">
      <alignment vertical="center" shrinkToFit="1"/>
      <protection/>
    </xf>
    <xf numFmtId="3" fontId="8" fillId="0" borderId="25" xfId="94" applyNumberFormat="1" applyFont="1" applyFill="1" applyBorder="1" applyAlignment="1">
      <alignment horizontal="left" vertical="center"/>
      <protection/>
    </xf>
    <xf numFmtId="3" fontId="10" fillId="0" borderId="47" xfId="94" applyNumberFormat="1" applyFont="1" applyFill="1" applyBorder="1" applyAlignment="1">
      <alignment horizontal="left" vertical="center" wrapText="1" indent="1"/>
      <protection/>
    </xf>
    <xf numFmtId="3" fontId="10" fillId="0" borderId="0" xfId="94" applyNumberFormat="1" applyFont="1" applyFill="1" applyBorder="1" applyAlignment="1">
      <alignment vertical="center"/>
      <protection/>
    </xf>
    <xf numFmtId="3" fontId="19" fillId="0" borderId="23" xfId="94" applyNumberFormat="1" applyFont="1" applyFill="1" applyBorder="1" applyAlignment="1">
      <alignment vertical="center"/>
      <protection/>
    </xf>
    <xf numFmtId="3" fontId="19" fillId="0" borderId="20" xfId="94" applyNumberFormat="1" applyFont="1" applyFill="1" applyBorder="1" applyAlignment="1">
      <alignment vertical="center"/>
      <protection/>
    </xf>
    <xf numFmtId="3" fontId="19" fillId="0" borderId="29" xfId="94" applyNumberFormat="1" applyFont="1" applyFill="1" applyBorder="1" applyAlignment="1">
      <alignment vertical="center"/>
      <protection/>
    </xf>
    <xf numFmtId="3" fontId="10" fillId="0" borderId="0" xfId="94" applyNumberFormat="1" applyFont="1" applyFill="1" applyAlignment="1">
      <alignment vertical="center"/>
      <protection/>
    </xf>
    <xf numFmtId="3" fontId="11" fillId="0" borderId="0" xfId="94" applyNumberFormat="1" applyFont="1" applyFill="1" applyAlignment="1">
      <alignment vertical="center"/>
      <protection/>
    </xf>
    <xf numFmtId="3" fontId="19" fillId="0" borderId="33" xfId="94" applyNumberFormat="1" applyFont="1" applyFill="1" applyBorder="1" applyAlignment="1">
      <alignment horizontal="left" vertical="center" indent="2"/>
      <protection/>
    </xf>
    <xf numFmtId="3" fontId="12" fillId="0" borderId="0" xfId="94" applyNumberFormat="1" applyFont="1" applyFill="1" applyBorder="1" applyAlignment="1">
      <alignment vertical="center"/>
      <protection/>
    </xf>
    <xf numFmtId="3" fontId="22" fillId="0" borderId="33" xfId="94" applyNumberFormat="1" applyFont="1" applyFill="1" applyBorder="1" applyAlignment="1">
      <alignment horizontal="right" vertical="center"/>
      <protection/>
    </xf>
    <xf numFmtId="3" fontId="10" fillId="0" borderId="31" xfId="94" applyNumberFormat="1" applyFont="1" applyFill="1" applyBorder="1" applyAlignment="1">
      <alignment vertical="center" wrapText="1"/>
      <protection/>
    </xf>
    <xf numFmtId="3" fontId="10" fillId="0" borderId="47" xfId="94" applyNumberFormat="1" applyFont="1" applyFill="1" applyBorder="1" applyAlignment="1">
      <alignment vertical="center" wrapText="1"/>
      <protection/>
    </xf>
    <xf numFmtId="2" fontId="22" fillId="0" borderId="23" xfId="94" applyNumberFormat="1" applyFont="1" applyFill="1" applyBorder="1" applyAlignment="1">
      <alignment horizontal="right" vertical="center"/>
      <protection/>
    </xf>
    <xf numFmtId="4" fontId="10" fillId="0" borderId="0" xfId="94" applyNumberFormat="1" applyFont="1" applyFill="1" applyAlignment="1">
      <alignment vertical="center"/>
      <protection/>
    </xf>
    <xf numFmtId="3" fontId="10" fillId="0" borderId="48" xfId="94" applyNumberFormat="1" applyFont="1" applyFill="1" applyBorder="1" applyAlignment="1">
      <alignment horizontal="left" vertical="center" indent="1"/>
      <protection/>
    </xf>
    <xf numFmtId="1" fontId="6" fillId="0" borderId="29" xfId="94" applyNumberFormat="1" applyFont="1" applyFill="1" applyBorder="1" applyAlignment="1">
      <alignment horizontal="center" vertical="center"/>
      <protection/>
    </xf>
    <xf numFmtId="3" fontId="10" fillId="0" borderId="29" xfId="94" applyNumberFormat="1" applyFont="1" applyFill="1" applyBorder="1" applyAlignment="1">
      <alignment horizontal="left" vertical="center" indent="1" shrinkToFit="1"/>
      <protection/>
    </xf>
    <xf numFmtId="3" fontId="61" fillId="0" borderId="29" xfId="94" applyNumberFormat="1" applyFont="1" applyFill="1" applyBorder="1" applyAlignment="1">
      <alignment horizontal="right" vertical="center"/>
      <protection/>
    </xf>
    <xf numFmtId="3" fontId="61" fillId="0" borderId="29" xfId="94" applyNumberFormat="1" applyFont="1" applyFill="1" applyBorder="1" applyAlignment="1">
      <alignment vertical="center"/>
      <protection/>
    </xf>
    <xf numFmtId="164" fontId="6" fillId="0" borderId="29" xfId="94" applyNumberFormat="1" applyFont="1" applyFill="1" applyBorder="1" applyAlignment="1" quotePrefix="1">
      <alignment horizontal="center" vertical="center"/>
      <protection/>
    </xf>
    <xf numFmtId="3" fontId="6" fillId="0" borderId="25" xfId="94" applyNumberFormat="1" applyFont="1" applyFill="1" applyBorder="1" applyAlignment="1" quotePrefix="1">
      <alignment horizontal="left" vertical="center" wrapText="1" indent="1"/>
      <protection/>
    </xf>
    <xf numFmtId="3" fontId="10" fillId="0" borderId="20" xfId="94" applyNumberFormat="1" applyFont="1" applyFill="1" applyBorder="1" applyAlignment="1">
      <alignment vertical="center" wrapText="1"/>
      <protection/>
    </xf>
    <xf numFmtId="3" fontId="10" fillId="0" borderId="49" xfId="94" applyNumberFormat="1" applyFont="1" applyFill="1" applyBorder="1" applyAlignment="1">
      <alignment horizontal="left" vertical="center" wrapText="1" indent="1"/>
      <protection/>
    </xf>
    <xf numFmtId="3" fontId="17" fillId="0" borderId="28" xfId="94" applyNumberFormat="1" applyFont="1" applyFill="1" applyBorder="1" applyAlignment="1">
      <alignment horizontal="center" vertical="center"/>
      <protection/>
    </xf>
    <xf numFmtId="3" fontId="17" fillId="0" borderId="29" xfId="94" applyNumberFormat="1" applyFont="1" applyFill="1" applyBorder="1" applyAlignment="1">
      <alignment horizontal="center" vertical="center"/>
      <protection/>
    </xf>
    <xf numFmtId="3" fontId="5" fillId="0" borderId="50" xfId="94" applyNumberFormat="1" applyFont="1" applyFill="1" applyBorder="1" applyAlignment="1">
      <alignment horizontal="center" vertical="center" wrapText="1"/>
      <protection/>
    </xf>
    <xf numFmtId="3" fontId="5" fillId="0" borderId="51" xfId="94" applyNumberFormat="1" applyFont="1" applyFill="1" applyBorder="1" applyAlignment="1">
      <alignment horizontal="center" vertical="center" wrapText="1"/>
      <protection/>
    </xf>
    <xf numFmtId="3" fontId="5" fillId="0" borderId="52" xfId="94" applyNumberFormat="1" applyFont="1" applyFill="1" applyBorder="1" applyAlignment="1">
      <alignment horizontal="center" vertical="center" wrapText="1"/>
      <protection/>
    </xf>
    <xf numFmtId="3" fontId="5" fillId="0" borderId="36" xfId="94" applyNumberFormat="1" applyFont="1" applyFill="1" applyBorder="1" applyAlignment="1">
      <alignment horizontal="center" vertical="center"/>
      <protection/>
    </xf>
    <xf numFmtId="3" fontId="5" fillId="0" borderId="21" xfId="94" applyNumberFormat="1" applyFont="1" applyFill="1" applyBorder="1" applyAlignment="1">
      <alignment horizontal="center" vertical="center"/>
      <protection/>
    </xf>
    <xf numFmtId="1" fontId="6" fillId="0" borderId="33" xfId="94" applyNumberFormat="1" applyFont="1" applyFill="1" applyBorder="1" applyAlignment="1">
      <alignment horizontal="center" vertical="center"/>
      <protection/>
    </xf>
    <xf numFmtId="1" fontId="6" fillId="0" borderId="25" xfId="94" applyNumberFormat="1" applyFont="1" applyFill="1" applyBorder="1" applyAlignment="1">
      <alignment horizontal="center" vertical="center"/>
      <protection/>
    </xf>
    <xf numFmtId="3" fontId="8" fillId="0" borderId="53" xfId="94" applyNumberFormat="1" applyFont="1" applyFill="1" applyBorder="1" applyAlignment="1">
      <alignment horizontal="left" vertical="center"/>
      <protection/>
    </xf>
    <xf numFmtId="0" fontId="0" fillId="0" borderId="53" xfId="0" applyFont="1" applyBorder="1" applyAlignment="1">
      <alignment horizontal="left" vertical="center"/>
    </xf>
    <xf numFmtId="3" fontId="6" fillId="0" borderId="33" xfId="94" applyNumberFormat="1" applyFont="1" applyFill="1" applyBorder="1" applyAlignment="1">
      <alignment horizontal="center" vertical="center"/>
      <protection/>
    </xf>
    <xf numFmtId="3" fontId="6" fillId="0" borderId="20" xfId="94" applyNumberFormat="1" applyFont="1" applyFill="1" applyBorder="1" applyAlignment="1">
      <alignment horizontal="center" vertical="center"/>
      <protection/>
    </xf>
    <xf numFmtId="3" fontId="6" fillId="0" borderId="25" xfId="94" applyNumberFormat="1" applyFont="1" applyFill="1" applyBorder="1" applyAlignment="1">
      <alignment horizontal="center" vertical="center"/>
      <protection/>
    </xf>
    <xf numFmtId="3" fontId="5" fillId="0" borderId="50" xfId="94" applyNumberFormat="1" applyFont="1" applyFill="1" applyBorder="1" applyAlignment="1">
      <alignment horizontal="center" vertical="center"/>
      <protection/>
    </xf>
    <xf numFmtId="3" fontId="5" fillId="0" borderId="51" xfId="94" applyNumberFormat="1" applyFont="1" applyFill="1" applyBorder="1" applyAlignment="1">
      <alignment horizontal="center" vertical="center"/>
      <protection/>
    </xf>
    <xf numFmtId="3" fontId="8" fillId="0" borderId="32" xfId="94" applyNumberFormat="1" applyFont="1" applyFill="1" applyBorder="1" applyAlignment="1">
      <alignment horizontal="center" vertical="center"/>
      <protection/>
    </xf>
    <xf numFmtId="3" fontId="8" fillId="0" borderId="36" xfId="94" applyNumberFormat="1" applyFont="1" applyFill="1" applyBorder="1" applyAlignment="1">
      <alignment horizontal="center" vertical="center"/>
      <protection/>
    </xf>
    <xf numFmtId="3" fontId="10" fillId="0" borderId="33" xfId="94" applyNumberFormat="1" applyFont="1" applyFill="1" applyBorder="1" applyAlignment="1">
      <alignment horizontal="left" vertical="center" indent="1" shrinkToFit="1"/>
      <protection/>
    </xf>
    <xf numFmtId="3" fontId="10" fillId="0" borderId="25" xfId="94" applyNumberFormat="1" applyFont="1" applyFill="1" applyBorder="1" applyAlignment="1">
      <alignment horizontal="left" vertical="center" indent="1" shrinkToFit="1"/>
      <protection/>
    </xf>
    <xf numFmtId="3" fontId="17" fillId="0" borderId="54" xfId="94" applyNumberFormat="1" applyFont="1" applyFill="1" applyBorder="1" applyAlignment="1">
      <alignment horizontal="center" vertical="center"/>
      <protection/>
    </xf>
    <xf numFmtId="3" fontId="17" fillId="0" borderId="55" xfId="94" applyNumberFormat="1" applyFont="1" applyFill="1" applyBorder="1" applyAlignment="1">
      <alignment horizontal="center" vertical="center"/>
      <protection/>
    </xf>
    <xf numFmtId="3" fontId="17" fillId="0" borderId="56" xfId="94" applyNumberFormat="1" applyFont="1" applyFill="1" applyBorder="1" applyAlignment="1">
      <alignment horizontal="center" vertical="center"/>
      <protection/>
    </xf>
    <xf numFmtId="3" fontId="10" fillId="0" borderId="33" xfId="94" applyNumberFormat="1" applyFont="1" applyFill="1" applyBorder="1" applyAlignment="1">
      <alignment horizontal="left" vertical="center" shrinkToFit="1"/>
      <protection/>
    </xf>
    <xf numFmtId="3" fontId="10" fillId="0" borderId="25" xfId="94" applyNumberFormat="1" applyFont="1" applyFill="1" applyBorder="1" applyAlignment="1">
      <alignment horizontal="left" vertical="center" shrinkToFit="1"/>
      <protection/>
    </xf>
    <xf numFmtId="3" fontId="12" fillId="0" borderId="20" xfId="94" applyNumberFormat="1" applyFont="1" applyFill="1" applyBorder="1" applyAlignment="1">
      <alignment horizontal="center" vertical="center" wrapText="1"/>
      <protection/>
    </xf>
    <xf numFmtId="3" fontId="0" fillId="0" borderId="21" xfId="0" applyNumberFormat="1" applyFont="1" applyBorder="1" applyAlignment="1">
      <alignment horizontal="center" vertical="center" wrapText="1"/>
    </xf>
    <xf numFmtId="1" fontId="6" fillId="0" borderId="20" xfId="94" applyNumberFormat="1" applyFont="1" applyFill="1" applyBorder="1" applyAlignment="1">
      <alignment horizontal="center" vertical="center"/>
      <protection/>
    </xf>
    <xf numFmtId="3" fontId="6" fillId="0" borderId="21" xfId="94" applyNumberFormat="1" applyFont="1" applyFill="1" applyBorder="1" applyAlignment="1">
      <alignment horizontal="center" vertical="center"/>
      <protection/>
    </xf>
    <xf numFmtId="3" fontId="5" fillId="0" borderId="22" xfId="94" applyNumberFormat="1" applyFont="1" applyFill="1" applyBorder="1" applyAlignment="1">
      <alignment horizontal="center" vertical="center"/>
      <protection/>
    </xf>
    <xf numFmtId="3" fontId="5" fillId="0" borderId="23" xfId="94" applyNumberFormat="1" applyFont="1" applyFill="1" applyBorder="1" applyAlignment="1">
      <alignment horizontal="center" vertical="center"/>
      <protection/>
    </xf>
    <xf numFmtId="3" fontId="15" fillId="0" borderId="54" xfId="94" applyNumberFormat="1" applyFont="1" applyFill="1" applyBorder="1" applyAlignment="1">
      <alignment horizontal="center" vertical="center"/>
      <protection/>
    </xf>
    <xf numFmtId="3" fontId="15" fillId="0" borderId="55" xfId="94" applyNumberFormat="1" applyFont="1" applyFill="1" applyBorder="1" applyAlignment="1">
      <alignment horizontal="center" vertical="center"/>
      <protection/>
    </xf>
    <xf numFmtId="3" fontId="15" fillId="0" borderId="56" xfId="94" applyNumberFormat="1" applyFont="1" applyFill="1" applyBorder="1" applyAlignment="1">
      <alignment horizontal="center" vertical="center"/>
      <protection/>
    </xf>
    <xf numFmtId="3" fontId="17" fillId="0" borderId="57" xfId="94" applyNumberFormat="1" applyFont="1" applyFill="1" applyBorder="1" applyAlignment="1">
      <alignment horizontal="center" vertical="center"/>
      <protection/>
    </xf>
    <xf numFmtId="3" fontId="17" fillId="0" borderId="58" xfId="94" applyNumberFormat="1" applyFont="1" applyFill="1" applyBorder="1" applyAlignment="1">
      <alignment horizontal="center" vertical="center"/>
      <protection/>
    </xf>
    <xf numFmtId="3" fontId="17" fillId="0" borderId="59" xfId="94" applyNumberFormat="1" applyFont="1" applyFill="1" applyBorder="1" applyAlignment="1">
      <alignment horizontal="center" vertical="center"/>
      <protection/>
    </xf>
    <xf numFmtId="3" fontId="6" fillId="0" borderId="59" xfId="94" applyNumberFormat="1" applyFont="1" applyFill="1" applyBorder="1" applyAlignment="1">
      <alignment horizontal="center" vertical="center"/>
      <protection/>
    </xf>
    <xf numFmtId="3" fontId="6" fillId="0" borderId="60" xfId="94" applyNumberFormat="1" applyFont="1" applyFill="1" applyBorder="1" applyAlignment="1">
      <alignment horizontal="center" vertical="center"/>
      <protection/>
    </xf>
    <xf numFmtId="3" fontId="12" fillId="0" borderId="33" xfId="94" applyNumberFormat="1" applyFont="1" applyFill="1" applyBorder="1" applyAlignment="1">
      <alignment horizontal="left" vertical="center" indent="1"/>
      <protection/>
    </xf>
    <xf numFmtId="3" fontId="12" fillId="0" borderId="21" xfId="94" applyNumberFormat="1" applyFont="1" applyFill="1" applyBorder="1" applyAlignment="1">
      <alignment horizontal="left" vertical="center" indent="1"/>
      <protection/>
    </xf>
    <xf numFmtId="3" fontId="10" fillId="0" borderId="31" xfId="94" applyNumberFormat="1" applyFont="1" applyFill="1" applyBorder="1" applyAlignment="1">
      <alignment horizontal="left" vertical="center" wrapText="1" indent="1"/>
      <protection/>
    </xf>
    <xf numFmtId="3" fontId="10" fillId="0" borderId="29" xfId="94" applyNumberFormat="1" applyFont="1" applyFill="1" applyBorder="1" applyAlignment="1">
      <alignment horizontal="left" vertical="center" wrapText="1" indent="1"/>
      <protection/>
    </xf>
    <xf numFmtId="3" fontId="17" fillId="0" borderId="22" xfId="94" applyNumberFormat="1" applyFont="1" applyFill="1" applyBorder="1" applyAlignment="1">
      <alignment horizontal="center" vertical="center"/>
      <protection/>
    </xf>
    <xf numFmtId="3" fontId="17" fillId="0" borderId="23" xfId="94" applyNumberFormat="1" applyFont="1" applyFill="1" applyBorder="1" applyAlignment="1">
      <alignment horizontal="center" vertical="center"/>
      <protection/>
    </xf>
    <xf numFmtId="3" fontId="17" fillId="0" borderId="61" xfId="94" applyNumberFormat="1" applyFont="1" applyFill="1" applyBorder="1" applyAlignment="1">
      <alignment horizontal="center" vertical="center"/>
      <protection/>
    </xf>
    <xf numFmtId="3" fontId="17" fillId="0" borderId="62" xfId="94" applyNumberFormat="1" applyFont="1" applyFill="1" applyBorder="1" applyAlignment="1">
      <alignment horizontal="center" vertical="center"/>
      <protection/>
    </xf>
    <xf numFmtId="3" fontId="17" fillId="0" borderId="60" xfId="94" applyNumberFormat="1" applyFont="1" applyFill="1" applyBorder="1" applyAlignment="1">
      <alignment horizontal="center" vertical="center"/>
      <protection/>
    </xf>
    <xf numFmtId="3" fontId="12" fillId="0" borderId="59" xfId="94" applyNumberFormat="1" applyFont="1" applyFill="1" applyBorder="1" applyAlignment="1">
      <alignment horizontal="left" vertical="center" indent="1"/>
      <protection/>
    </xf>
    <xf numFmtId="3" fontId="12" fillId="0" borderId="60" xfId="94" applyNumberFormat="1" applyFont="1" applyFill="1" applyBorder="1" applyAlignment="1">
      <alignment horizontal="left" vertical="center" indent="1"/>
      <protection/>
    </xf>
    <xf numFmtId="3" fontId="3" fillId="0" borderId="0" xfId="94" applyNumberFormat="1" applyFont="1" applyFill="1" applyBorder="1" applyAlignment="1">
      <alignment horizontal="right" vertical="center"/>
      <protection/>
    </xf>
    <xf numFmtId="3" fontId="15" fillId="0" borderId="57" xfId="94" applyNumberFormat="1" applyFont="1" applyFill="1" applyBorder="1" applyAlignment="1">
      <alignment horizontal="center" vertical="center"/>
      <protection/>
    </xf>
    <xf numFmtId="3" fontId="15" fillId="0" borderId="58" xfId="94" applyNumberFormat="1" applyFont="1" applyFill="1" applyBorder="1" applyAlignment="1">
      <alignment horizontal="center" vertical="center"/>
      <protection/>
    </xf>
    <xf numFmtId="3" fontId="15" fillId="0" borderId="59" xfId="94" applyNumberFormat="1" applyFont="1" applyFill="1" applyBorder="1" applyAlignment="1">
      <alignment horizontal="center" vertical="center"/>
      <protection/>
    </xf>
    <xf numFmtId="3" fontId="15" fillId="0" borderId="61" xfId="94" applyNumberFormat="1" applyFont="1" applyFill="1" applyBorder="1" applyAlignment="1">
      <alignment horizontal="center" vertical="center"/>
      <protection/>
    </xf>
    <xf numFmtId="3" fontId="15" fillId="0" borderId="62" xfId="94" applyNumberFormat="1" applyFont="1" applyFill="1" applyBorder="1" applyAlignment="1">
      <alignment horizontal="center" vertical="center"/>
      <protection/>
    </xf>
    <xf numFmtId="3" fontId="15" fillId="0" borderId="60" xfId="94" applyNumberFormat="1" applyFont="1" applyFill="1" applyBorder="1" applyAlignment="1">
      <alignment horizontal="center" vertical="center"/>
      <protection/>
    </xf>
    <xf numFmtId="3" fontId="8" fillId="0" borderId="63" xfId="94" applyNumberFormat="1" applyFont="1" applyFill="1" applyBorder="1" applyAlignment="1">
      <alignment horizontal="center" vertical="center"/>
      <protection/>
    </xf>
    <xf numFmtId="3" fontId="8" fillId="0" borderId="64" xfId="94" applyNumberFormat="1" applyFont="1" applyFill="1" applyBorder="1" applyAlignment="1">
      <alignment horizontal="center" vertical="center"/>
      <protection/>
    </xf>
    <xf numFmtId="3" fontId="8" fillId="0" borderId="65" xfId="94" applyNumberFormat="1" applyFont="1" applyFill="1" applyBorder="1" applyAlignment="1">
      <alignment horizontal="center" vertical="center" wrapText="1"/>
      <protection/>
    </xf>
    <xf numFmtId="3" fontId="8" fillId="0" borderId="58" xfId="94" applyNumberFormat="1" applyFont="1" applyFill="1" applyBorder="1" applyAlignment="1">
      <alignment horizontal="center" vertical="center" wrapText="1"/>
      <protection/>
    </xf>
    <xf numFmtId="3" fontId="8" fillId="0" borderId="59" xfId="94" applyNumberFormat="1" applyFont="1" applyFill="1" applyBorder="1" applyAlignment="1">
      <alignment horizontal="center" vertical="center" wrapText="1"/>
      <protection/>
    </xf>
    <xf numFmtId="3" fontId="12" fillId="0" borderId="65" xfId="94" applyNumberFormat="1" applyFont="1" applyFill="1" applyBorder="1" applyAlignment="1">
      <alignment horizontal="center" vertical="center" wrapText="1"/>
      <protection/>
    </xf>
    <xf numFmtId="3" fontId="12" fillId="0" borderId="58" xfId="94" applyNumberFormat="1" applyFont="1" applyFill="1" applyBorder="1" applyAlignment="1">
      <alignment horizontal="center" vertical="center" wrapText="1"/>
      <protection/>
    </xf>
    <xf numFmtId="3" fontId="12" fillId="0" borderId="59" xfId="94" applyNumberFormat="1" applyFont="1" applyFill="1" applyBorder="1" applyAlignment="1">
      <alignment horizontal="center" vertical="center" wrapText="1"/>
      <protection/>
    </xf>
    <xf numFmtId="3" fontId="8" fillId="0" borderId="66" xfId="94" applyNumberFormat="1" applyFont="1" applyFill="1" applyBorder="1" applyAlignment="1">
      <alignment horizontal="center" vertical="center"/>
      <protection/>
    </xf>
    <xf numFmtId="3" fontId="8" fillId="0" borderId="67" xfId="94" applyNumberFormat="1" applyFont="1" applyFill="1" applyBorder="1" applyAlignment="1">
      <alignment horizontal="center" vertical="center"/>
      <protection/>
    </xf>
    <xf numFmtId="3" fontId="5" fillId="0" borderId="50" xfId="94" applyNumberFormat="1" applyFont="1" applyFill="1" applyBorder="1" applyAlignment="1">
      <alignment horizontal="center" vertical="center"/>
      <protection/>
    </xf>
    <xf numFmtId="3" fontId="5" fillId="0" borderId="51" xfId="94" applyNumberFormat="1" applyFont="1" applyFill="1" applyBorder="1" applyAlignment="1">
      <alignment horizontal="center" vertical="center"/>
      <protection/>
    </xf>
    <xf numFmtId="3" fontId="5" fillId="0" borderId="52" xfId="94" applyNumberFormat="1" applyFont="1" applyFill="1" applyBorder="1" applyAlignment="1">
      <alignment horizontal="center" vertical="center"/>
      <protection/>
    </xf>
    <xf numFmtId="1" fontId="8" fillId="0" borderId="19" xfId="94" applyNumberFormat="1" applyFont="1" applyFill="1" applyBorder="1" applyAlignment="1">
      <alignment horizontal="center" vertical="center" wrapText="1"/>
      <protection/>
    </xf>
    <xf numFmtId="1" fontId="8" fillId="0" borderId="20" xfId="94" applyNumberFormat="1" applyFont="1" applyFill="1" applyBorder="1" applyAlignment="1">
      <alignment horizontal="center" vertical="center" wrapText="1"/>
      <protection/>
    </xf>
    <xf numFmtId="1" fontId="8" fillId="0" borderId="21" xfId="94" applyNumberFormat="1" applyFont="1" applyFill="1" applyBorder="1" applyAlignment="1">
      <alignment horizontal="center" vertical="center" wrapText="1"/>
      <protection/>
    </xf>
    <xf numFmtId="3" fontId="8" fillId="0" borderId="68" xfId="94" applyNumberFormat="1" applyFont="1" applyFill="1" applyBorder="1" applyAlignment="1">
      <alignment horizontal="center" vertical="center"/>
      <protection/>
    </xf>
    <xf numFmtId="3" fontId="8" fillId="0" borderId="69" xfId="94" applyNumberFormat="1" applyFont="1" applyFill="1" applyBorder="1" applyAlignment="1">
      <alignment horizontal="center" vertical="center"/>
      <protection/>
    </xf>
    <xf numFmtId="3" fontId="12" fillId="0" borderId="21" xfId="94" applyNumberFormat="1" applyFont="1" applyFill="1" applyBorder="1" applyAlignment="1">
      <alignment horizontal="center" vertical="center" wrapText="1"/>
      <protection/>
    </xf>
    <xf numFmtId="3" fontId="12" fillId="0" borderId="33" xfId="94" applyNumberFormat="1" applyFont="1" applyFill="1" applyBorder="1" applyAlignment="1">
      <alignment horizontal="center" vertical="center" wrapText="1"/>
      <protection/>
    </xf>
    <xf numFmtId="3" fontId="10" fillId="0" borderId="33" xfId="94" applyNumberFormat="1" applyFont="1" applyFill="1" applyBorder="1" applyAlignment="1">
      <alignment horizontal="left" vertical="center"/>
      <protection/>
    </xf>
    <xf numFmtId="3" fontId="10" fillId="0" borderId="25" xfId="94" applyNumberFormat="1" applyFont="1" applyFill="1" applyBorder="1" applyAlignment="1">
      <alignment horizontal="left" vertical="center"/>
      <protection/>
    </xf>
    <xf numFmtId="3" fontId="10" fillId="0" borderId="33" xfId="94" applyNumberFormat="1" applyFont="1" applyFill="1" applyBorder="1" applyAlignment="1">
      <alignment horizontal="left" vertical="center" wrapText="1" indent="1"/>
      <protection/>
    </xf>
    <xf numFmtId="3" fontId="10" fillId="0" borderId="25" xfId="94" applyNumberFormat="1" applyFont="1" applyFill="1" applyBorder="1" applyAlignment="1">
      <alignment horizontal="left" vertical="center" wrapText="1" indent="1"/>
      <protection/>
    </xf>
  </cellXfs>
  <cellStyles count="9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Figyelmeztetés" xfId="73"/>
    <cellStyle name="Figyelmeztetés 2" xfId="74"/>
    <cellStyle name="Hyperlink" xfId="75"/>
    <cellStyle name="Hivatkozott cella" xfId="76"/>
    <cellStyle name="Hivatkozott cella 2" xfId="77"/>
    <cellStyle name="Jegyzet" xfId="78"/>
    <cellStyle name="Jegyzet 2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Jó 2" xfId="87"/>
    <cellStyle name="Kimenet" xfId="88"/>
    <cellStyle name="Kimenet 2" xfId="89"/>
    <cellStyle name="Followed Hyperlink" xfId="90"/>
    <cellStyle name="Magyarázó szöveg" xfId="91"/>
    <cellStyle name="Magyarázó szöveg 2" xfId="92"/>
    <cellStyle name="Normal_KARSZJ3" xfId="93"/>
    <cellStyle name="Normál_végső rend. képv.mód-sal" xfId="94"/>
    <cellStyle name="Összesen" xfId="95"/>
    <cellStyle name="Összesen 2" xfId="96"/>
    <cellStyle name="Currency" xfId="97"/>
    <cellStyle name="Currency [0]" xfId="98"/>
    <cellStyle name="Rossz" xfId="99"/>
    <cellStyle name="Rossz 2" xfId="100"/>
    <cellStyle name="Semleges" xfId="101"/>
    <cellStyle name="Semleges 2" xfId="102"/>
    <cellStyle name="Számítás" xfId="103"/>
    <cellStyle name="Számítás 2" xfId="104"/>
    <cellStyle name="Percen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2466975</xdr:colOff>
      <xdr:row>0</xdr:row>
      <xdr:rowOff>133350</xdr:rowOff>
    </xdr:from>
    <xdr:to>
      <xdr:col>13</xdr:col>
      <xdr:colOff>47625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457575" y="133350"/>
          <a:ext cx="5876925" cy="4000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5. melléklet a 2/2016. (II.10.) önk. rendelethez
</a:t>
          </a:r>
          <a:r>
            <a:rPr lang="en-US" cap="none" sz="700" b="0" i="0" u="none" baseline="0">
              <a:solidFill>
                <a:srgbClr val="000000"/>
              </a:solidFill>
            </a:rPr>
            <a:t>2016. ÉVI KÖLTSÉGVETÉSI KIADÁSOK
</a:t>
          </a:r>
          <a:r>
            <a:rPr lang="en-US" cap="none" sz="700" b="0" i="0" u="none" baseline="0">
              <a:solidFill>
                <a:srgbClr val="000000"/>
              </a:solidFill>
            </a:rPr>
            <a:t>( Címek, alcímek és kiemelt előirányzatok szerint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6"/>
  <sheetViews>
    <sheetView tabSelected="1" view="pageBreakPreview" zoomScaleSheetLayoutView="100" zoomScalePageLayoutView="0" workbookViewId="0" topLeftCell="A1">
      <selection activeCell="J92" sqref="J92"/>
    </sheetView>
  </sheetViews>
  <sheetFormatPr defaultColWidth="9.00390625" defaultRowHeight="12.75" customHeight="1"/>
  <cols>
    <col min="1" max="1" width="4.00390625" style="1" customWidth="1"/>
    <col min="2" max="2" width="3.75390625" style="2" customWidth="1"/>
    <col min="3" max="3" width="5.25390625" style="50" customWidth="1"/>
    <col min="4" max="4" width="37.00390625" style="170" customWidth="1"/>
    <col min="5" max="5" width="8.125" style="170" customWidth="1"/>
    <col min="6" max="6" width="8.875" style="170" customWidth="1"/>
    <col min="7" max="7" width="8.125" style="170" customWidth="1"/>
    <col min="8" max="8" width="7.25390625" style="170" customWidth="1"/>
    <col min="9" max="9" width="6.875" style="170" customWidth="1"/>
    <col min="10" max="10" width="7.625" style="170" customWidth="1"/>
    <col min="11" max="11" width="7.00390625" style="170" customWidth="1"/>
    <col min="12" max="12" width="9.375" style="165" bestFit="1" customWidth="1"/>
    <col min="13" max="13" width="8.625" style="211" bestFit="1" customWidth="1"/>
    <col min="14" max="14" width="7.25390625" style="211" customWidth="1"/>
    <col min="15" max="15" width="8.25390625" style="211" customWidth="1"/>
    <col min="16" max="16" width="6.75390625" style="211" customWidth="1"/>
    <col min="17" max="17" width="9.75390625" style="116" customWidth="1"/>
    <col min="18" max="18" width="6.875" style="114" bestFit="1" customWidth="1"/>
    <col min="19" max="16384" width="9.125" style="2" customWidth="1"/>
  </cols>
  <sheetData>
    <row r="1" spans="12:18" ht="12.75" customHeight="1">
      <c r="L1" s="214"/>
      <c r="M1" s="207"/>
      <c r="N1" s="279" t="s">
        <v>183</v>
      </c>
      <c r="O1" s="279"/>
      <c r="P1" s="279"/>
      <c r="Q1" s="279"/>
      <c r="R1" s="279"/>
    </row>
    <row r="2" spans="12:18" ht="12.75" customHeight="1">
      <c r="L2" s="214"/>
      <c r="M2" s="207"/>
      <c r="N2" s="207"/>
      <c r="O2" s="207"/>
      <c r="P2" s="207"/>
      <c r="Q2" s="101"/>
      <c r="R2" s="102"/>
    </row>
    <row r="3" spans="12:18" ht="12.75" customHeight="1">
      <c r="L3" s="214"/>
      <c r="M3" s="207"/>
      <c r="N3" s="207"/>
      <c r="O3" s="207"/>
      <c r="P3" s="207"/>
      <c r="Q3" s="101"/>
      <c r="R3" s="102"/>
    </row>
    <row r="4" spans="12:18" ht="12.75" customHeight="1" thickBot="1">
      <c r="L4" s="214"/>
      <c r="M4" s="207"/>
      <c r="N4" s="207"/>
      <c r="O4" s="207"/>
      <c r="P4" s="207"/>
      <c r="Q4" s="79" t="s">
        <v>3</v>
      </c>
      <c r="R4" s="103"/>
    </row>
    <row r="5" spans="1:18" s="4" customFormat="1" ht="36" customHeight="1">
      <c r="A5" s="302" t="s">
        <v>28</v>
      </c>
      <c r="B5" s="303"/>
      <c r="C5" s="299" t="s">
        <v>155</v>
      </c>
      <c r="D5" s="3" t="s">
        <v>29</v>
      </c>
      <c r="E5" s="3" t="s">
        <v>30</v>
      </c>
      <c r="F5" s="44" t="s">
        <v>104</v>
      </c>
      <c r="G5" s="3" t="s">
        <v>31</v>
      </c>
      <c r="H5" s="44" t="s">
        <v>143</v>
      </c>
      <c r="I5" s="288" t="s">
        <v>75</v>
      </c>
      <c r="J5" s="289"/>
      <c r="K5" s="290"/>
      <c r="L5" s="3" t="s">
        <v>16</v>
      </c>
      <c r="M5" s="3" t="s">
        <v>32</v>
      </c>
      <c r="N5" s="291" t="s">
        <v>27</v>
      </c>
      <c r="O5" s="292"/>
      <c r="P5" s="293"/>
      <c r="Q5" s="3" t="s">
        <v>17</v>
      </c>
      <c r="R5" s="86" t="s">
        <v>33</v>
      </c>
    </row>
    <row r="6" spans="1:18" s="4" customFormat="1" ht="37.5" customHeight="1">
      <c r="A6" s="286" t="s">
        <v>34</v>
      </c>
      <c r="B6" s="287"/>
      <c r="C6" s="300"/>
      <c r="D6" s="5" t="s">
        <v>35</v>
      </c>
      <c r="E6" s="5" t="s">
        <v>76</v>
      </c>
      <c r="F6" s="48" t="s">
        <v>105</v>
      </c>
      <c r="G6" s="5" t="s">
        <v>36</v>
      </c>
      <c r="H6" s="48" t="s">
        <v>144</v>
      </c>
      <c r="I6" s="305" t="s">
        <v>151</v>
      </c>
      <c r="J6" s="254" t="s">
        <v>152</v>
      </c>
      <c r="K6" s="254" t="s">
        <v>153</v>
      </c>
      <c r="L6" s="5" t="s">
        <v>37</v>
      </c>
      <c r="M6" s="5" t="s">
        <v>38</v>
      </c>
      <c r="N6" s="305" t="s">
        <v>151</v>
      </c>
      <c r="O6" s="254" t="s">
        <v>152</v>
      </c>
      <c r="P6" s="254" t="s">
        <v>153</v>
      </c>
      <c r="Q6" s="5" t="s">
        <v>4</v>
      </c>
      <c r="R6" s="87" t="s">
        <v>39</v>
      </c>
    </row>
    <row r="7" spans="1:18" s="4" customFormat="1" ht="36.75" customHeight="1" thickBot="1">
      <c r="A7" s="294" t="s">
        <v>40</v>
      </c>
      <c r="B7" s="295"/>
      <c r="C7" s="301"/>
      <c r="D7" s="6"/>
      <c r="E7" s="6"/>
      <c r="F7" s="49" t="s">
        <v>106</v>
      </c>
      <c r="G7" s="6" t="s">
        <v>44</v>
      </c>
      <c r="H7" s="49" t="s">
        <v>145</v>
      </c>
      <c r="I7" s="304"/>
      <c r="J7" s="255"/>
      <c r="K7" s="304"/>
      <c r="L7" s="6" t="s">
        <v>4</v>
      </c>
      <c r="M7" s="6" t="s">
        <v>41</v>
      </c>
      <c r="N7" s="304"/>
      <c r="O7" s="255"/>
      <c r="P7" s="304"/>
      <c r="Q7" s="6"/>
      <c r="R7" s="88"/>
    </row>
    <row r="8" spans="1:18" ht="11.25" customHeight="1">
      <c r="A8" s="10" t="s">
        <v>5</v>
      </c>
      <c r="B8" s="11"/>
      <c r="C8" s="63"/>
      <c r="D8" s="12" t="s">
        <v>139</v>
      </c>
      <c r="E8" s="119">
        <f aca="true" t="shared" si="0" ref="E8:K8">E9+E10</f>
        <v>132519</v>
      </c>
      <c r="F8" s="119">
        <f t="shared" si="0"/>
        <v>37387</v>
      </c>
      <c r="G8" s="119">
        <f t="shared" si="0"/>
        <v>59291</v>
      </c>
      <c r="H8" s="119">
        <f t="shared" si="0"/>
        <v>180</v>
      </c>
      <c r="I8" s="119">
        <f t="shared" si="0"/>
        <v>0</v>
      </c>
      <c r="J8" s="119">
        <f t="shared" si="0"/>
        <v>13046</v>
      </c>
      <c r="K8" s="119">
        <f t="shared" si="0"/>
        <v>0</v>
      </c>
      <c r="L8" s="120">
        <f aca="true" t="shared" si="1" ref="L8:L19">SUM(E8:K8)</f>
        <v>242423</v>
      </c>
      <c r="M8" s="118">
        <f>M9+M10</f>
        <v>0</v>
      </c>
      <c r="N8" s="118"/>
      <c r="O8" s="118">
        <v>0</v>
      </c>
      <c r="P8" s="118">
        <v>0</v>
      </c>
      <c r="Q8" s="13">
        <f aca="true" t="shared" si="2" ref="Q8:Q15">SUM(L8:P8)</f>
        <v>242423</v>
      </c>
      <c r="R8" s="121">
        <f>R9+R10</f>
        <v>56.25</v>
      </c>
    </row>
    <row r="9" spans="1:18" s="53" customFormat="1" ht="11.25" customHeight="1">
      <c r="A9" s="52"/>
      <c r="B9" s="73" t="s">
        <v>5</v>
      </c>
      <c r="C9" s="62" t="s">
        <v>102</v>
      </c>
      <c r="D9" s="175" t="s">
        <v>107</v>
      </c>
      <c r="E9" s="177">
        <f>65649+2130+1314-100-20+871+90+238+1500+229</f>
        <v>71901</v>
      </c>
      <c r="F9" s="176">
        <f>17490+873+355+380+354+100+20+117+24+32+400+62</f>
        <v>20207</v>
      </c>
      <c r="G9" s="177">
        <f>14848+99+700+900+110-291</f>
        <v>16366</v>
      </c>
      <c r="H9" s="177"/>
      <c r="I9" s="176"/>
      <c r="J9" s="176">
        <v>13046</v>
      </c>
      <c r="K9" s="176"/>
      <c r="L9" s="126">
        <f t="shared" si="1"/>
        <v>121520</v>
      </c>
      <c r="M9" s="176">
        <v>0</v>
      </c>
      <c r="N9" s="176"/>
      <c r="O9" s="176"/>
      <c r="P9" s="176"/>
      <c r="Q9" s="136">
        <f t="shared" si="2"/>
        <v>121520</v>
      </c>
      <c r="R9" s="137">
        <f>26.5+6</f>
        <v>32.5</v>
      </c>
    </row>
    <row r="10" spans="1:18" s="53" customFormat="1" ht="11.25" customHeight="1">
      <c r="A10" s="52"/>
      <c r="B10" s="73" t="s">
        <v>6</v>
      </c>
      <c r="C10" s="62" t="s">
        <v>103</v>
      </c>
      <c r="D10" s="175" t="s">
        <v>108</v>
      </c>
      <c r="E10" s="177">
        <f>57807+1425+1236+150</f>
        <v>60618</v>
      </c>
      <c r="F10" s="176">
        <f>15482+873+237+254+334</f>
        <v>17180</v>
      </c>
      <c r="G10" s="177">
        <f>42365+165+145+250</f>
        <v>42925</v>
      </c>
      <c r="H10" s="177">
        <f>150+30</f>
        <v>180</v>
      </c>
      <c r="I10" s="176"/>
      <c r="J10" s="176">
        <f>1015-1015</f>
        <v>0</v>
      </c>
      <c r="K10" s="176"/>
      <c r="L10" s="126">
        <f t="shared" si="1"/>
        <v>120903</v>
      </c>
      <c r="M10" s="176">
        <v>0</v>
      </c>
      <c r="N10" s="176"/>
      <c r="O10" s="176"/>
      <c r="P10" s="176"/>
      <c r="Q10" s="136">
        <f t="shared" si="2"/>
        <v>120903</v>
      </c>
      <c r="R10" s="137">
        <f>20.75-1+4</f>
        <v>23.75</v>
      </c>
    </row>
    <row r="11" spans="1:18" ht="11.25" customHeight="1">
      <c r="A11" s="10" t="s">
        <v>6</v>
      </c>
      <c r="B11" s="73"/>
      <c r="C11" s="63" t="s">
        <v>102</v>
      </c>
      <c r="D11" s="12" t="s">
        <v>119</v>
      </c>
      <c r="E11" s="118">
        <f>161464+3300+2087+1199-504+103-100+2206</f>
        <v>169755</v>
      </c>
      <c r="F11" s="118">
        <f>46237+550+589+563+324+100+298</f>
        <v>48661</v>
      </c>
      <c r="G11" s="119">
        <f>16138+122+504+132+100</f>
        <v>16996</v>
      </c>
      <c r="H11" s="119"/>
      <c r="I11" s="118"/>
      <c r="J11" s="118">
        <v>3674</v>
      </c>
      <c r="K11" s="118"/>
      <c r="L11" s="120">
        <f t="shared" si="1"/>
        <v>239086</v>
      </c>
      <c r="M11" s="118">
        <v>0</v>
      </c>
      <c r="N11" s="118"/>
      <c r="O11" s="118"/>
      <c r="P11" s="118"/>
      <c r="Q11" s="13">
        <f t="shared" si="2"/>
        <v>239086</v>
      </c>
      <c r="R11" s="121">
        <v>55</v>
      </c>
    </row>
    <row r="12" spans="1:18" ht="11.25" customHeight="1">
      <c r="A12" s="10" t="s">
        <v>7</v>
      </c>
      <c r="B12" s="73"/>
      <c r="C12" s="63"/>
      <c r="D12" s="12" t="s">
        <v>48</v>
      </c>
      <c r="E12" s="118">
        <f>E13+E14</f>
        <v>24402</v>
      </c>
      <c r="F12" s="118">
        <f>F13+F14</f>
        <v>6600</v>
      </c>
      <c r="G12" s="118">
        <f>G13+G14</f>
        <v>11825</v>
      </c>
      <c r="H12" s="118"/>
      <c r="I12" s="118">
        <f>I13+I14</f>
        <v>0</v>
      </c>
      <c r="J12" s="118">
        <f>J13+J14</f>
        <v>1875</v>
      </c>
      <c r="K12" s="118">
        <f>K13+K14</f>
        <v>0</v>
      </c>
      <c r="L12" s="120">
        <f t="shared" si="1"/>
        <v>44702</v>
      </c>
      <c r="M12" s="118">
        <f>M13+M14</f>
        <v>2500</v>
      </c>
      <c r="N12" s="118"/>
      <c r="O12" s="118">
        <f>O13+O14</f>
        <v>0</v>
      </c>
      <c r="P12" s="118">
        <f>P13+P14</f>
        <v>0</v>
      </c>
      <c r="Q12" s="13">
        <f t="shared" si="2"/>
        <v>47202</v>
      </c>
      <c r="R12" s="121">
        <f>R13+R14</f>
        <v>11</v>
      </c>
    </row>
    <row r="13" spans="1:18" s="53" customFormat="1" ht="11.25" customHeight="1">
      <c r="A13" s="61"/>
      <c r="B13" s="73" t="s">
        <v>5</v>
      </c>
      <c r="C13" s="62" t="s">
        <v>168</v>
      </c>
      <c r="D13" s="175" t="s">
        <v>48</v>
      </c>
      <c r="E13" s="176">
        <f>14288+300+264-82+225</f>
        <v>14995</v>
      </c>
      <c r="F13" s="176">
        <f>3831+50+54+15-23+61+45</f>
        <v>4033</v>
      </c>
      <c r="G13" s="177">
        <f>5005+212+180+173-45+300</f>
        <v>5825</v>
      </c>
      <c r="H13" s="177"/>
      <c r="I13" s="176"/>
      <c r="J13" s="176">
        <v>1875</v>
      </c>
      <c r="K13" s="176">
        <v>0</v>
      </c>
      <c r="L13" s="126">
        <f t="shared" si="1"/>
        <v>26728</v>
      </c>
      <c r="M13" s="176">
        <v>0</v>
      </c>
      <c r="N13" s="176"/>
      <c r="O13" s="176"/>
      <c r="P13" s="176"/>
      <c r="Q13" s="136">
        <f t="shared" si="2"/>
        <v>26728</v>
      </c>
      <c r="R13" s="137">
        <v>5</v>
      </c>
    </row>
    <row r="14" spans="1:18" s="53" customFormat="1" ht="11.25" customHeight="1">
      <c r="A14" s="61"/>
      <c r="B14" s="73" t="s">
        <v>6</v>
      </c>
      <c r="C14" s="62" t="s">
        <v>103</v>
      </c>
      <c r="D14" s="175" t="s">
        <v>169</v>
      </c>
      <c r="E14" s="176">
        <f>9047+360</f>
        <v>9407</v>
      </c>
      <c r="F14" s="176">
        <f>2443+60+64</f>
        <v>2567</v>
      </c>
      <c r="G14" s="177">
        <f>6000+2500-2500</f>
        <v>6000</v>
      </c>
      <c r="H14" s="177"/>
      <c r="I14" s="176"/>
      <c r="J14" s="176"/>
      <c r="K14" s="176"/>
      <c r="L14" s="126">
        <f t="shared" si="1"/>
        <v>17974</v>
      </c>
      <c r="M14" s="176">
        <v>2500</v>
      </c>
      <c r="N14" s="176"/>
      <c r="O14" s="176"/>
      <c r="P14" s="176">
        <f>1820-1820</f>
        <v>0</v>
      </c>
      <c r="Q14" s="136">
        <f t="shared" si="2"/>
        <v>20474</v>
      </c>
      <c r="R14" s="127">
        <v>6</v>
      </c>
    </row>
    <row r="15" spans="1:18" ht="11.25" customHeight="1" thickBot="1">
      <c r="A15" s="10">
        <v>4</v>
      </c>
      <c r="B15" s="73"/>
      <c r="C15" s="63" t="s">
        <v>102</v>
      </c>
      <c r="D15" s="12" t="s">
        <v>47</v>
      </c>
      <c r="E15" s="118">
        <f>16452+420+633+48+150-150+676</f>
        <v>18229</v>
      </c>
      <c r="F15" s="118">
        <f>4369+70+75+171+150+183</f>
        <v>5018</v>
      </c>
      <c r="G15" s="119">
        <f>7685+2072-150+120+3884+957+609</f>
        <v>15177</v>
      </c>
      <c r="H15" s="119"/>
      <c r="I15" s="118">
        <v>0</v>
      </c>
      <c r="J15" s="118">
        <v>1385</v>
      </c>
      <c r="K15" s="118"/>
      <c r="L15" s="120">
        <f t="shared" si="1"/>
        <v>39809</v>
      </c>
      <c r="M15" s="118">
        <v>0</v>
      </c>
      <c r="N15" s="118"/>
      <c r="O15" s="118">
        <v>0</v>
      </c>
      <c r="P15" s="118">
        <v>0</v>
      </c>
      <c r="Q15" s="13">
        <f t="shared" si="2"/>
        <v>39809</v>
      </c>
      <c r="R15" s="121">
        <f>8-1+1</f>
        <v>8</v>
      </c>
    </row>
    <row r="16" spans="1:18" ht="12.75" customHeight="1" thickBot="1">
      <c r="A16" s="296" t="s">
        <v>170</v>
      </c>
      <c r="B16" s="297"/>
      <c r="C16" s="297"/>
      <c r="D16" s="298"/>
      <c r="E16" s="133">
        <f>E8+E11+E12+E15</f>
        <v>344905</v>
      </c>
      <c r="F16" s="133">
        <f aca="true" t="shared" si="3" ref="F16:K16">F8+F11+F12+F15</f>
        <v>97666</v>
      </c>
      <c r="G16" s="133">
        <f t="shared" si="3"/>
        <v>103289</v>
      </c>
      <c r="H16" s="133">
        <f t="shared" si="3"/>
        <v>180</v>
      </c>
      <c r="I16" s="133">
        <f t="shared" si="3"/>
        <v>0</v>
      </c>
      <c r="J16" s="133">
        <f t="shared" si="3"/>
        <v>19980</v>
      </c>
      <c r="K16" s="133">
        <f t="shared" si="3"/>
        <v>0</v>
      </c>
      <c r="L16" s="138">
        <f>SUM(E16:K16)</f>
        <v>566020</v>
      </c>
      <c r="M16" s="133">
        <f>M8+M11+M12+M15</f>
        <v>2500</v>
      </c>
      <c r="N16" s="133">
        <f>N8+N11+N12+N15</f>
        <v>0</v>
      </c>
      <c r="O16" s="133">
        <f>O8+O11+O12+O15</f>
        <v>0</v>
      </c>
      <c r="P16" s="133">
        <f>P8+P11+P12+P15</f>
        <v>0</v>
      </c>
      <c r="Q16" s="133">
        <f aca="true" t="shared" si="4" ref="Q16:Q28">SUM(L16:P16)</f>
        <v>568520</v>
      </c>
      <c r="R16" s="134">
        <f>R8+R11+R12+R15</f>
        <v>130.25</v>
      </c>
    </row>
    <row r="17" spans="1:18" s="53" customFormat="1" ht="12.75" customHeight="1">
      <c r="A17" s="280" t="s">
        <v>107</v>
      </c>
      <c r="B17" s="281"/>
      <c r="C17" s="281"/>
      <c r="D17" s="282"/>
      <c r="E17" s="186">
        <f>E9+E11+E15</f>
        <v>259885</v>
      </c>
      <c r="F17" s="186">
        <f aca="true" t="shared" si="5" ref="F17:K17">F9+F11+F15</f>
        <v>73886</v>
      </c>
      <c r="G17" s="186">
        <f t="shared" si="5"/>
        <v>48539</v>
      </c>
      <c r="H17" s="186">
        <f t="shared" si="5"/>
        <v>0</v>
      </c>
      <c r="I17" s="186">
        <f t="shared" si="5"/>
        <v>0</v>
      </c>
      <c r="J17" s="186">
        <f t="shared" si="5"/>
        <v>18105</v>
      </c>
      <c r="K17" s="186">
        <f t="shared" si="5"/>
        <v>0</v>
      </c>
      <c r="L17" s="146">
        <f t="shared" si="1"/>
        <v>400415</v>
      </c>
      <c r="M17" s="186">
        <f>M9+M11+M15</f>
        <v>0</v>
      </c>
      <c r="N17" s="186">
        <f>N9+N11+N15</f>
        <v>0</v>
      </c>
      <c r="O17" s="186">
        <f>O9+O11+O15</f>
        <v>0</v>
      </c>
      <c r="P17" s="186">
        <f>P9+P11+P15</f>
        <v>0</v>
      </c>
      <c r="Q17" s="146">
        <f t="shared" si="4"/>
        <v>400415</v>
      </c>
      <c r="R17" s="147">
        <f>R9+R15+R11</f>
        <v>95.5</v>
      </c>
    </row>
    <row r="18" spans="1:18" s="53" customFormat="1" ht="12.75" customHeight="1">
      <c r="A18" s="260" t="s">
        <v>120</v>
      </c>
      <c r="B18" s="261"/>
      <c r="C18" s="261"/>
      <c r="D18" s="262"/>
      <c r="E18" s="187">
        <v>0</v>
      </c>
      <c r="F18" s="187">
        <v>0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26">
        <v>0</v>
      </c>
      <c r="M18" s="187">
        <v>0</v>
      </c>
      <c r="N18" s="187"/>
      <c r="O18" s="187">
        <v>0</v>
      </c>
      <c r="P18" s="187">
        <v>0</v>
      </c>
      <c r="Q18" s="126">
        <v>0</v>
      </c>
      <c r="R18" s="148">
        <v>0</v>
      </c>
    </row>
    <row r="19" spans="1:18" s="53" customFormat="1" ht="12.75" customHeight="1" thickBot="1">
      <c r="A19" s="283" t="s">
        <v>115</v>
      </c>
      <c r="B19" s="284"/>
      <c r="C19" s="284"/>
      <c r="D19" s="285"/>
      <c r="E19" s="188">
        <f>E10+E13+E14</f>
        <v>85020</v>
      </c>
      <c r="F19" s="188">
        <f aca="true" t="shared" si="6" ref="F19:K19">F10+F13+F14</f>
        <v>23780</v>
      </c>
      <c r="G19" s="188">
        <f t="shared" si="6"/>
        <v>54750</v>
      </c>
      <c r="H19" s="188">
        <f t="shared" si="6"/>
        <v>180</v>
      </c>
      <c r="I19" s="188">
        <f t="shared" si="6"/>
        <v>0</v>
      </c>
      <c r="J19" s="188">
        <f t="shared" si="6"/>
        <v>1875</v>
      </c>
      <c r="K19" s="188">
        <f t="shared" si="6"/>
        <v>0</v>
      </c>
      <c r="L19" s="149">
        <f t="shared" si="1"/>
        <v>165605</v>
      </c>
      <c r="M19" s="188">
        <f>M10+M14+M13</f>
        <v>2500</v>
      </c>
      <c r="N19" s="188">
        <f>N10+N14+N13</f>
        <v>0</v>
      </c>
      <c r="O19" s="188">
        <f>O10+O14+O13</f>
        <v>0</v>
      </c>
      <c r="P19" s="188">
        <f>P10+P14+P13</f>
        <v>0</v>
      </c>
      <c r="Q19" s="149">
        <f t="shared" si="4"/>
        <v>168105</v>
      </c>
      <c r="R19" s="150">
        <f>R10+R14+R13</f>
        <v>34.75</v>
      </c>
    </row>
    <row r="20" spans="1:18" ht="12.75" customHeight="1">
      <c r="A20" s="35" t="s">
        <v>9</v>
      </c>
      <c r="B20" s="82" t="s">
        <v>189</v>
      </c>
      <c r="C20" s="66"/>
      <c r="D20" s="190" t="s">
        <v>116</v>
      </c>
      <c r="E20" s="128">
        <f>E21+E24+E25+E26+E27+E28</f>
        <v>148642</v>
      </c>
      <c r="F20" s="128">
        <f>F21+F24+F25+F26+F27+F28</f>
        <v>41597</v>
      </c>
      <c r="G20" s="128">
        <f>G21+G24+G25+G26+G27+G28</f>
        <v>37104</v>
      </c>
      <c r="H20" s="128">
        <f>H21+H24+H25+H26</f>
        <v>0</v>
      </c>
      <c r="I20" s="128">
        <f>I21+I24+I25+I26</f>
        <v>0</v>
      </c>
      <c r="J20" s="128">
        <f>J21+J24+J25+J26</f>
        <v>29062</v>
      </c>
      <c r="K20" s="128">
        <f>K21+K24+K25+K26</f>
        <v>0</v>
      </c>
      <c r="L20" s="128">
        <f>SUM(E20:K20)</f>
        <v>256405</v>
      </c>
      <c r="M20" s="128">
        <v>0</v>
      </c>
      <c r="N20" s="128"/>
      <c r="O20" s="128">
        <v>0</v>
      </c>
      <c r="P20" s="128">
        <v>0</v>
      </c>
      <c r="Q20" s="128">
        <f>SUM(L20:P20)</f>
        <v>256405</v>
      </c>
      <c r="R20" s="129">
        <f>R21+R24+R25</f>
        <v>45</v>
      </c>
    </row>
    <row r="21" spans="1:18" ht="11.25" customHeight="1">
      <c r="A21" s="43"/>
      <c r="B21" s="93">
        <v>1.1</v>
      </c>
      <c r="C21" s="55"/>
      <c r="D21" s="189" t="s">
        <v>52</v>
      </c>
      <c r="E21" s="122">
        <f>E22+E23</f>
        <v>130992</v>
      </c>
      <c r="F21" s="122">
        <f aca="true" t="shared" si="7" ref="F21:K21">F22+F23</f>
        <v>36605</v>
      </c>
      <c r="G21" s="122">
        <f>G22+G23</f>
        <v>35700</v>
      </c>
      <c r="H21" s="122"/>
      <c r="I21" s="122">
        <f t="shared" si="7"/>
        <v>0</v>
      </c>
      <c r="J21" s="122">
        <f t="shared" si="7"/>
        <v>29062</v>
      </c>
      <c r="K21" s="122">
        <f t="shared" si="7"/>
        <v>0</v>
      </c>
      <c r="L21" s="120">
        <f aca="true" t="shared" si="8" ref="L21:L26">SUM(E21:K21)</f>
        <v>232359</v>
      </c>
      <c r="M21" s="122">
        <f>M22+M23</f>
        <v>0</v>
      </c>
      <c r="N21" s="122"/>
      <c r="O21" s="122">
        <f>O22+O23</f>
        <v>0</v>
      </c>
      <c r="P21" s="122">
        <f>P22+P23</f>
        <v>0</v>
      </c>
      <c r="Q21" s="120">
        <f t="shared" si="4"/>
        <v>232359</v>
      </c>
      <c r="R21" s="124">
        <f>R22+R23</f>
        <v>40.599999999999994</v>
      </c>
    </row>
    <row r="22" spans="1:18" s="53" customFormat="1" ht="11.25" customHeight="1">
      <c r="A22" s="85"/>
      <c r="B22" s="94"/>
      <c r="C22" s="58" t="s">
        <v>102</v>
      </c>
      <c r="D22" s="191" t="s">
        <v>107</v>
      </c>
      <c r="E22" s="187">
        <f>73283+3096+3628+298+49+6+80+100+393+1000+900+496+500+1089+873</f>
        <v>85791</v>
      </c>
      <c r="F22" s="187">
        <f>836+19787+103+1253+510+134+135+1000+294+236</f>
        <v>24288</v>
      </c>
      <c r="G22" s="187">
        <f>1500+24000+2000</f>
        <v>27500</v>
      </c>
      <c r="H22" s="187"/>
      <c r="I22" s="187"/>
      <c r="J22" s="187">
        <f>28062+1000</f>
        <v>29062</v>
      </c>
      <c r="K22" s="187"/>
      <c r="L22" s="126">
        <f t="shared" si="8"/>
        <v>166641</v>
      </c>
      <c r="M22" s="187">
        <f>3000-3000</f>
        <v>0</v>
      </c>
      <c r="N22" s="187"/>
      <c r="O22" s="187"/>
      <c r="P22" s="187"/>
      <c r="Q22" s="126">
        <f>SUM(L22:P22)</f>
        <v>166641</v>
      </c>
      <c r="R22" s="127">
        <f>25.4+1+2</f>
        <v>28.4</v>
      </c>
    </row>
    <row r="23" spans="1:18" s="53" customFormat="1" ht="11.25" customHeight="1">
      <c r="A23" s="85"/>
      <c r="B23" s="94"/>
      <c r="C23" s="58" t="s">
        <v>121</v>
      </c>
      <c r="D23" s="191" t="s">
        <v>120</v>
      </c>
      <c r="E23" s="187">
        <f>41521+1963+27+100+1000+505+85</f>
        <v>45201</v>
      </c>
      <c r="F23" s="187">
        <f>11211+677+270+136+23</f>
        <v>12317</v>
      </c>
      <c r="G23" s="187">
        <f>6200+2000</f>
        <v>8200</v>
      </c>
      <c r="H23" s="187"/>
      <c r="I23" s="187"/>
      <c r="J23" s="187"/>
      <c r="K23" s="187"/>
      <c r="L23" s="126">
        <f t="shared" si="8"/>
        <v>65718</v>
      </c>
      <c r="M23" s="187"/>
      <c r="N23" s="187"/>
      <c r="O23" s="187"/>
      <c r="P23" s="187"/>
      <c r="Q23" s="126">
        <f>SUM(L23:P23)</f>
        <v>65718</v>
      </c>
      <c r="R23" s="127">
        <v>12.2</v>
      </c>
    </row>
    <row r="24" spans="1:18" ht="11.25" customHeight="1">
      <c r="A24" s="43"/>
      <c r="B24" s="93">
        <v>1.2</v>
      </c>
      <c r="C24" s="55" t="s">
        <v>102</v>
      </c>
      <c r="D24" s="189" t="s">
        <v>122</v>
      </c>
      <c r="E24" s="122">
        <f>1329+30</f>
        <v>1359</v>
      </c>
      <c r="F24" s="122">
        <f>359+11</f>
        <v>370</v>
      </c>
      <c r="G24" s="122">
        <v>0</v>
      </c>
      <c r="H24" s="122"/>
      <c r="I24" s="122"/>
      <c r="J24" s="122"/>
      <c r="K24" s="122"/>
      <c r="L24" s="120">
        <f t="shared" si="8"/>
        <v>1729</v>
      </c>
      <c r="M24" s="122"/>
      <c r="N24" s="122"/>
      <c r="O24" s="122"/>
      <c r="P24" s="122"/>
      <c r="Q24" s="120">
        <f>SUM(L24:P24)</f>
        <v>1729</v>
      </c>
      <c r="R24" s="124">
        <v>0.2</v>
      </c>
    </row>
    <row r="25" spans="1:18" ht="11.25" customHeight="1">
      <c r="A25" s="43"/>
      <c r="B25" s="93">
        <v>1.3</v>
      </c>
      <c r="C25" s="55" t="s">
        <v>103</v>
      </c>
      <c r="D25" s="189" t="s">
        <v>53</v>
      </c>
      <c r="E25" s="122">
        <f>10953+625+9+331+437</f>
        <v>12355</v>
      </c>
      <c r="F25" s="122">
        <f>2958+216+89+118</f>
        <v>3381</v>
      </c>
      <c r="G25" s="122">
        <v>1000</v>
      </c>
      <c r="H25" s="122"/>
      <c r="I25" s="122"/>
      <c r="J25" s="122"/>
      <c r="K25" s="122"/>
      <c r="L25" s="120">
        <f t="shared" si="8"/>
        <v>16736</v>
      </c>
      <c r="M25" s="122"/>
      <c r="N25" s="122"/>
      <c r="O25" s="122"/>
      <c r="P25" s="122"/>
      <c r="Q25" s="120">
        <f t="shared" si="4"/>
        <v>16736</v>
      </c>
      <c r="R25" s="124">
        <v>4.2</v>
      </c>
    </row>
    <row r="26" spans="1:18" ht="11.25" customHeight="1">
      <c r="A26" s="90"/>
      <c r="B26" s="96">
        <v>1.4</v>
      </c>
      <c r="C26" s="63" t="s">
        <v>102</v>
      </c>
      <c r="D26" s="192" t="s">
        <v>140</v>
      </c>
      <c r="E26" s="118">
        <v>2040</v>
      </c>
      <c r="F26" s="118">
        <v>551</v>
      </c>
      <c r="G26" s="118"/>
      <c r="H26" s="118"/>
      <c r="I26" s="118"/>
      <c r="J26" s="118"/>
      <c r="K26" s="118"/>
      <c r="L26" s="120">
        <f t="shared" si="8"/>
        <v>2591</v>
      </c>
      <c r="M26" s="118"/>
      <c r="N26" s="118"/>
      <c r="O26" s="118"/>
      <c r="P26" s="118"/>
      <c r="Q26" s="120">
        <f t="shared" si="4"/>
        <v>2591</v>
      </c>
      <c r="R26" s="121"/>
    </row>
    <row r="27" spans="1:18" ht="21" customHeight="1">
      <c r="A27" s="90"/>
      <c r="B27" s="96">
        <v>1.5</v>
      </c>
      <c r="C27" s="63" t="s">
        <v>103</v>
      </c>
      <c r="D27" s="226" t="s">
        <v>184</v>
      </c>
      <c r="E27" s="118">
        <v>275</v>
      </c>
      <c r="F27" s="118">
        <v>215</v>
      </c>
      <c r="G27" s="118"/>
      <c r="H27" s="118"/>
      <c r="I27" s="118"/>
      <c r="J27" s="118"/>
      <c r="K27" s="118"/>
      <c r="L27" s="143">
        <f>SUM(E27:K27)</f>
        <v>490</v>
      </c>
      <c r="M27" s="118"/>
      <c r="N27" s="118"/>
      <c r="O27" s="118"/>
      <c r="P27" s="118"/>
      <c r="Q27" s="143">
        <f t="shared" si="4"/>
        <v>490</v>
      </c>
      <c r="R27" s="121"/>
    </row>
    <row r="28" spans="1:18" ht="11.25" customHeight="1">
      <c r="A28" s="90"/>
      <c r="B28" s="96">
        <v>1.6</v>
      </c>
      <c r="C28" s="63" t="s">
        <v>102</v>
      </c>
      <c r="D28" s="226" t="s">
        <v>190</v>
      </c>
      <c r="E28" s="118">
        <v>1621</v>
      </c>
      <c r="F28" s="118">
        <v>475</v>
      </c>
      <c r="G28" s="118">
        <v>404</v>
      </c>
      <c r="H28" s="118"/>
      <c r="I28" s="118"/>
      <c r="J28" s="118"/>
      <c r="K28" s="118"/>
      <c r="L28" s="143">
        <f>SUM(E28:K28)</f>
        <v>2500</v>
      </c>
      <c r="M28" s="118"/>
      <c r="N28" s="118"/>
      <c r="O28" s="118"/>
      <c r="P28" s="118"/>
      <c r="Q28" s="143">
        <f t="shared" si="4"/>
        <v>2500</v>
      </c>
      <c r="R28" s="121"/>
    </row>
    <row r="29" spans="1:18" s="28" customFormat="1" ht="11.25" customHeight="1">
      <c r="A29" s="91"/>
      <c r="B29" s="95" t="s">
        <v>6</v>
      </c>
      <c r="C29" s="92"/>
      <c r="D29" s="205" t="s">
        <v>133</v>
      </c>
      <c r="E29" s="143">
        <f aca="true" t="shared" si="9" ref="E29:L29">SUM(E30:E31)</f>
        <v>0</v>
      </c>
      <c r="F29" s="143">
        <f t="shared" si="9"/>
        <v>0</v>
      </c>
      <c r="G29" s="143">
        <f t="shared" si="9"/>
        <v>0</v>
      </c>
      <c r="H29" s="143">
        <f t="shared" si="9"/>
        <v>700</v>
      </c>
      <c r="I29" s="143">
        <f t="shared" si="9"/>
        <v>0</v>
      </c>
      <c r="J29" s="143">
        <f t="shared" si="9"/>
        <v>0</v>
      </c>
      <c r="K29" s="143">
        <f t="shared" si="9"/>
        <v>0</v>
      </c>
      <c r="L29" s="143">
        <f t="shared" si="9"/>
        <v>700</v>
      </c>
      <c r="M29" s="143"/>
      <c r="N29" s="143"/>
      <c r="O29" s="143"/>
      <c r="P29" s="143"/>
      <c r="Q29" s="143">
        <f>SUM(Q30:Q31)</f>
        <v>700</v>
      </c>
      <c r="R29" s="121"/>
    </row>
    <row r="30" spans="1:18" ht="11.25" customHeight="1">
      <c r="A30" s="90"/>
      <c r="B30" s="96">
        <v>2.1</v>
      </c>
      <c r="C30" s="63" t="s">
        <v>102</v>
      </c>
      <c r="D30" s="22" t="s">
        <v>141</v>
      </c>
      <c r="E30" s="122"/>
      <c r="F30" s="122"/>
      <c r="G30" s="23"/>
      <c r="H30" s="23">
        <v>600</v>
      </c>
      <c r="I30" s="122">
        <v>0</v>
      </c>
      <c r="J30" s="122">
        <v>0</v>
      </c>
      <c r="K30" s="118"/>
      <c r="L30" s="143">
        <f>SUM(E30:K30)</f>
        <v>600</v>
      </c>
      <c r="M30" s="118"/>
      <c r="N30" s="118"/>
      <c r="O30" s="118"/>
      <c r="P30" s="118"/>
      <c r="Q30" s="143">
        <f>L30</f>
        <v>600</v>
      </c>
      <c r="R30" s="121"/>
    </row>
    <row r="31" spans="1:18" ht="11.25" customHeight="1">
      <c r="A31" s="90"/>
      <c r="B31" s="96">
        <v>2.2</v>
      </c>
      <c r="C31" s="63" t="s">
        <v>102</v>
      </c>
      <c r="D31" s="34" t="s">
        <v>45</v>
      </c>
      <c r="E31" s="125"/>
      <c r="F31" s="125"/>
      <c r="G31" s="26">
        <v>0</v>
      </c>
      <c r="H31" s="26">
        <v>100</v>
      </c>
      <c r="I31" s="125">
        <v>0</v>
      </c>
      <c r="J31" s="125">
        <v>0</v>
      </c>
      <c r="K31" s="118"/>
      <c r="L31" s="143">
        <f>SUM(E31:K31)</f>
        <v>100</v>
      </c>
      <c r="M31" s="118"/>
      <c r="N31" s="118"/>
      <c r="O31" s="118"/>
      <c r="P31" s="118"/>
      <c r="Q31" s="143">
        <f>L31</f>
        <v>100</v>
      </c>
      <c r="R31" s="121"/>
    </row>
    <row r="32" spans="1:18" s="28" customFormat="1" ht="11.25" customHeight="1">
      <c r="A32" s="91"/>
      <c r="B32" s="95" t="s">
        <v>7</v>
      </c>
      <c r="C32" s="92"/>
      <c r="D32" s="193" t="s">
        <v>52</v>
      </c>
      <c r="E32" s="120">
        <f>E34+E33</f>
        <v>0</v>
      </c>
      <c r="F32" s="120">
        <f aca="true" t="shared" si="10" ref="F32:K32">F34+F33</f>
        <v>0</v>
      </c>
      <c r="G32" s="120">
        <f t="shared" si="10"/>
        <v>8300</v>
      </c>
      <c r="H32" s="120">
        <f t="shared" si="10"/>
        <v>0</v>
      </c>
      <c r="I32" s="120">
        <f t="shared" si="10"/>
        <v>0</v>
      </c>
      <c r="J32" s="120">
        <f t="shared" si="10"/>
        <v>0</v>
      </c>
      <c r="K32" s="120">
        <f t="shared" si="10"/>
        <v>0</v>
      </c>
      <c r="L32" s="143">
        <f>G32+F32+E32</f>
        <v>8300</v>
      </c>
      <c r="M32" s="143"/>
      <c r="N32" s="143"/>
      <c r="O32" s="143"/>
      <c r="P32" s="143"/>
      <c r="Q32" s="143">
        <f>L32</f>
        <v>8300</v>
      </c>
      <c r="R32" s="121"/>
    </row>
    <row r="33" spans="1:18" ht="11.25" customHeight="1">
      <c r="A33" s="90"/>
      <c r="B33" s="96">
        <v>3.1</v>
      </c>
      <c r="C33" s="63" t="s">
        <v>102</v>
      </c>
      <c r="D33" s="26" t="s">
        <v>134</v>
      </c>
      <c r="E33" s="122"/>
      <c r="F33" s="122"/>
      <c r="G33" s="23">
        <v>8000</v>
      </c>
      <c r="H33" s="23"/>
      <c r="I33" s="122"/>
      <c r="J33" s="122"/>
      <c r="K33" s="118"/>
      <c r="L33" s="143">
        <f>G33</f>
        <v>8000</v>
      </c>
      <c r="M33" s="118"/>
      <c r="N33" s="118"/>
      <c r="O33" s="118"/>
      <c r="P33" s="118"/>
      <c r="Q33" s="143">
        <f>L33</f>
        <v>8000</v>
      </c>
      <c r="R33" s="121"/>
    </row>
    <row r="34" spans="1:18" ht="11.25" customHeight="1" thickBot="1">
      <c r="A34" s="90"/>
      <c r="B34" s="96">
        <v>3.2</v>
      </c>
      <c r="C34" s="63" t="s">
        <v>102</v>
      </c>
      <c r="D34" s="23" t="s">
        <v>50</v>
      </c>
      <c r="E34" s="122"/>
      <c r="F34" s="122"/>
      <c r="G34" s="23">
        <v>300</v>
      </c>
      <c r="H34" s="23"/>
      <c r="I34" s="122"/>
      <c r="J34" s="122"/>
      <c r="K34" s="118"/>
      <c r="L34" s="143">
        <f>G34</f>
        <v>300</v>
      </c>
      <c r="M34" s="118"/>
      <c r="N34" s="118"/>
      <c r="O34" s="118"/>
      <c r="P34" s="118"/>
      <c r="Q34" s="143">
        <f>L34</f>
        <v>300</v>
      </c>
      <c r="R34" s="121"/>
    </row>
    <row r="35" spans="1:18" ht="14.25" customHeight="1">
      <c r="A35" s="258" t="s">
        <v>171</v>
      </c>
      <c r="B35" s="259"/>
      <c r="C35" s="259"/>
      <c r="D35" s="259"/>
      <c r="E35" s="138">
        <f aca="true" t="shared" si="11" ref="E35:K35">E20+E29+E32</f>
        <v>148642</v>
      </c>
      <c r="F35" s="138">
        <f t="shared" si="11"/>
        <v>41597</v>
      </c>
      <c r="G35" s="138">
        <f t="shared" si="11"/>
        <v>45404</v>
      </c>
      <c r="H35" s="138">
        <f t="shared" si="11"/>
        <v>700</v>
      </c>
      <c r="I35" s="138">
        <f t="shared" si="11"/>
        <v>0</v>
      </c>
      <c r="J35" s="138">
        <f t="shared" si="11"/>
        <v>29062</v>
      </c>
      <c r="K35" s="138">
        <f t="shared" si="11"/>
        <v>0</v>
      </c>
      <c r="L35" s="138">
        <f>SUM(E35:K35)</f>
        <v>265405</v>
      </c>
      <c r="M35" s="138">
        <f>M20</f>
        <v>0</v>
      </c>
      <c r="N35" s="138"/>
      <c r="O35" s="138">
        <f>O20</f>
        <v>0</v>
      </c>
      <c r="P35" s="138">
        <f>P20</f>
        <v>0</v>
      </c>
      <c r="Q35" s="9">
        <f>SUM(L35:P35)</f>
        <v>265405</v>
      </c>
      <c r="R35" s="144">
        <f>R20</f>
        <v>45</v>
      </c>
    </row>
    <row r="36" spans="1:18" s="53" customFormat="1" ht="10.5" customHeight="1">
      <c r="A36" s="260" t="s">
        <v>107</v>
      </c>
      <c r="B36" s="261"/>
      <c r="C36" s="261"/>
      <c r="D36" s="262"/>
      <c r="E36" s="187">
        <f>E22+E24+E26+E30+E31+E33+E34+E28</f>
        <v>90811</v>
      </c>
      <c r="F36" s="187">
        <f>F22+F24+F26+F30+F31+F33+F34+F28</f>
        <v>25684</v>
      </c>
      <c r="G36" s="187">
        <f>G22+G24+G26+G30+G31+G33+G34+G28</f>
        <v>36204</v>
      </c>
      <c r="H36" s="187">
        <f>H22+H24+H26+H30+H31+H33+H34</f>
        <v>700</v>
      </c>
      <c r="I36" s="187">
        <f>I22+I24+I26+I30+I31+I33+I34</f>
        <v>0</v>
      </c>
      <c r="J36" s="187">
        <f>J22+J24+J26+J30+J31+J33+J34</f>
        <v>29062</v>
      </c>
      <c r="K36" s="187">
        <f>K22+K24+K26+K30+K31+K33+K34</f>
        <v>0</v>
      </c>
      <c r="L36" s="126">
        <f>SUM(E36:K36)</f>
        <v>182461</v>
      </c>
      <c r="M36" s="187">
        <f>M22+M24+M31</f>
        <v>0</v>
      </c>
      <c r="N36" s="187"/>
      <c r="O36" s="187">
        <f>O22+O24+O31</f>
        <v>0</v>
      </c>
      <c r="P36" s="187">
        <f>P22+P24+P31</f>
        <v>0</v>
      </c>
      <c r="Q36" s="151">
        <f>SUM(L36:P36)</f>
        <v>182461</v>
      </c>
      <c r="R36" s="148">
        <f>R22+R24+R31</f>
        <v>28.599999999999998</v>
      </c>
    </row>
    <row r="37" spans="1:18" s="53" customFormat="1" ht="10.5" customHeight="1">
      <c r="A37" s="260" t="s">
        <v>120</v>
      </c>
      <c r="B37" s="261"/>
      <c r="C37" s="261"/>
      <c r="D37" s="262"/>
      <c r="E37" s="187">
        <f aca="true" t="shared" si="12" ref="E37:K37">E23</f>
        <v>45201</v>
      </c>
      <c r="F37" s="187">
        <f t="shared" si="12"/>
        <v>12317</v>
      </c>
      <c r="G37" s="187">
        <f t="shared" si="12"/>
        <v>8200</v>
      </c>
      <c r="H37" s="187">
        <f t="shared" si="12"/>
        <v>0</v>
      </c>
      <c r="I37" s="187">
        <f t="shared" si="12"/>
        <v>0</v>
      </c>
      <c r="J37" s="187">
        <f t="shared" si="12"/>
        <v>0</v>
      </c>
      <c r="K37" s="187">
        <f t="shared" si="12"/>
        <v>0</v>
      </c>
      <c r="L37" s="126">
        <f>SUM(E37:K37)</f>
        <v>65718</v>
      </c>
      <c r="M37" s="187">
        <v>0</v>
      </c>
      <c r="N37" s="187"/>
      <c r="O37" s="187">
        <f>O23+O25</f>
        <v>0</v>
      </c>
      <c r="P37" s="187">
        <f>P23+P25</f>
        <v>0</v>
      </c>
      <c r="Q37" s="151">
        <f>SUM(L37:P37)</f>
        <v>65718</v>
      </c>
      <c r="R37" s="148">
        <f>R23</f>
        <v>12.2</v>
      </c>
    </row>
    <row r="38" spans="1:18" s="53" customFormat="1" ht="10.5" customHeight="1" thickBot="1">
      <c r="A38" s="283" t="s">
        <v>108</v>
      </c>
      <c r="B38" s="284"/>
      <c r="C38" s="284"/>
      <c r="D38" s="285"/>
      <c r="E38" s="188">
        <f>E25+E27</f>
        <v>12630</v>
      </c>
      <c r="F38" s="188">
        <f>F25+F27</f>
        <v>3596</v>
      </c>
      <c r="G38" s="188">
        <f>G25</f>
        <v>1000</v>
      </c>
      <c r="H38" s="188">
        <f>H25</f>
        <v>0</v>
      </c>
      <c r="I38" s="188">
        <f>I25</f>
        <v>0</v>
      </c>
      <c r="J38" s="188">
        <f>J25</f>
        <v>0</v>
      </c>
      <c r="K38" s="188">
        <f>K25</f>
        <v>0</v>
      </c>
      <c r="L38" s="149">
        <f>SUM(E38:K38)</f>
        <v>17226</v>
      </c>
      <c r="M38" s="188">
        <f>M25</f>
        <v>0</v>
      </c>
      <c r="N38" s="188"/>
      <c r="O38" s="188">
        <f>O25</f>
        <v>0</v>
      </c>
      <c r="P38" s="188">
        <f>P25</f>
        <v>0</v>
      </c>
      <c r="Q38" s="153">
        <f>SUM(L38:P38)</f>
        <v>17226</v>
      </c>
      <c r="R38" s="154">
        <f>R25</f>
        <v>4.2</v>
      </c>
    </row>
    <row r="39" spans="1:18" s="28" customFormat="1" ht="12.75" customHeight="1" thickBot="1">
      <c r="A39" s="35" t="s">
        <v>10</v>
      </c>
      <c r="B39" s="82" t="s">
        <v>5</v>
      </c>
      <c r="C39" s="83" t="s">
        <v>102</v>
      </c>
      <c r="D39" s="37" t="s">
        <v>55</v>
      </c>
      <c r="E39" s="128">
        <v>0</v>
      </c>
      <c r="F39" s="128">
        <v>0</v>
      </c>
      <c r="G39" s="128">
        <f>2000</f>
        <v>2000</v>
      </c>
      <c r="H39" s="128"/>
      <c r="I39" s="128">
        <v>0</v>
      </c>
      <c r="J39" s="128">
        <f>1305-612</f>
        <v>693</v>
      </c>
      <c r="K39" s="128">
        <v>0</v>
      </c>
      <c r="L39" s="128">
        <f>SUM(E39:K39)</f>
        <v>2693</v>
      </c>
      <c r="M39" s="128"/>
      <c r="N39" s="128"/>
      <c r="O39" s="128">
        <v>6923</v>
      </c>
      <c r="P39" s="128">
        <v>0</v>
      </c>
      <c r="Q39" s="37">
        <f>SUM(L39:P39)</f>
        <v>9616</v>
      </c>
      <c r="R39" s="106"/>
    </row>
    <row r="40" spans="1:18" s="28" customFormat="1" ht="11.25" customHeight="1" thickBot="1">
      <c r="A40" s="33" t="s">
        <v>11</v>
      </c>
      <c r="B40" s="80" t="s">
        <v>5</v>
      </c>
      <c r="C40" s="81" t="s">
        <v>102</v>
      </c>
      <c r="D40" s="194" t="s">
        <v>77</v>
      </c>
      <c r="E40" s="133"/>
      <c r="F40" s="133"/>
      <c r="G40" s="133">
        <f>200+250+400</f>
        <v>850</v>
      </c>
      <c r="H40" s="133"/>
      <c r="I40" s="133"/>
      <c r="J40" s="133">
        <v>0</v>
      </c>
      <c r="K40" s="133"/>
      <c r="L40" s="133">
        <f>G40</f>
        <v>850</v>
      </c>
      <c r="M40" s="133">
        <v>5000</v>
      </c>
      <c r="N40" s="133"/>
      <c r="O40" s="133"/>
      <c r="P40" s="133"/>
      <c r="Q40" s="17">
        <f>L40+M40</f>
        <v>5850</v>
      </c>
      <c r="R40" s="134"/>
    </row>
    <row r="41" spans="1:18" s="28" customFormat="1" ht="10.5" customHeight="1" thickBot="1">
      <c r="A41" s="33" t="s">
        <v>12</v>
      </c>
      <c r="B41" s="80" t="s">
        <v>5</v>
      </c>
      <c r="C41" s="81" t="s">
        <v>102</v>
      </c>
      <c r="D41" s="194" t="s">
        <v>78</v>
      </c>
      <c r="E41" s="133"/>
      <c r="F41" s="133"/>
      <c r="G41" s="133">
        <f>400+2540</f>
        <v>2940</v>
      </c>
      <c r="H41" s="133"/>
      <c r="I41" s="133"/>
      <c r="J41" s="133">
        <v>0</v>
      </c>
      <c r="K41" s="133"/>
      <c r="L41" s="133">
        <f>G41</f>
        <v>2940</v>
      </c>
      <c r="M41" s="133">
        <v>168234</v>
      </c>
      <c r="N41" s="133"/>
      <c r="O41" s="133">
        <v>0</v>
      </c>
      <c r="P41" s="133"/>
      <c r="Q41" s="17">
        <f>M41+L41</f>
        <v>171174</v>
      </c>
      <c r="R41" s="105"/>
    </row>
    <row r="42" spans="1:18" ht="12.75" customHeight="1">
      <c r="A42" s="7" t="s">
        <v>13</v>
      </c>
      <c r="B42" s="8"/>
      <c r="C42" s="59"/>
      <c r="D42" s="9" t="s">
        <v>160</v>
      </c>
      <c r="E42" s="138">
        <f aca="true" t="shared" si="13" ref="E42:K42">E43+E44+E45+E47+E48+E51+E54+E55+E56+E57+E58+E59</f>
        <v>300</v>
      </c>
      <c r="F42" s="138">
        <f t="shared" si="13"/>
        <v>83</v>
      </c>
      <c r="G42" s="138">
        <f>G43+G44+G45+G47+G48+G51+G54+G55+G56+G57+G58+G59+G46</f>
        <v>228132</v>
      </c>
      <c r="H42" s="138">
        <f t="shared" si="13"/>
        <v>0</v>
      </c>
      <c r="I42" s="138">
        <f t="shared" si="13"/>
        <v>95923</v>
      </c>
      <c r="J42" s="138">
        <f t="shared" si="13"/>
        <v>300</v>
      </c>
      <c r="K42" s="138">
        <f t="shared" si="13"/>
        <v>0</v>
      </c>
      <c r="L42" s="138">
        <f>SUM(E42:K42)</f>
        <v>324738</v>
      </c>
      <c r="M42" s="138">
        <f>M43+M44+M45+M47+M48+M51+M54+M55+M56+M57+M58+M59</f>
        <v>580455</v>
      </c>
      <c r="N42" s="138">
        <f>N43+N44+N45+N47+N48+N51+N54+N55+N56+N57+N58+N59</f>
        <v>4513</v>
      </c>
      <c r="O42" s="138">
        <f>O43+O44+O45+O47+O48+O51+O54+O55+O56+O57+O58+O59</f>
        <v>0</v>
      </c>
      <c r="P42" s="138">
        <f>P43+P44+P45+P47+P48+P51+P54+P55+P56+P57+P58+P59</f>
        <v>0</v>
      </c>
      <c r="Q42" s="9">
        <f>SUM(L42:P42)</f>
        <v>909706</v>
      </c>
      <c r="R42" s="108"/>
    </row>
    <row r="43" spans="1:18" ht="12.75" customHeight="1">
      <c r="A43" s="14"/>
      <c r="B43" s="236" t="s">
        <v>5</v>
      </c>
      <c r="C43" s="54" t="s">
        <v>102</v>
      </c>
      <c r="D43" s="306" t="s">
        <v>58</v>
      </c>
      <c r="E43" s="122"/>
      <c r="F43" s="122">
        <v>0</v>
      </c>
      <c r="G43" s="23">
        <f>55000+3886-140+82+60+84+50+57-4957+2500-5000-2310-4519-100-311</f>
        <v>44382</v>
      </c>
      <c r="H43" s="23"/>
      <c r="I43" s="122">
        <f>2000+1100+570-570</f>
        <v>3100</v>
      </c>
      <c r="J43" s="122">
        <v>0</v>
      </c>
      <c r="K43" s="132"/>
      <c r="L43" s="120">
        <f>SUM(E43:K43)</f>
        <v>47482</v>
      </c>
      <c r="M43" s="122">
        <v>28873</v>
      </c>
      <c r="N43" s="120"/>
      <c r="O43" s="120"/>
      <c r="P43" s="120"/>
      <c r="Q43" s="123">
        <f>SUM(L43:P43)</f>
        <v>76355</v>
      </c>
      <c r="R43" s="109"/>
    </row>
    <row r="44" spans="1:18" ht="12.75" customHeight="1">
      <c r="A44" s="20"/>
      <c r="B44" s="237"/>
      <c r="C44" s="54" t="s">
        <v>103</v>
      </c>
      <c r="D44" s="307"/>
      <c r="E44" s="122"/>
      <c r="F44" s="122"/>
      <c r="G44" s="23">
        <f>10000+4000</f>
        <v>14000</v>
      </c>
      <c r="H44" s="23"/>
      <c r="I44" s="122"/>
      <c r="J44" s="122"/>
      <c r="K44" s="120"/>
      <c r="L44" s="132">
        <f>SUM(E44:K44)</f>
        <v>14000</v>
      </c>
      <c r="M44" s="118">
        <v>6400</v>
      </c>
      <c r="N44" s="143"/>
      <c r="O44" s="143"/>
      <c r="P44" s="143"/>
      <c r="Q44" s="16">
        <f aca="true" t="shared" si="14" ref="Q44:Q50">SUM(L44:P44)</f>
        <v>20400</v>
      </c>
      <c r="R44" s="107"/>
    </row>
    <row r="45" spans="1:18" ht="15" customHeight="1">
      <c r="A45" s="20"/>
      <c r="B45" s="236" t="s">
        <v>6</v>
      </c>
      <c r="C45" s="55" t="s">
        <v>103</v>
      </c>
      <c r="D45" s="308" t="s">
        <v>179</v>
      </c>
      <c r="E45" s="122"/>
      <c r="F45" s="122"/>
      <c r="G45" s="23">
        <f>15000-5613</f>
        <v>9387</v>
      </c>
      <c r="H45" s="23"/>
      <c r="I45" s="122"/>
      <c r="J45" s="122">
        <v>0</v>
      </c>
      <c r="K45" s="120"/>
      <c r="L45" s="120">
        <f aca="true" t="shared" si="15" ref="L45:L60">SUM(E45:K45)</f>
        <v>9387</v>
      </c>
      <c r="M45" s="120"/>
      <c r="N45" s="120"/>
      <c r="O45" s="120"/>
      <c r="P45" s="120"/>
      <c r="Q45" s="123">
        <f t="shared" si="14"/>
        <v>9387</v>
      </c>
      <c r="R45" s="107"/>
    </row>
    <row r="46" spans="1:18" ht="13.5" customHeight="1">
      <c r="A46" s="20"/>
      <c r="B46" s="237"/>
      <c r="C46" s="55" t="s">
        <v>102</v>
      </c>
      <c r="D46" s="309"/>
      <c r="E46" s="122"/>
      <c r="F46" s="122"/>
      <c r="G46" s="23">
        <f>5613+1515</f>
        <v>7128</v>
      </c>
      <c r="H46" s="23"/>
      <c r="I46" s="122"/>
      <c r="J46" s="122"/>
      <c r="K46" s="120"/>
      <c r="L46" s="120">
        <f t="shared" si="15"/>
        <v>7128</v>
      </c>
      <c r="M46" s="120"/>
      <c r="N46" s="120"/>
      <c r="O46" s="120"/>
      <c r="P46" s="120"/>
      <c r="Q46" s="123">
        <f t="shared" si="14"/>
        <v>7128</v>
      </c>
      <c r="R46" s="107"/>
    </row>
    <row r="47" spans="1:18" ht="46.5" customHeight="1">
      <c r="A47" s="20"/>
      <c r="B47" s="31" t="s">
        <v>7</v>
      </c>
      <c r="C47" s="55" t="s">
        <v>102</v>
      </c>
      <c r="D47" s="206" t="s">
        <v>156</v>
      </c>
      <c r="E47" s="216"/>
      <c r="F47" s="122"/>
      <c r="G47" s="23">
        <v>10000</v>
      </c>
      <c r="H47" s="23"/>
      <c r="I47" s="122"/>
      <c r="J47" s="122">
        <v>0</v>
      </c>
      <c r="K47" s="120"/>
      <c r="L47" s="120">
        <f t="shared" si="15"/>
        <v>10000</v>
      </c>
      <c r="M47" s="120"/>
      <c r="N47" s="120"/>
      <c r="O47" s="120"/>
      <c r="P47" s="120"/>
      <c r="Q47" s="123">
        <f t="shared" si="14"/>
        <v>10000</v>
      </c>
      <c r="R47" s="124"/>
    </row>
    <row r="48" spans="1:18" ht="12.75" customHeight="1">
      <c r="A48" s="20"/>
      <c r="B48" s="236" t="s">
        <v>8</v>
      </c>
      <c r="C48" s="55"/>
      <c r="D48" s="45" t="s">
        <v>0</v>
      </c>
      <c r="E48" s="122"/>
      <c r="F48" s="122"/>
      <c r="G48" s="23">
        <f>G49+G50</f>
        <v>15200</v>
      </c>
      <c r="H48" s="23"/>
      <c r="I48" s="122"/>
      <c r="J48" s="122">
        <v>0</v>
      </c>
      <c r="K48" s="120"/>
      <c r="L48" s="120">
        <f t="shared" si="15"/>
        <v>15200</v>
      </c>
      <c r="M48" s="120"/>
      <c r="N48" s="120"/>
      <c r="O48" s="120"/>
      <c r="P48" s="120"/>
      <c r="Q48" s="123">
        <f t="shared" si="14"/>
        <v>15200</v>
      </c>
      <c r="R48" s="124"/>
    </row>
    <row r="49" spans="1:18" ht="12.75" customHeight="1">
      <c r="A49" s="20"/>
      <c r="B49" s="256"/>
      <c r="C49" s="58" t="s">
        <v>102</v>
      </c>
      <c r="D49" s="182" t="s">
        <v>109</v>
      </c>
      <c r="E49" s="187"/>
      <c r="F49" s="187"/>
      <c r="G49" s="201">
        <v>12000</v>
      </c>
      <c r="H49" s="201"/>
      <c r="I49" s="187"/>
      <c r="J49" s="187">
        <v>0</v>
      </c>
      <c r="K49" s="120"/>
      <c r="L49" s="120">
        <f t="shared" si="15"/>
        <v>12000</v>
      </c>
      <c r="M49" s="120"/>
      <c r="N49" s="120"/>
      <c r="O49" s="120"/>
      <c r="P49" s="120"/>
      <c r="Q49" s="123">
        <f t="shared" si="14"/>
        <v>12000</v>
      </c>
      <c r="R49" s="124"/>
    </row>
    <row r="50" spans="1:18" ht="12.75" customHeight="1">
      <c r="A50" s="20"/>
      <c r="B50" s="237"/>
      <c r="C50" s="58" t="s">
        <v>103</v>
      </c>
      <c r="D50" s="182" t="s">
        <v>110</v>
      </c>
      <c r="E50" s="187"/>
      <c r="F50" s="187"/>
      <c r="G50" s="201">
        <f>1200+2000</f>
        <v>3200</v>
      </c>
      <c r="H50" s="201"/>
      <c r="I50" s="187"/>
      <c r="J50" s="187">
        <v>0</v>
      </c>
      <c r="K50" s="120"/>
      <c r="L50" s="120">
        <f t="shared" si="15"/>
        <v>3200</v>
      </c>
      <c r="M50" s="120"/>
      <c r="N50" s="120"/>
      <c r="O50" s="120"/>
      <c r="P50" s="120"/>
      <c r="Q50" s="123">
        <f t="shared" si="14"/>
        <v>3200</v>
      </c>
      <c r="R50" s="124"/>
    </row>
    <row r="51" spans="1:18" ht="11.25" customHeight="1">
      <c r="A51" s="20"/>
      <c r="B51" s="240">
        <v>5</v>
      </c>
      <c r="C51" s="84"/>
      <c r="D51" s="45" t="s">
        <v>56</v>
      </c>
      <c r="E51" s="122">
        <f aca="true" t="shared" si="16" ref="E51:K51">E52+E53</f>
        <v>0</v>
      </c>
      <c r="F51" s="122">
        <f t="shared" si="16"/>
        <v>0</v>
      </c>
      <c r="G51" s="122">
        <f t="shared" si="16"/>
        <v>0</v>
      </c>
      <c r="H51" s="122"/>
      <c r="I51" s="122">
        <f t="shared" si="16"/>
        <v>0</v>
      </c>
      <c r="J51" s="122">
        <f t="shared" si="16"/>
        <v>0</v>
      </c>
      <c r="K51" s="122">
        <f t="shared" si="16"/>
        <v>0</v>
      </c>
      <c r="L51" s="120">
        <f t="shared" si="15"/>
        <v>0</v>
      </c>
      <c r="M51" s="122">
        <f>M52+M53</f>
        <v>450392</v>
      </c>
      <c r="N51" s="122">
        <f>N52+N53</f>
        <v>4513</v>
      </c>
      <c r="O51" s="122">
        <f>O52+O53</f>
        <v>0</v>
      </c>
      <c r="P51" s="122">
        <f>P52+P53</f>
        <v>0</v>
      </c>
      <c r="Q51" s="123">
        <f>SUM(L51:P51)</f>
        <v>454905</v>
      </c>
      <c r="R51" s="107"/>
    </row>
    <row r="52" spans="1:18" s="53" customFormat="1" ht="11.25" customHeight="1">
      <c r="A52" s="65"/>
      <c r="B52" s="241"/>
      <c r="C52" s="72" t="s">
        <v>102</v>
      </c>
      <c r="D52" s="182" t="s">
        <v>107</v>
      </c>
      <c r="E52" s="181"/>
      <c r="F52" s="181"/>
      <c r="G52" s="203"/>
      <c r="H52" s="203"/>
      <c r="I52" s="181"/>
      <c r="J52" s="181"/>
      <c r="K52" s="181"/>
      <c r="L52" s="215">
        <f t="shared" si="15"/>
        <v>0</v>
      </c>
      <c r="M52" s="181">
        <v>347092</v>
      </c>
      <c r="N52" s="181"/>
      <c r="O52" s="181"/>
      <c r="P52" s="181"/>
      <c r="Q52" s="157">
        <f>SUM(L52:P52)</f>
        <v>347092</v>
      </c>
      <c r="R52" s="110"/>
    </row>
    <row r="53" spans="1:18" s="53" customFormat="1" ht="11.25" customHeight="1">
      <c r="A53" s="65"/>
      <c r="B53" s="242"/>
      <c r="C53" s="72" t="s">
        <v>103</v>
      </c>
      <c r="D53" s="213" t="s">
        <v>108</v>
      </c>
      <c r="E53" s="181"/>
      <c r="F53" s="181"/>
      <c r="G53" s="203"/>
      <c r="H53" s="203"/>
      <c r="I53" s="181"/>
      <c r="J53" s="181"/>
      <c r="K53" s="181"/>
      <c r="L53" s="215">
        <f t="shared" si="15"/>
        <v>0</v>
      </c>
      <c r="M53" s="181">
        <v>103300</v>
      </c>
      <c r="N53" s="181">
        <v>4513</v>
      </c>
      <c r="O53" s="181"/>
      <c r="P53" s="181"/>
      <c r="Q53" s="157">
        <f>SUM(L53:P53)</f>
        <v>107813</v>
      </c>
      <c r="R53" s="110"/>
    </row>
    <row r="54" spans="1:18" ht="11.25" customHeight="1">
      <c r="A54" s="98"/>
      <c r="B54" s="25">
        <v>6</v>
      </c>
      <c r="C54" s="99" t="s">
        <v>103</v>
      </c>
      <c r="D54" s="34" t="s">
        <v>135</v>
      </c>
      <c r="E54" s="125">
        <f>400-100</f>
        <v>300</v>
      </c>
      <c r="F54" s="125">
        <f>110-27</f>
        <v>83</v>
      </c>
      <c r="G54" s="26">
        <f>700+350+200</f>
        <v>1250</v>
      </c>
      <c r="H54" s="26"/>
      <c r="I54" s="125"/>
      <c r="J54" s="125"/>
      <c r="K54" s="125"/>
      <c r="L54" s="130">
        <f>G54+F54+E54</f>
        <v>1633</v>
      </c>
      <c r="M54" s="125"/>
      <c r="N54" s="125"/>
      <c r="O54" s="125"/>
      <c r="P54" s="125"/>
      <c r="Q54" s="131">
        <f>L54</f>
        <v>1633</v>
      </c>
      <c r="R54" s="169"/>
    </row>
    <row r="55" spans="1:18" ht="11.25" customHeight="1">
      <c r="A55" s="98"/>
      <c r="B55" s="240">
        <v>7</v>
      </c>
      <c r="C55" s="99" t="s">
        <v>102</v>
      </c>
      <c r="D55" s="34" t="s">
        <v>165</v>
      </c>
      <c r="E55" s="125"/>
      <c r="F55" s="125"/>
      <c r="G55" s="26">
        <v>103851</v>
      </c>
      <c r="H55" s="26"/>
      <c r="I55" s="125"/>
      <c r="J55" s="125">
        <v>300</v>
      </c>
      <c r="K55" s="125"/>
      <c r="L55" s="130">
        <f>G55+J55</f>
        <v>104151</v>
      </c>
      <c r="M55" s="125">
        <v>28856</v>
      </c>
      <c r="N55" s="125"/>
      <c r="O55" s="125"/>
      <c r="P55" s="125"/>
      <c r="Q55" s="131">
        <f>L55+M55</f>
        <v>133007</v>
      </c>
      <c r="R55" s="111"/>
    </row>
    <row r="56" spans="1:18" ht="11.25" customHeight="1">
      <c r="A56" s="98"/>
      <c r="B56" s="241"/>
      <c r="C56" s="99" t="s">
        <v>102</v>
      </c>
      <c r="D56" s="22" t="s">
        <v>164</v>
      </c>
      <c r="E56" s="125"/>
      <c r="F56" s="125"/>
      <c r="G56" s="26">
        <v>3265</v>
      </c>
      <c r="H56" s="26"/>
      <c r="I56" s="125"/>
      <c r="J56" s="125"/>
      <c r="K56" s="125"/>
      <c r="L56" s="130">
        <f>SUM(E56:K56)</f>
        <v>3265</v>
      </c>
      <c r="M56" s="125"/>
      <c r="N56" s="125"/>
      <c r="O56" s="125"/>
      <c r="P56" s="125"/>
      <c r="Q56" s="131">
        <f>SUM(L56:P56)</f>
        <v>3265</v>
      </c>
      <c r="R56" s="111"/>
    </row>
    <row r="57" spans="1:18" ht="11.25" customHeight="1">
      <c r="A57" s="98"/>
      <c r="B57" s="242"/>
      <c r="C57" s="99" t="s">
        <v>103</v>
      </c>
      <c r="D57" s="15" t="s">
        <v>166</v>
      </c>
      <c r="E57" s="125"/>
      <c r="F57" s="125"/>
      <c r="G57" s="26">
        <f>14669</f>
        <v>14669</v>
      </c>
      <c r="H57" s="26"/>
      <c r="I57" s="125"/>
      <c r="J57" s="125"/>
      <c r="K57" s="125"/>
      <c r="L57" s="130">
        <f>SUM(E57:K57)</f>
        <v>14669</v>
      </c>
      <c r="M57" s="125"/>
      <c r="N57" s="125"/>
      <c r="O57" s="125"/>
      <c r="P57" s="125"/>
      <c r="Q57" s="131">
        <f>SUM(L57:P57)</f>
        <v>14669</v>
      </c>
      <c r="R57" s="169"/>
    </row>
    <row r="58" spans="1:18" ht="14.25" customHeight="1">
      <c r="A58" s="98"/>
      <c r="B58" s="25">
        <v>8</v>
      </c>
      <c r="C58" s="99" t="s">
        <v>102</v>
      </c>
      <c r="D58" s="180" t="s">
        <v>174</v>
      </c>
      <c r="E58" s="125">
        <v>0</v>
      </c>
      <c r="F58" s="125">
        <v>0</v>
      </c>
      <c r="G58" s="26">
        <v>5000</v>
      </c>
      <c r="H58" s="26"/>
      <c r="I58" s="125"/>
      <c r="J58" s="125"/>
      <c r="K58" s="125"/>
      <c r="L58" s="130">
        <f>SUM(E58:K58)</f>
        <v>5000</v>
      </c>
      <c r="M58" s="125">
        <v>65934</v>
      </c>
      <c r="N58" s="125"/>
      <c r="O58" s="125"/>
      <c r="P58" s="125"/>
      <c r="Q58" s="131">
        <f>SUM(L58:P58)</f>
        <v>70934</v>
      </c>
      <c r="R58" s="169"/>
    </row>
    <row r="59" spans="1:18" ht="12.75" customHeight="1" thickBot="1">
      <c r="A59" s="30"/>
      <c r="B59" s="19">
        <v>9</v>
      </c>
      <c r="C59" s="97" t="s">
        <v>102</v>
      </c>
      <c r="D59" s="69" t="s">
        <v>158</v>
      </c>
      <c r="E59" s="140"/>
      <c r="F59" s="140"/>
      <c r="G59" s="139"/>
      <c r="H59" s="139"/>
      <c r="I59" s="140">
        <f>92823</f>
        <v>92823</v>
      </c>
      <c r="J59" s="140"/>
      <c r="K59" s="140"/>
      <c r="L59" s="141">
        <f>SUM(E59:K59)</f>
        <v>92823</v>
      </c>
      <c r="M59" s="140"/>
      <c r="N59" s="140"/>
      <c r="O59" s="140"/>
      <c r="P59" s="140"/>
      <c r="Q59" s="142">
        <f>SUM(L59:P59)</f>
        <v>92823</v>
      </c>
      <c r="R59" s="156"/>
    </row>
    <row r="60" spans="1:18" s="28" customFormat="1" ht="11.25" customHeight="1">
      <c r="A60" s="35" t="s">
        <v>14</v>
      </c>
      <c r="B60" s="36" t="s">
        <v>44</v>
      </c>
      <c r="C60" s="66"/>
      <c r="D60" s="199" t="s">
        <v>114</v>
      </c>
      <c r="E60" s="128">
        <f>E61+E62</f>
        <v>0</v>
      </c>
      <c r="F60" s="128">
        <f aca="true" t="shared" si="17" ref="F60:K60">F61+F62</f>
        <v>0</v>
      </c>
      <c r="G60" s="128">
        <f>G61+G62</f>
        <v>39290</v>
      </c>
      <c r="H60" s="128">
        <f t="shared" si="17"/>
        <v>0</v>
      </c>
      <c r="I60" s="128">
        <f t="shared" si="17"/>
        <v>0</v>
      </c>
      <c r="J60" s="128">
        <f t="shared" si="17"/>
        <v>0</v>
      </c>
      <c r="K60" s="128">
        <f t="shared" si="17"/>
        <v>0</v>
      </c>
      <c r="L60" s="128">
        <f t="shared" si="15"/>
        <v>39290</v>
      </c>
      <c r="M60" s="128">
        <f>M61+M62</f>
        <v>140616</v>
      </c>
      <c r="N60" s="128">
        <f>N61+N62</f>
        <v>0</v>
      </c>
      <c r="O60" s="128">
        <f>O61+O62</f>
        <v>0</v>
      </c>
      <c r="P60" s="128">
        <f>P61+P62</f>
        <v>0</v>
      </c>
      <c r="Q60" s="37">
        <f>SUM(L60:P60)</f>
        <v>179906</v>
      </c>
      <c r="R60" s="108"/>
    </row>
    <row r="61" spans="1:18" ht="11.25" customHeight="1">
      <c r="A61" s="29"/>
      <c r="B61" s="21" t="s">
        <v>5</v>
      </c>
      <c r="C61" s="55" t="s">
        <v>102</v>
      </c>
      <c r="D61" s="22" t="s">
        <v>57</v>
      </c>
      <c r="E61" s="122"/>
      <c r="F61" s="122"/>
      <c r="G61" s="122">
        <f>30500+2900+8890-5000-3000</f>
        <v>34290</v>
      </c>
      <c r="H61" s="122"/>
      <c r="I61" s="122"/>
      <c r="J61" s="122">
        <v>0</v>
      </c>
      <c r="K61" s="122"/>
      <c r="L61" s="120">
        <f>G61</f>
        <v>34290</v>
      </c>
      <c r="M61" s="122">
        <v>0</v>
      </c>
      <c r="N61" s="122"/>
      <c r="O61" s="122"/>
      <c r="P61" s="122"/>
      <c r="Q61" s="123">
        <f>L61+M61</f>
        <v>34290</v>
      </c>
      <c r="R61" s="124"/>
    </row>
    <row r="62" spans="1:18" ht="11.25" customHeight="1" thickBot="1">
      <c r="A62" s="30"/>
      <c r="B62" s="19" t="s">
        <v>6</v>
      </c>
      <c r="C62" s="57" t="s">
        <v>102</v>
      </c>
      <c r="D62" s="178" t="s">
        <v>2</v>
      </c>
      <c r="E62" s="140"/>
      <c r="F62" s="140"/>
      <c r="G62" s="140">
        <v>5000</v>
      </c>
      <c r="H62" s="140"/>
      <c r="I62" s="140"/>
      <c r="J62" s="140">
        <v>0</v>
      </c>
      <c r="K62" s="140"/>
      <c r="L62" s="141">
        <f>G62</f>
        <v>5000</v>
      </c>
      <c r="M62" s="140">
        <v>140616</v>
      </c>
      <c r="N62" s="140"/>
      <c r="O62" s="140">
        <v>0</v>
      </c>
      <c r="P62" s="140"/>
      <c r="Q62" s="142">
        <f>M62+L62+O62</f>
        <v>145616</v>
      </c>
      <c r="R62" s="112"/>
    </row>
    <row r="63" spans="1:18" ht="11.25" customHeight="1" thickBot="1">
      <c r="A63" s="41" t="s">
        <v>15</v>
      </c>
      <c r="B63" s="74" t="s">
        <v>5</v>
      </c>
      <c r="C63" s="68" t="s">
        <v>102</v>
      </c>
      <c r="D63" s="46" t="s">
        <v>59</v>
      </c>
      <c r="E63" s="195"/>
      <c r="F63" s="195"/>
      <c r="G63" s="46">
        <f>7300+1500+4000+5000</f>
        <v>17800</v>
      </c>
      <c r="H63" s="46"/>
      <c r="I63" s="195"/>
      <c r="J63" s="195">
        <v>0</v>
      </c>
      <c r="K63" s="195"/>
      <c r="L63" s="196">
        <f aca="true" t="shared" si="18" ref="L63:L70">SUM(E63:K63)</f>
        <v>17800</v>
      </c>
      <c r="M63" s="195"/>
      <c r="N63" s="195"/>
      <c r="O63" s="195"/>
      <c r="P63" s="195"/>
      <c r="Q63" s="46">
        <f>SUM(L63:P63)</f>
        <v>17800</v>
      </c>
      <c r="R63" s="88"/>
    </row>
    <row r="64" spans="1:18" s="28" customFormat="1" ht="11.25" customHeight="1">
      <c r="A64" s="35" t="s">
        <v>18</v>
      </c>
      <c r="B64" s="36"/>
      <c r="C64" s="51"/>
      <c r="D64" s="204" t="s">
        <v>51</v>
      </c>
      <c r="E64" s="128">
        <f>E65+E68+E69+E70+E71+E72+E73+E74+E75+E76+E77+E78</f>
        <v>32167</v>
      </c>
      <c r="F64" s="128">
        <f aca="true" t="shared" si="19" ref="F64:K64">F65+F68+F69+F70+F71+F72+F73+F74+F75+F76+F77+F78</f>
        <v>9556</v>
      </c>
      <c r="G64" s="128">
        <f t="shared" si="19"/>
        <v>94475</v>
      </c>
      <c r="H64" s="128">
        <f t="shared" si="19"/>
        <v>0</v>
      </c>
      <c r="I64" s="128">
        <f t="shared" si="19"/>
        <v>0</v>
      </c>
      <c r="J64" s="128">
        <f t="shared" si="19"/>
        <v>1305</v>
      </c>
      <c r="K64" s="128">
        <f t="shared" si="19"/>
        <v>322664</v>
      </c>
      <c r="L64" s="128">
        <f>SUM(E64:K64)</f>
        <v>460167</v>
      </c>
      <c r="M64" s="128">
        <f>M65+M68+M69+M70+M71+M72+M73+M74+M75+M76+M77+M78</f>
        <v>8128</v>
      </c>
      <c r="N64" s="128">
        <f>N65+N68+N69+N70+N71+N72+N73+N74+N75+N76+N77+N78</f>
        <v>0</v>
      </c>
      <c r="O64" s="128">
        <f>O65+O68+O69+O70+O71+O72+O73+O74+O75+O76+O77+O78</f>
        <v>0</v>
      </c>
      <c r="P64" s="128">
        <f>P65+P68+P69+P70+P71+P72+P73+P74+P75+P76+P77+P78</f>
        <v>0</v>
      </c>
      <c r="Q64" s="37">
        <f aca="true" t="shared" si="20" ref="Q64:Q72">SUM(L64:P64)</f>
        <v>468295</v>
      </c>
      <c r="R64" s="152">
        <f>R66</f>
        <v>1</v>
      </c>
    </row>
    <row r="65" spans="1:18" ht="10.5" customHeight="1">
      <c r="A65" s="20"/>
      <c r="B65" s="240" t="s">
        <v>5</v>
      </c>
      <c r="C65" s="55"/>
      <c r="D65" s="22" t="s">
        <v>60</v>
      </c>
      <c r="E65" s="125">
        <f>E66+E67</f>
        <v>31334</v>
      </c>
      <c r="F65" s="125">
        <f>F66+F67</f>
        <v>9332</v>
      </c>
      <c r="G65" s="125">
        <f>G66+G67</f>
        <v>4300</v>
      </c>
      <c r="H65" s="125"/>
      <c r="I65" s="122"/>
      <c r="J65" s="122">
        <v>0</v>
      </c>
      <c r="K65" s="122">
        <v>0</v>
      </c>
      <c r="L65" s="120">
        <f t="shared" si="18"/>
        <v>44966</v>
      </c>
      <c r="M65" s="122"/>
      <c r="N65" s="122"/>
      <c r="O65" s="122"/>
      <c r="P65" s="122">
        <v>0</v>
      </c>
      <c r="Q65" s="123">
        <f t="shared" si="20"/>
        <v>44966</v>
      </c>
      <c r="R65" s="124"/>
    </row>
    <row r="66" spans="1:18" ht="12.75" customHeight="1">
      <c r="A66" s="20"/>
      <c r="B66" s="241"/>
      <c r="C66" s="58" t="s">
        <v>102</v>
      </c>
      <c r="D66" s="182" t="s">
        <v>107</v>
      </c>
      <c r="E66" s="181">
        <f>10379</f>
        <v>10379</v>
      </c>
      <c r="F66" s="181">
        <f>2853</f>
        <v>2853</v>
      </c>
      <c r="G66" s="181">
        <f>1000</f>
        <v>1000</v>
      </c>
      <c r="H66" s="181"/>
      <c r="I66" s="122"/>
      <c r="J66" s="122"/>
      <c r="K66" s="122"/>
      <c r="L66" s="120">
        <f t="shared" si="18"/>
        <v>14232</v>
      </c>
      <c r="M66" s="122"/>
      <c r="N66" s="122"/>
      <c r="O66" s="122"/>
      <c r="P66" s="122"/>
      <c r="Q66" s="123">
        <f t="shared" si="20"/>
        <v>14232</v>
      </c>
      <c r="R66" s="124">
        <v>1</v>
      </c>
    </row>
    <row r="67" spans="1:18" ht="12.75" customHeight="1">
      <c r="A67" s="20"/>
      <c r="B67" s="242"/>
      <c r="C67" s="58" t="s">
        <v>103</v>
      </c>
      <c r="D67" s="182" t="s">
        <v>108</v>
      </c>
      <c r="E67" s="181">
        <f>16332+1623+1000+2000</f>
        <v>20955</v>
      </c>
      <c r="F67" s="181">
        <f>4410+439+510+620+500</f>
        <v>6479</v>
      </c>
      <c r="G67" s="181">
        <f>2000+1300</f>
        <v>3300</v>
      </c>
      <c r="H67" s="181"/>
      <c r="I67" s="122"/>
      <c r="J67" s="122"/>
      <c r="K67" s="122"/>
      <c r="L67" s="120">
        <f t="shared" si="18"/>
        <v>30734</v>
      </c>
      <c r="M67" s="122"/>
      <c r="N67" s="122"/>
      <c r="O67" s="122"/>
      <c r="P67" s="122"/>
      <c r="Q67" s="123">
        <f t="shared" si="20"/>
        <v>30734</v>
      </c>
      <c r="R67" s="124"/>
    </row>
    <row r="68" spans="1:18" ht="12.75" customHeight="1">
      <c r="A68" s="20"/>
      <c r="B68" s="21" t="s">
        <v>6</v>
      </c>
      <c r="C68" s="55" t="s">
        <v>102</v>
      </c>
      <c r="D68" s="22" t="s">
        <v>79</v>
      </c>
      <c r="E68" s="122"/>
      <c r="F68" s="122"/>
      <c r="G68" s="122">
        <v>1400</v>
      </c>
      <c r="H68" s="122"/>
      <c r="I68" s="122"/>
      <c r="J68" s="122"/>
      <c r="K68" s="122"/>
      <c r="L68" s="120">
        <f t="shared" si="18"/>
        <v>1400</v>
      </c>
      <c r="M68" s="122"/>
      <c r="N68" s="122"/>
      <c r="O68" s="122"/>
      <c r="P68" s="122"/>
      <c r="Q68" s="123">
        <f t="shared" si="20"/>
        <v>1400</v>
      </c>
      <c r="R68" s="124"/>
    </row>
    <row r="69" spans="1:18" ht="11.25" customHeight="1">
      <c r="A69" s="20"/>
      <c r="B69" s="236" t="s">
        <v>7</v>
      </c>
      <c r="C69" s="55" t="s">
        <v>102</v>
      </c>
      <c r="D69" s="252" t="s">
        <v>61</v>
      </c>
      <c r="E69" s="173"/>
      <c r="F69" s="173"/>
      <c r="G69" s="171"/>
      <c r="H69" s="171"/>
      <c r="I69" s="173"/>
      <c r="J69" s="122">
        <v>0</v>
      </c>
      <c r="K69" s="122">
        <f>5000+320000-10406</f>
        <v>314594</v>
      </c>
      <c r="L69" s="120">
        <f t="shared" si="18"/>
        <v>314594</v>
      </c>
      <c r="M69" s="122"/>
      <c r="N69" s="122"/>
      <c r="O69" s="122"/>
      <c r="P69" s="122"/>
      <c r="Q69" s="123">
        <f t="shared" si="20"/>
        <v>314594</v>
      </c>
      <c r="R69" s="124"/>
    </row>
    <row r="70" spans="1:18" ht="11.25" customHeight="1">
      <c r="A70" s="20"/>
      <c r="B70" s="237"/>
      <c r="C70" s="55" t="s">
        <v>103</v>
      </c>
      <c r="D70" s="253"/>
      <c r="E70" s="122"/>
      <c r="F70" s="122"/>
      <c r="G70" s="23"/>
      <c r="H70" s="23"/>
      <c r="I70" s="122"/>
      <c r="J70" s="122"/>
      <c r="K70" s="122">
        <f>12320-50-200-300-400-2500-20-50-100-330-200-100</f>
        <v>8070</v>
      </c>
      <c r="L70" s="120">
        <f t="shared" si="18"/>
        <v>8070</v>
      </c>
      <c r="M70" s="122"/>
      <c r="N70" s="122"/>
      <c r="O70" s="122"/>
      <c r="P70" s="122"/>
      <c r="Q70" s="123">
        <f t="shared" si="20"/>
        <v>8070</v>
      </c>
      <c r="R70" s="124"/>
    </row>
    <row r="71" spans="1:18" ht="11.25" customHeight="1">
      <c r="A71" s="20"/>
      <c r="B71" s="236" t="s">
        <v>8</v>
      </c>
      <c r="C71" s="55" t="s">
        <v>103</v>
      </c>
      <c r="D71" s="247" t="s">
        <v>181</v>
      </c>
      <c r="E71" s="122"/>
      <c r="F71" s="122"/>
      <c r="G71" s="23">
        <f>4156+3760-4156-3760</f>
        <v>0</v>
      </c>
      <c r="H71" s="23"/>
      <c r="I71" s="122">
        <f>250-250</f>
        <v>0</v>
      </c>
      <c r="J71" s="122">
        <v>0</v>
      </c>
      <c r="K71" s="122"/>
      <c r="L71" s="120">
        <f>SUM(E71:K71)</f>
        <v>0</v>
      </c>
      <c r="M71" s="122">
        <v>0</v>
      </c>
      <c r="N71" s="122"/>
      <c r="O71" s="122"/>
      <c r="P71" s="122">
        <v>0</v>
      </c>
      <c r="Q71" s="123">
        <f t="shared" si="20"/>
        <v>0</v>
      </c>
      <c r="R71" s="124"/>
    </row>
    <row r="72" spans="1:18" ht="11.25" customHeight="1">
      <c r="A72" s="24"/>
      <c r="B72" s="237"/>
      <c r="C72" s="54" t="s">
        <v>102</v>
      </c>
      <c r="D72" s="248"/>
      <c r="E72" s="125"/>
      <c r="F72" s="125"/>
      <c r="G72" s="26">
        <f>8890+82+60+84+50+57+900+316+3175+3672+351-8890-82-60-84-50-57-900-316-3175-3672-351</f>
        <v>0</v>
      </c>
      <c r="H72" s="26"/>
      <c r="I72" s="125"/>
      <c r="J72" s="125"/>
      <c r="K72" s="125">
        <f>320000-320000</f>
        <v>0</v>
      </c>
      <c r="L72" s="120">
        <f>SUM(E72:K72)</f>
        <v>0</v>
      </c>
      <c r="M72" s="125">
        <f>3302+35+545+3441+5080-3302-35-545-3441-5080</f>
        <v>0</v>
      </c>
      <c r="N72" s="125"/>
      <c r="O72" s="125"/>
      <c r="P72" s="125"/>
      <c r="Q72" s="123">
        <f t="shared" si="20"/>
        <v>0</v>
      </c>
      <c r="R72" s="135"/>
    </row>
    <row r="73" spans="1:18" ht="11.25" customHeight="1">
      <c r="A73" s="24"/>
      <c r="B73" s="32" t="s">
        <v>9</v>
      </c>
      <c r="C73" s="54" t="s">
        <v>103</v>
      </c>
      <c r="D73" s="180" t="s">
        <v>112</v>
      </c>
      <c r="E73" s="125"/>
      <c r="F73" s="125"/>
      <c r="G73" s="26"/>
      <c r="H73" s="26"/>
      <c r="I73" s="125"/>
      <c r="J73" s="125">
        <f>849+456</f>
        <v>1305</v>
      </c>
      <c r="K73" s="125">
        <v>0</v>
      </c>
      <c r="L73" s="130">
        <f>K73+J73</f>
        <v>1305</v>
      </c>
      <c r="M73" s="125"/>
      <c r="N73" s="125"/>
      <c r="O73" s="125"/>
      <c r="P73" s="125"/>
      <c r="Q73" s="131">
        <f>L73+O73</f>
        <v>1305</v>
      </c>
      <c r="R73" s="135"/>
    </row>
    <row r="74" spans="1:18" ht="11.25" customHeight="1">
      <c r="A74" s="24"/>
      <c r="B74" s="236" t="s">
        <v>10</v>
      </c>
      <c r="C74" s="54" t="s">
        <v>102</v>
      </c>
      <c r="D74" s="247" t="s">
        <v>52</v>
      </c>
      <c r="E74" s="125">
        <v>0</v>
      </c>
      <c r="F74" s="125">
        <v>0</v>
      </c>
      <c r="G74" s="26">
        <f>14000-2867+2000+900+316+1</f>
        <v>14350</v>
      </c>
      <c r="H74" s="26"/>
      <c r="I74" s="125"/>
      <c r="J74" s="125">
        <v>0</v>
      </c>
      <c r="K74" s="125">
        <v>0</v>
      </c>
      <c r="L74" s="130">
        <f>SUM(E74:K74)</f>
        <v>14350</v>
      </c>
      <c r="M74" s="125">
        <v>0</v>
      </c>
      <c r="N74" s="125"/>
      <c r="O74" s="125">
        <f>2000-2000</f>
        <v>0</v>
      </c>
      <c r="P74" s="125"/>
      <c r="Q74" s="131">
        <f>SUM(L74:P74)</f>
        <v>14350</v>
      </c>
      <c r="R74" s="135"/>
    </row>
    <row r="75" spans="1:18" ht="11.25" customHeight="1">
      <c r="A75" s="24"/>
      <c r="B75" s="237"/>
      <c r="C75" s="54" t="s">
        <v>103</v>
      </c>
      <c r="D75" s="248"/>
      <c r="E75" s="125">
        <v>833</v>
      </c>
      <c r="F75" s="125">
        <v>224</v>
      </c>
      <c r="G75" s="26">
        <f>5000+3000</f>
        <v>8000</v>
      </c>
      <c r="H75" s="26"/>
      <c r="I75" s="125"/>
      <c r="J75" s="125"/>
      <c r="K75" s="125"/>
      <c r="L75" s="130">
        <f>SUM(E75:K75)</f>
        <v>9057</v>
      </c>
      <c r="M75" s="125"/>
      <c r="N75" s="125"/>
      <c r="O75" s="125"/>
      <c r="P75" s="125"/>
      <c r="Q75" s="131">
        <f>SUM(L75:P75)</f>
        <v>9057</v>
      </c>
      <c r="R75" s="135"/>
    </row>
    <row r="76" spans="1:18" ht="11.25" customHeight="1">
      <c r="A76" s="24"/>
      <c r="B76" s="32" t="s">
        <v>11</v>
      </c>
      <c r="C76" s="54" t="s">
        <v>102</v>
      </c>
      <c r="D76" s="202" t="s">
        <v>147</v>
      </c>
      <c r="E76" s="125"/>
      <c r="F76" s="125"/>
      <c r="G76" s="26">
        <f>12000+50650</f>
        <v>62650</v>
      </c>
      <c r="H76" s="26"/>
      <c r="I76" s="125"/>
      <c r="J76" s="125"/>
      <c r="K76" s="125"/>
      <c r="L76" s="130">
        <f>G76</f>
        <v>62650</v>
      </c>
      <c r="M76" s="125"/>
      <c r="N76" s="125"/>
      <c r="O76" s="125"/>
      <c r="P76" s="125"/>
      <c r="Q76" s="131">
        <f>L76</f>
        <v>62650</v>
      </c>
      <c r="R76" s="135"/>
    </row>
    <row r="77" spans="1:18" ht="11.25" customHeight="1">
      <c r="A77" s="24"/>
      <c r="B77" s="32" t="s">
        <v>12</v>
      </c>
      <c r="C77" s="54" t="s">
        <v>102</v>
      </c>
      <c r="D77" s="202" t="s">
        <v>142</v>
      </c>
      <c r="E77" s="174"/>
      <c r="F77" s="174"/>
      <c r="G77" s="26">
        <v>3000</v>
      </c>
      <c r="H77" s="172"/>
      <c r="I77" s="174"/>
      <c r="J77" s="174"/>
      <c r="K77" s="174"/>
      <c r="L77" s="130">
        <f>SUM(E77:K77)</f>
        <v>3000</v>
      </c>
      <c r="M77" s="125">
        <v>8128</v>
      </c>
      <c r="N77" s="125"/>
      <c r="O77" s="125"/>
      <c r="P77" s="125"/>
      <c r="Q77" s="131">
        <f>SUM(L77:P77)</f>
        <v>11128</v>
      </c>
      <c r="R77" s="135"/>
    </row>
    <row r="78" spans="1:18" ht="11.25" customHeight="1" thickBot="1">
      <c r="A78" s="18"/>
      <c r="B78" s="221" t="s">
        <v>13</v>
      </c>
      <c r="C78" s="57" t="s">
        <v>103</v>
      </c>
      <c r="D78" s="222" t="s">
        <v>182</v>
      </c>
      <c r="E78" s="223"/>
      <c r="F78" s="223"/>
      <c r="G78" s="139">
        <f>464+311</f>
        <v>775</v>
      </c>
      <c r="H78" s="224"/>
      <c r="I78" s="223"/>
      <c r="J78" s="223"/>
      <c r="K78" s="223"/>
      <c r="L78" s="141">
        <f>SUM(E78:K78)</f>
        <v>775</v>
      </c>
      <c r="M78" s="140"/>
      <c r="N78" s="140"/>
      <c r="O78" s="140"/>
      <c r="P78" s="140"/>
      <c r="Q78" s="142">
        <f>SUM(L78:P78)</f>
        <v>775</v>
      </c>
      <c r="R78" s="145"/>
    </row>
    <row r="79" spans="1:18" s="28" customFormat="1" ht="11.25" customHeight="1" thickBot="1">
      <c r="A79" s="7" t="s">
        <v>19</v>
      </c>
      <c r="B79" s="76" t="s">
        <v>5</v>
      </c>
      <c r="C79" s="59" t="s">
        <v>103</v>
      </c>
      <c r="D79" s="47" t="s">
        <v>111</v>
      </c>
      <c r="E79" s="138">
        <v>1000</v>
      </c>
      <c r="F79" s="138">
        <v>510</v>
      </c>
      <c r="G79" s="138">
        <f>5490+250+100</f>
        <v>5840</v>
      </c>
      <c r="H79" s="138"/>
      <c r="I79" s="138">
        <v>0</v>
      </c>
      <c r="J79" s="138">
        <v>0</v>
      </c>
      <c r="K79" s="138">
        <v>0</v>
      </c>
      <c r="L79" s="138">
        <f>SUM(E79:K79)</f>
        <v>7350</v>
      </c>
      <c r="M79" s="138">
        <v>0</v>
      </c>
      <c r="N79" s="138"/>
      <c r="O79" s="138">
        <v>0</v>
      </c>
      <c r="P79" s="138">
        <v>0</v>
      </c>
      <c r="Q79" s="9">
        <f>SUM(L79:P79)</f>
        <v>7350</v>
      </c>
      <c r="R79" s="108"/>
    </row>
    <row r="80" spans="1:18" s="28" customFormat="1" ht="11.25" customHeight="1">
      <c r="A80" s="7" t="s">
        <v>20</v>
      </c>
      <c r="B80" s="75"/>
      <c r="C80" s="89"/>
      <c r="D80" s="9" t="s">
        <v>80</v>
      </c>
      <c r="E80" s="138">
        <f>E81+E82+E84+E83</f>
        <v>1952</v>
      </c>
      <c r="F80" s="138">
        <f>F81+F82+F84+F83</f>
        <v>540</v>
      </c>
      <c r="G80" s="138">
        <f>G81+G82+G84+G83</f>
        <v>7855</v>
      </c>
      <c r="H80" s="138"/>
      <c r="I80" s="138">
        <f>I81+I82+I84+I83</f>
        <v>100</v>
      </c>
      <c r="J80" s="138">
        <f>J81+J82+J84+J83</f>
        <v>2200</v>
      </c>
      <c r="K80" s="138">
        <f>K81+K82+K84+K83</f>
        <v>0</v>
      </c>
      <c r="L80" s="138">
        <f>L81+L82+L84+L83</f>
        <v>12647</v>
      </c>
      <c r="M80" s="138">
        <f>M81+M82+M84</f>
        <v>0</v>
      </c>
      <c r="N80" s="138"/>
      <c r="O80" s="138">
        <f>O81+O82+O84</f>
        <v>0</v>
      </c>
      <c r="P80" s="138">
        <f>P81+P82+P84</f>
        <v>0</v>
      </c>
      <c r="Q80" s="9">
        <f>SUM(L80:P80)</f>
        <v>12647</v>
      </c>
      <c r="R80" s="144">
        <f>SUM(R81:R82)</f>
        <v>1</v>
      </c>
    </row>
    <row r="81" spans="1:18" ht="11.25" customHeight="1">
      <c r="A81" s="20"/>
      <c r="B81" s="40" t="s">
        <v>5</v>
      </c>
      <c r="C81" s="55" t="s">
        <v>103</v>
      </c>
      <c r="D81" s="23" t="s">
        <v>62</v>
      </c>
      <c r="E81" s="122">
        <f>1740+148+2+62</f>
        <v>1952</v>
      </c>
      <c r="F81" s="122">
        <f>470+53+17</f>
        <v>540</v>
      </c>
      <c r="G81" s="23">
        <f>2950</f>
        <v>2950</v>
      </c>
      <c r="H81" s="23"/>
      <c r="I81" s="122"/>
      <c r="J81" s="122">
        <v>0</v>
      </c>
      <c r="K81" s="122"/>
      <c r="L81" s="120">
        <f>SUM(E81:K81)</f>
        <v>5442</v>
      </c>
      <c r="M81" s="122">
        <v>0</v>
      </c>
      <c r="N81" s="122"/>
      <c r="O81" s="122"/>
      <c r="P81" s="122"/>
      <c r="Q81" s="123">
        <f>SUM(L81:P81)</f>
        <v>5442</v>
      </c>
      <c r="R81" s="124">
        <v>1</v>
      </c>
    </row>
    <row r="82" spans="1:18" ht="11.25" customHeight="1">
      <c r="A82" s="24"/>
      <c r="B82" s="71" t="s">
        <v>6</v>
      </c>
      <c r="C82" s="54" t="s">
        <v>102</v>
      </c>
      <c r="D82" s="26" t="s">
        <v>54</v>
      </c>
      <c r="E82" s="125">
        <v>0</v>
      </c>
      <c r="F82" s="125">
        <v>0</v>
      </c>
      <c r="G82" s="26">
        <v>600</v>
      </c>
      <c r="H82" s="26"/>
      <c r="I82" s="125"/>
      <c r="J82" s="125">
        <v>2200</v>
      </c>
      <c r="K82" s="125">
        <v>0</v>
      </c>
      <c r="L82" s="130">
        <f>SUM(E82:K82)</f>
        <v>2800</v>
      </c>
      <c r="M82" s="125"/>
      <c r="N82" s="125"/>
      <c r="O82" s="125">
        <v>0</v>
      </c>
      <c r="P82" s="125"/>
      <c r="Q82" s="131">
        <f aca="true" t="shared" si="21" ref="Q82:Q99">SUM(L82:P82)</f>
        <v>2800</v>
      </c>
      <c r="R82" s="135"/>
    </row>
    <row r="83" spans="1:18" ht="11.25" customHeight="1">
      <c r="A83" s="20"/>
      <c r="B83" s="40" t="s">
        <v>7</v>
      </c>
      <c r="C83" s="55" t="s">
        <v>103</v>
      </c>
      <c r="D83" s="22" t="s">
        <v>130</v>
      </c>
      <c r="E83" s="122"/>
      <c r="F83" s="122"/>
      <c r="G83" s="23"/>
      <c r="H83" s="23"/>
      <c r="I83" s="122">
        <v>100</v>
      </c>
      <c r="J83" s="122">
        <v>0</v>
      </c>
      <c r="K83" s="122"/>
      <c r="L83" s="120">
        <f aca="true" t="shared" si="22" ref="L83:L102">SUM(E83:K83)</f>
        <v>100</v>
      </c>
      <c r="M83" s="122"/>
      <c r="N83" s="122"/>
      <c r="O83" s="122"/>
      <c r="P83" s="122"/>
      <c r="Q83" s="123">
        <f>SUM(L83:P83)</f>
        <v>100</v>
      </c>
      <c r="R83" s="124"/>
    </row>
    <row r="84" spans="1:18" ht="11.25" customHeight="1" thickBot="1">
      <c r="A84" s="18"/>
      <c r="B84" s="38" t="s">
        <v>8</v>
      </c>
      <c r="C84" s="57" t="s">
        <v>103</v>
      </c>
      <c r="D84" s="178" t="s">
        <v>132</v>
      </c>
      <c r="E84" s="140"/>
      <c r="F84" s="140"/>
      <c r="G84" s="139">
        <f>2400+1905</f>
        <v>4305</v>
      </c>
      <c r="H84" s="139"/>
      <c r="I84" s="140"/>
      <c r="J84" s="140"/>
      <c r="K84" s="140"/>
      <c r="L84" s="141">
        <f>SUM(E84:K84)</f>
        <v>4305</v>
      </c>
      <c r="M84" s="140"/>
      <c r="N84" s="140"/>
      <c r="O84" s="140"/>
      <c r="P84" s="140"/>
      <c r="Q84" s="142">
        <f>SUM(L84:P84)</f>
        <v>4305</v>
      </c>
      <c r="R84" s="145"/>
    </row>
    <row r="85" spans="1:18" s="28" customFormat="1" ht="11.25" customHeight="1">
      <c r="A85" s="14" t="s">
        <v>21</v>
      </c>
      <c r="B85" s="27" t="s">
        <v>44</v>
      </c>
      <c r="C85" s="56"/>
      <c r="D85" s="16" t="s">
        <v>81</v>
      </c>
      <c r="E85" s="132">
        <f aca="true" t="shared" si="23" ref="E85:K85">E86+E87</f>
        <v>0</v>
      </c>
      <c r="F85" s="132">
        <f t="shared" si="23"/>
        <v>0</v>
      </c>
      <c r="G85" s="132">
        <f t="shared" si="23"/>
        <v>38825</v>
      </c>
      <c r="H85" s="132"/>
      <c r="I85" s="132">
        <f t="shared" si="23"/>
        <v>0</v>
      </c>
      <c r="J85" s="132">
        <f t="shared" si="23"/>
        <v>0</v>
      </c>
      <c r="K85" s="132">
        <f t="shared" si="23"/>
        <v>0</v>
      </c>
      <c r="L85" s="132">
        <f t="shared" si="22"/>
        <v>38825</v>
      </c>
      <c r="M85" s="132"/>
      <c r="N85" s="132"/>
      <c r="O85" s="132"/>
      <c r="P85" s="132"/>
      <c r="Q85" s="16">
        <f t="shared" si="21"/>
        <v>38825</v>
      </c>
      <c r="R85" s="152"/>
    </row>
    <row r="86" spans="1:18" ht="11.25" customHeight="1">
      <c r="A86" s="29"/>
      <c r="B86" s="21" t="s">
        <v>5</v>
      </c>
      <c r="C86" s="55" t="s">
        <v>102</v>
      </c>
      <c r="D86" s="22" t="s">
        <v>43</v>
      </c>
      <c r="E86" s="122"/>
      <c r="F86" s="122"/>
      <c r="G86" s="23">
        <f>35430+3000-2905</f>
        <v>35525</v>
      </c>
      <c r="H86" s="23"/>
      <c r="I86" s="122"/>
      <c r="J86" s="122">
        <v>0</v>
      </c>
      <c r="K86" s="122"/>
      <c r="L86" s="120">
        <f t="shared" si="22"/>
        <v>35525</v>
      </c>
      <c r="M86" s="122"/>
      <c r="N86" s="122"/>
      <c r="O86" s="122"/>
      <c r="P86" s="122"/>
      <c r="Q86" s="123">
        <f t="shared" si="21"/>
        <v>35525</v>
      </c>
      <c r="R86" s="124"/>
    </row>
    <row r="87" spans="1:18" ht="11.25" customHeight="1" thickBot="1">
      <c r="A87" s="30"/>
      <c r="B87" s="19" t="s">
        <v>6</v>
      </c>
      <c r="C87" s="57" t="s">
        <v>103</v>
      </c>
      <c r="D87" s="178" t="s">
        <v>87</v>
      </c>
      <c r="E87" s="140"/>
      <c r="F87" s="140"/>
      <c r="G87" s="139">
        <v>3300</v>
      </c>
      <c r="H87" s="139"/>
      <c r="I87" s="140"/>
      <c r="J87" s="140">
        <v>0</v>
      </c>
      <c r="K87" s="140"/>
      <c r="L87" s="141">
        <f t="shared" si="22"/>
        <v>3300</v>
      </c>
      <c r="M87" s="140"/>
      <c r="N87" s="140"/>
      <c r="O87" s="140"/>
      <c r="P87" s="140"/>
      <c r="Q87" s="142">
        <f t="shared" si="21"/>
        <v>3300</v>
      </c>
      <c r="R87" s="145"/>
    </row>
    <row r="88" spans="1:18" s="28" customFormat="1" ht="11.25" customHeight="1">
      <c r="A88" s="7" t="s">
        <v>22</v>
      </c>
      <c r="B88" s="75" t="s">
        <v>44</v>
      </c>
      <c r="C88" s="89"/>
      <c r="D88" s="9" t="s">
        <v>42</v>
      </c>
      <c r="E88" s="138">
        <f>E89+E90+E91</f>
        <v>0</v>
      </c>
      <c r="F88" s="138">
        <f aca="true" t="shared" si="24" ref="F88:K88">F89+F90+F91</f>
        <v>0</v>
      </c>
      <c r="G88" s="138">
        <f t="shared" si="24"/>
        <v>10324</v>
      </c>
      <c r="H88" s="138">
        <f t="shared" si="24"/>
        <v>0</v>
      </c>
      <c r="I88" s="138">
        <f t="shared" si="24"/>
        <v>40293</v>
      </c>
      <c r="J88" s="138">
        <f t="shared" si="24"/>
        <v>1198</v>
      </c>
      <c r="K88" s="138">
        <f t="shared" si="24"/>
        <v>0</v>
      </c>
      <c r="L88" s="138">
        <f t="shared" si="22"/>
        <v>51815</v>
      </c>
      <c r="M88" s="138">
        <f>SUM(M89:M91)</f>
        <v>0</v>
      </c>
      <c r="N88" s="138">
        <f>SUM(N89:N91)</f>
        <v>0</v>
      </c>
      <c r="O88" s="138">
        <f>SUM(O89:O91)</f>
        <v>0</v>
      </c>
      <c r="P88" s="138">
        <f>SUM(P89:P91)</f>
        <v>0</v>
      </c>
      <c r="Q88" s="9">
        <f>SUM(L88:P88)</f>
        <v>51815</v>
      </c>
      <c r="R88" s="144"/>
    </row>
    <row r="89" spans="1:18" ht="11.25" customHeight="1">
      <c r="A89" s="20"/>
      <c r="B89" s="21">
        <v>1</v>
      </c>
      <c r="C89" s="55" t="s">
        <v>102</v>
      </c>
      <c r="D89" s="22" t="s">
        <v>86</v>
      </c>
      <c r="E89" s="122"/>
      <c r="F89" s="122"/>
      <c r="G89" s="122">
        <f>5700</f>
        <v>5700</v>
      </c>
      <c r="H89" s="122"/>
      <c r="I89" s="122"/>
      <c r="J89" s="122">
        <v>1198</v>
      </c>
      <c r="K89" s="122"/>
      <c r="L89" s="120">
        <f t="shared" si="22"/>
        <v>6898</v>
      </c>
      <c r="M89" s="122"/>
      <c r="N89" s="122"/>
      <c r="O89" s="122"/>
      <c r="P89" s="122"/>
      <c r="Q89" s="123">
        <f>SUM(L89:P89)</f>
        <v>6898</v>
      </c>
      <c r="R89" s="124"/>
    </row>
    <row r="90" spans="1:18" ht="11.25" customHeight="1">
      <c r="A90" s="14"/>
      <c r="B90" s="27">
        <v>2</v>
      </c>
      <c r="C90" s="56" t="s">
        <v>102</v>
      </c>
      <c r="D90" s="34" t="s">
        <v>88</v>
      </c>
      <c r="E90" s="183"/>
      <c r="F90" s="183"/>
      <c r="G90" s="183">
        <v>4624</v>
      </c>
      <c r="H90" s="183"/>
      <c r="I90" s="183"/>
      <c r="J90" s="183">
        <v>0</v>
      </c>
      <c r="K90" s="183"/>
      <c r="L90" s="130">
        <f t="shared" si="22"/>
        <v>4624</v>
      </c>
      <c r="M90" s="183"/>
      <c r="N90" s="183"/>
      <c r="O90" s="183"/>
      <c r="P90" s="183"/>
      <c r="Q90" s="131">
        <f>SUM(L90:P90)</f>
        <v>4624</v>
      </c>
      <c r="R90" s="152"/>
    </row>
    <row r="91" spans="1:18" ht="11.25" customHeight="1" thickBot="1">
      <c r="A91" s="18"/>
      <c r="B91" s="19">
        <v>3</v>
      </c>
      <c r="C91" s="57" t="s">
        <v>102</v>
      </c>
      <c r="D91" s="178" t="s">
        <v>159</v>
      </c>
      <c r="E91" s="140"/>
      <c r="F91" s="140"/>
      <c r="G91" s="140"/>
      <c r="H91" s="140"/>
      <c r="I91" s="140">
        <f>40293</f>
        <v>40293</v>
      </c>
      <c r="J91" s="140"/>
      <c r="K91" s="140"/>
      <c r="L91" s="141">
        <f>SUM(E91:K91)</f>
        <v>40293</v>
      </c>
      <c r="M91" s="140"/>
      <c r="N91" s="140"/>
      <c r="O91" s="140"/>
      <c r="P91" s="140"/>
      <c r="Q91" s="142">
        <f>SUM(L91:P91)</f>
        <v>40293</v>
      </c>
      <c r="R91" s="145"/>
    </row>
    <row r="92" spans="1:18" s="28" customFormat="1" ht="11.25" customHeight="1" thickBot="1">
      <c r="A92" s="33" t="s">
        <v>23</v>
      </c>
      <c r="B92" s="77" t="s">
        <v>5</v>
      </c>
      <c r="C92" s="67" t="s">
        <v>102</v>
      </c>
      <c r="D92" s="17" t="s">
        <v>63</v>
      </c>
      <c r="E92" s="133"/>
      <c r="F92" s="133"/>
      <c r="G92" s="17">
        <v>3000</v>
      </c>
      <c r="H92" s="17"/>
      <c r="I92" s="133"/>
      <c r="J92" s="133">
        <f>2000+10055+10406</f>
        <v>22461</v>
      </c>
      <c r="K92" s="133">
        <v>0</v>
      </c>
      <c r="L92" s="133">
        <f t="shared" si="22"/>
        <v>25461</v>
      </c>
      <c r="M92" s="133"/>
      <c r="N92" s="133"/>
      <c r="O92" s="133"/>
      <c r="P92" s="133"/>
      <c r="Q92" s="17">
        <f t="shared" si="21"/>
        <v>25461</v>
      </c>
      <c r="R92" s="134"/>
    </row>
    <row r="93" spans="1:18" s="28" customFormat="1" ht="12.75" customHeight="1" thickBot="1">
      <c r="A93" s="14" t="s">
        <v>24</v>
      </c>
      <c r="B93" s="27" t="s">
        <v>5</v>
      </c>
      <c r="C93" s="56" t="s">
        <v>103</v>
      </c>
      <c r="D93" s="16" t="s">
        <v>64</v>
      </c>
      <c r="E93" s="132">
        <v>500</v>
      </c>
      <c r="F93" s="132">
        <v>255</v>
      </c>
      <c r="G93" s="16">
        <v>745</v>
      </c>
      <c r="H93" s="16"/>
      <c r="I93" s="132"/>
      <c r="J93" s="132">
        <v>0</v>
      </c>
      <c r="K93" s="132"/>
      <c r="L93" s="133">
        <f aca="true" t="shared" si="25" ref="L93:L98">SUM(E93:K93)</f>
        <v>1500</v>
      </c>
      <c r="M93" s="132"/>
      <c r="N93" s="132"/>
      <c r="O93" s="132"/>
      <c r="P93" s="132"/>
      <c r="Q93" s="17">
        <f t="shared" si="21"/>
        <v>1500</v>
      </c>
      <c r="R93" s="105"/>
    </row>
    <row r="94" spans="1:18" s="28" customFormat="1" ht="12.75" customHeight="1" thickBot="1">
      <c r="A94" s="33" t="s">
        <v>25</v>
      </c>
      <c r="B94" s="77" t="s">
        <v>5</v>
      </c>
      <c r="C94" s="64" t="s">
        <v>103</v>
      </c>
      <c r="D94" s="17" t="s">
        <v>65</v>
      </c>
      <c r="E94" s="133">
        <f>2375+148+2+69+64</f>
        <v>2658</v>
      </c>
      <c r="F94" s="133">
        <f>642+53+19+18</f>
        <v>732</v>
      </c>
      <c r="G94" s="17">
        <v>480</v>
      </c>
      <c r="H94" s="17"/>
      <c r="I94" s="133"/>
      <c r="J94" s="133">
        <v>0</v>
      </c>
      <c r="K94" s="133"/>
      <c r="L94" s="133">
        <f t="shared" si="25"/>
        <v>3870</v>
      </c>
      <c r="M94" s="133"/>
      <c r="N94" s="133"/>
      <c r="O94" s="133"/>
      <c r="P94" s="133"/>
      <c r="Q94" s="17">
        <f>SUM(L94:P94)</f>
        <v>3870</v>
      </c>
      <c r="R94" s="134">
        <v>1</v>
      </c>
    </row>
    <row r="95" spans="1:18" s="28" customFormat="1" ht="12.75" customHeight="1">
      <c r="A95" s="10" t="s">
        <v>91</v>
      </c>
      <c r="B95" s="39"/>
      <c r="C95" s="63"/>
      <c r="D95" s="13" t="s">
        <v>66</v>
      </c>
      <c r="E95" s="143">
        <f>SUM(E96:E99)</f>
        <v>70</v>
      </c>
      <c r="F95" s="143">
        <f>SUM(F96:F99)</f>
        <v>50</v>
      </c>
      <c r="G95" s="143">
        <f>SUM(G96:G99)</f>
        <v>5040</v>
      </c>
      <c r="H95" s="143"/>
      <c r="I95" s="143">
        <f>SUM(I96:I99)</f>
        <v>500</v>
      </c>
      <c r="J95" s="143">
        <f>SUM(J96:J99)</f>
        <v>500</v>
      </c>
      <c r="K95" s="143">
        <f>SUM(K96:K99)</f>
        <v>0</v>
      </c>
      <c r="L95" s="143">
        <f t="shared" si="25"/>
        <v>6160</v>
      </c>
      <c r="M95" s="143">
        <f>SUM(M96:M99)</f>
        <v>0</v>
      </c>
      <c r="N95" s="143"/>
      <c r="O95" s="143">
        <f>SUM(O96:O99)</f>
        <v>0</v>
      </c>
      <c r="P95" s="143">
        <f>SUM(P96:P99)</f>
        <v>0</v>
      </c>
      <c r="Q95" s="13">
        <f t="shared" si="21"/>
        <v>6160</v>
      </c>
      <c r="R95" s="121"/>
    </row>
    <row r="96" spans="1:18" ht="11.25" customHeight="1">
      <c r="A96" s="20"/>
      <c r="B96" s="40" t="s">
        <v>5</v>
      </c>
      <c r="C96" s="55" t="s">
        <v>103</v>
      </c>
      <c r="D96" s="23" t="s">
        <v>82</v>
      </c>
      <c r="E96" s="122"/>
      <c r="F96" s="122"/>
      <c r="G96" s="23">
        <v>4400</v>
      </c>
      <c r="H96" s="23"/>
      <c r="I96" s="122"/>
      <c r="J96" s="122">
        <v>0</v>
      </c>
      <c r="K96" s="122">
        <v>0</v>
      </c>
      <c r="L96" s="120">
        <f t="shared" si="25"/>
        <v>4400</v>
      </c>
      <c r="M96" s="122">
        <v>0</v>
      </c>
      <c r="N96" s="122"/>
      <c r="O96" s="122"/>
      <c r="P96" s="122"/>
      <c r="Q96" s="123">
        <f t="shared" si="21"/>
        <v>4400</v>
      </c>
      <c r="R96" s="124"/>
    </row>
    <row r="97" spans="1:18" ht="11.25" customHeight="1">
      <c r="A97" s="20"/>
      <c r="B97" s="21" t="s">
        <v>6</v>
      </c>
      <c r="C97" s="63" t="s">
        <v>103</v>
      </c>
      <c r="D97" s="12" t="s">
        <v>67</v>
      </c>
      <c r="E97" s="122"/>
      <c r="F97" s="122"/>
      <c r="G97" s="23">
        <f>150+10</f>
        <v>160</v>
      </c>
      <c r="H97" s="23"/>
      <c r="I97" s="122">
        <v>500</v>
      </c>
      <c r="J97" s="122">
        <v>0</v>
      </c>
      <c r="K97" s="122"/>
      <c r="L97" s="120">
        <f t="shared" si="25"/>
        <v>660</v>
      </c>
      <c r="M97" s="122"/>
      <c r="N97" s="122"/>
      <c r="O97" s="122"/>
      <c r="P97" s="122"/>
      <c r="Q97" s="123">
        <f t="shared" si="21"/>
        <v>660</v>
      </c>
      <c r="R97" s="124"/>
    </row>
    <row r="98" spans="1:18" ht="11.25" customHeight="1">
      <c r="A98" s="24"/>
      <c r="B98" s="25" t="s">
        <v>7</v>
      </c>
      <c r="C98" s="56" t="s">
        <v>103</v>
      </c>
      <c r="D98" s="12" t="s">
        <v>148</v>
      </c>
      <c r="E98" s="125">
        <v>0</v>
      </c>
      <c r="F98" s="125">
        <v>0</v>
      </c>
      <c r="G98" s="26">
        <f>21-21</f>
        <v>0</v>
      </c>
      <c r="H98" s="26"/>
      <c r="I98" s="125"/>
      <c r="J98" s="125">
        <v>500</v>
      </c>
      <c r="K98" s="125"/>
      <c r="L98" s="120">
        <f t="shared" si="25"/>
        <v>500</v>
      </c>
      <c r="M98" s="125"/>
      <c r="N98" s="125"/>
      <c r="O98" s="125"/>
      <c r="P98" s="125"/>
      <c r="Q98" s="123">
        <f t="shared" si="21"/>
        <v>500</v>
      </c>
      <c r="R98" s="135"/>
    </row>
    <row r="99" spans="1:18" ht="11.25" customHeight="1" thickBot="1">
      <c r="A99" s="24"/>
      <c r="B99" s="25" t="s">
        <v>8</v>
      </c>
      <c r="C99" s="54" t="s">
        <v>102</v>
      </c>
      <c r="D99" s="22" t="s">
        <v>157</v>
      </c>
      <c r="E99" s="125">
        <v>70</v>
      </c>
      <c r="F99" s="125">
        <v>50</v>
      </c>
      <c r="G99" s="26">
        <f>600-70-50</f>
        <v>480</v>
      </c>
      <c r="H99" s="26"/>
      <c r="I99" s="125"/>
      <c r="J99" s="125">
        <v>0</v>
      </c>
      <c r="K99" s="125"/>
      <c r="L99" s="120">
        <f t="shared" si="22"/>
        <v>600</v>
      </c>
      <c r="M99" s="125"/>
      <c r="N99" s="125"/>
      <c r="O99" s="125"/>
      <c r="P99" s="125"/>
      <c r="Q99" s="123">
        <f t="shared" si="21"/>
        <v>600</v>
      </c>
      <c r="R99" s="135"/>
    </row>
    <row r="100" spans="1:18" s="28" customFormat="1" ht="12.75" customHeight="1" thickBot="1">
      <c r="A100" s="33" t="s">
        <v>26</v>
      </c>
      <c r="B100" s="77" t="s">
        <v>5</v>
      </c>
      <c r="C100" s="64" t="s">
        <v>102</v>
      </c>
      <c r="D100" s="17" t="s">
        <v>68</v>
      </c>
      <c r="E100" s="133"/>
      <c r="F100" s="133"/>
      <c r="G100" s="17">
        <f>17000+2900+3175+3672</f>
        <v>26747</v>
      </c>
      <c r="H100" s="17"/>
      <c r="I100" s="133"/>
      <c r="J100" s="133">
        <v>0</v>
      </c>
      <c r="K100" s="133"/>
      <c r="L100" s="133">
        <f t="shared" si="22"/>
        <v>26747</v>
      </c>
      <c r="M100" s="133">
        <v>57876</v>
      </c>
      <c r="N100" s="133"/>
      <c r="O100" s="133">
        <v>0</v>
      </c>
      <c r="P100" s="133"/>
      <c r="Q100" s="17">
        <f aca="true" t="shared" si="26" ref="Q100:Q108">SUM(L100:P100)</f>
        <v>84623</v>
      </c>
      <c r="R100" s="134"/>
    </row>
    <row r="101" spans="1:18" ht="12.75" customHeight="1">
      <c r="A101" s="14" t="s">
        <v>92</v>
      </c>
      <c r="B101" s="27"/>
      <c r="C101" s="56"/>
      <c r="D101" s="16" t="s">
        <v>83</v>
      </c>
      <c r="E101" s="132">
        <f>SUM(E102:E106)</f>
        <v>0</v>
      </c>
      <c r="F101" s="132">
        <f aca="true" t="shared" si="27" ref="F101:K101">SUM(F102:F106)</f>
        <v>0</v>
      </c>
      <c r="G101" s="132">
        <f t="shared" si="27"/>
        <v>58340</v>
      </c>
      <c r="H101" s="132">
        <f t="shared" si="27"/>
        <v>0</v>
      </c>
      <c r="I101" s="132">
        <f t="shared" si="27"/>
        <v>0</v>
      </c>
      <c r="J101" s="132">
        <f t="shared" si="27"/>
        <v>1367</v>
      </c>
      <c r="K101" s="132">
        <f t="shared" si="27"/>
        <v>0</v>
      </c>
      <c r="L101" s="132">
        <f>SUM(E101:K101)</f>
        <v>59707</v>
      </c>
      <c r="M101" s="132">
        <f>SUM(M102:M106)</f>
        <v>116716</v>
      </c>
      <c r="N101" s="132">
        <f>SUM(N102:N106)</f>
        <v>9754</v>
      </c>
      <c r="O101" s="132">
        <f>SUM(O102:O106)</f>
        <v>0</v>
      </c>
      <c r="P101" s="132">
        <f>SUM(P102:P106)</f>
        <v>0</v>
      </c>
      <c r="Q101" s="16">
        <f>SUM(L101:P101)</f>
        <v>186177</v>
      </c>
      <c r="R101" s="109"/>
    </row>
    <row r="102" spans="1:18" ht="11.25" customHeight="1">
      <c r="A102" s="20"/>
      <c r="B102" s="21">
        <v>1</v>
      </c>
      <c r="C102" s="55" t="s">
        <v>103</v>
      </c>
      <c r="D102" s="22" t="s">
        <v>84</v>
      </c>
      <c r="E102" s="122"/>
      <c r="F102" s="122"/>
      <c r="G102" s="23"/>
      <c r="H102" s="23"/>
      <c r="I102" s="122"/>
      <c r="J102" s="122">
        <v>700</v>
      </c>
      <c r="K102" s="122">
        <v>0</v>
      </c>
      <c r="L102" s="120">
        <f t="shared" si="22"/>
        <v>700</v>
      </c>
      <c r="M102" s="122"/>
      <c r="N102" s="122"/>
      <c r="O102" s="122"/>
      <c r="P102" s="122"/>
      <c r="Q102" s="123">
        <f t="shared" si="26"/>
        <v>700</v>
      </c>
      <c r="R102" s="124"/>
    </row>
    <row r="103" spans="1:18" ht="11.25" customHeight="1">
      <c r="A103" s="24"/>
      <c r="B103" s="25">
        <v>2</v>
      </c>
      <c r="C103" s="54" t="s">
        <v>103</v>
      </c>
      <c r="D103" s="26" t="s">
        <v>172</v>
      </c>
      <c r="E103" s="125"/>
      <c r="F103" s="125"/>
      <c r="G103" s="26">
        <f>53340</f>
        <v>53340</v>
      </c>
      <c r="H103" s="26"/>
      <c r="I103" s="125"/>
      <c r="J103" s="125">
        <v>0</v>
      </c>
      <c r="K103" s="125"/>
      <c r="L103" s="130">
        <f>SUM(E103:K103)</f>
        <v>53340</v>
      </c>
      <c r="M103" s="125">
        <v>0</v>
      </c>
      <c r="N103" s="125"/>
      <c r="O103" s="125"/>
      <c r="P103" s="125"/>
      <c r="Q103" s="131">
        <f>SUM(L103:P103)</f>
        <v>53340</v>
      </c>
      <c r="R103" s="135"/>
    </row>
    <row r="104" spans="1:18" ht="11.25" customHeight="1">
      <c r="A104" s="24"/>
      <c r="B104" s="25">
        <v>3</v>
      </c>
      <c r="C104" s="54" t="s">
        <v>102</v>
      </c>
      <c r="D104" s="220" t="s">
        <v>178</v>
      </c>
      <c r="E104" s="125"/>
      <c r="F104" s="125"/>
      <c r="G104" s="26">
        <v>5000</v>
      </c>
      <c r="H104" s="26"/>
      <c r="I104" s="125"/>
      <c r="J104" s="125"/>
      <c r="K104" s="125"/>
      <c r="L104" s="130">
        <f>SUM(E104:K104)</f>
        <v>5000</v>
      </c>
      <c r="M104" s="125">
        <v>70000</v>
      </c>
      <c r="N104" s="125"/>
      <c r="O104" s="125"/>
      <c r="P104" s="125"/>
      <c r="Q104" s="131">
        <f>SUM(L104:P104)</f>
        <v>75000</v>
      </c>
      <c r="R104" s="135"/>
    </row>
    <row r="105" spans="1:18" ht="12.75" customHeight="1">
      <c r="A105" s="20"/>
      <c r="B105" s="21">
        <v>4</v>
      </c>
      <c r="C105" s="55" t="s">
        <v>102</v>
      </c>
      <c r="D105" s="217" t="s">
        <v>187</v>
      </c>
      <c r="E105" s="216"/>
      <c r="F105" s="122"/>
      <c r="G105" s="23">
        <v>0</v>
      </c>
      <c r="H105" s="23"/>
      <c r="I105" s="122"/>
      <c r="J105" s="122"/>
      <c r="K105" s="122"/>
      <c r="L105" s="130">
        <f>SUM(E105:K105)</f>
        <v>0</v>
      </c>
      <c r="M105" s="125">
        <v>46716</v>
      </c>
      <c r="N105" s="125">
        <v>9754</v>
      </c>
      <c r="O105" s="125"/>
      <c r="P105" s="125"/>
      <c r="Q105" s="131">
        <f>SUM(L105:P105)</f>
        <v>56470</v>
      </c>
      <c r="R105" s="124"/>
    </row>
    <row r="106" spans="1:18" ht="12.75" customHeight="1" thickBot="1">
      <c r="A106" s="14"/>
      <c r="B106" s="27">
        <v>5</v>
      </c>
      <c r="C106" s="56" t="s">
        <v>102</v>
      </c>
      <c r="D106" s="228" t="s">
        <v>186</v>
      </c>
      <c r="E106" s="227"/>
      <c r="F106" s="183"/>
      <c r="G106" s="184"/>
      <c r="H106" s="184"/>
      <c r="I106" s="183"/>
      <c r="J106" s="183">
        <v>667</v>
      </c>
      <c r="K106" s="183"/>
      <c r="L106" s="141">
        <f>SUM(E106:K106)</f>
        <v>667</v>
      </c>
      <c r="M106" s="140"/>
      <c r="N106" s="140"/>
      <c r="O106" s="140"/>
      <c r="P106" s="140"/>
      <c r="Q106" s="142">
        <f>SUM(M106:P106)</f>
        <v>0</v>
      </c>
      <c r="R106" s="152"/>
    </row>
    <row r="107" spans="1:18" s="28" customFormat="1" ht="10.5" customHeight="1" thickBot="1">
      <c r="A107" s="33" t="s">
        <v>89</v>
      </c>
      <c r="B107" s="77" t="s">
        <v>5</v>
      </c>
      <c r="C107" s="60" t="s">
        <v>102</v>
      </c>
      <c r="D107" s="179" t="s">
        <v>123</v>
      </c>
      <c r="E107" s="133"/>
      <c r="F107" s="133"/>
      <c r="G107" s="17"/>
      <c r="H107" s="17"/>
      <c r="I107" s="133"/>
      <c r="J107" s="133">
        <v>8036</v>
      </c>
      <c r="K107" s="133">
        <v>0</v>
      </c>
      <c r="L107" s="133">
        <f aca="true" t="shared" si="28" ref="L107:L114">SUM(E107:K107)</f>
        <v>8036</v>
      </c>
      <c r="M107" s="133"/>
      <c r="N107" s="133"/>
      <c r="O107" s="133"/>
      <c r="P107" s="133"/>
      <c r="Q107" s="17">
        <f t="shared" si="26"/>
        <v>8036</v>
      </c>
      <c r="R107" s="134"/>
    </row>
    <row r="108" spans="1:18" ht="12.75" customHeight="1">
      <c r="A108" s="7" t="s">
        <v>93</v>
      </c>
      <c r="B108" s="8"/>
      <c r="C108" s="89"/>
      <c r="D108" s="9" t="s">
        <v>150</v>
      </c>
      <c r="E108" s="138">
        <f>SUM(E109:E111)</f>
        <v>0</v>
      </c>
      <c r="F108" s="138">
        <f aca="true" t="shared" si="29" ref="F108:K108">SUM(F109:F111)</f>
        <v>0</v>
      </c>
      <c r="G108" s="138">
        <f t="shared" si="29"/>
        <v>130</v>
      </c>
      <c r="H108" s="138">
        <f t="shared" si="29"/>
        <v>7600</v>
      </c>
      <c r="I108" s="138">
        <f t="shared" si="29"/>
        <v>0</v>
      </c>
      <c r="J108" s="138">
        <f t="shared" si="29"/>
        <v>0</v>
      </c>
      <c r="K108" s="138">
        <f t="shared" si="29"/>
        <v>0</v>
      </c>
      <c r="L108" s="138">
        <f t="shared" si="28"/>
        <v>7730</v>
      </c>
      <c r="M108" s="138">
        <f>SUM(M109:M111)</f>
        <v>0</v>
      </c>
      <c r="N108" s="138">
        <f>SUM(N109:N111)</f>
        <v>0</v>
      </c>
      <c r="O108" s="138">
        <f>SUM(O109:O111)</f>
        <v>0</v>
      </c>
      <c r="P108" s="138">
        <f>SUM(P109:P111)</f>
        <v>0</v>
      </c>
      <c r="Q108" s="9">
        <f t="shared" si="26"/>
        <v>7730</v>
      </c>
      <c r="R108" s="144"/>
    </row>
    <row r="109" spans="1:18" ht="11.25" customHeight="1">
      <c r="A109" s="24"/>
      <c r="B109" s="25" t="s">
        <v>5</v>
      </c>
      <c r="C109" s="54" t="s">
        <v>103</v>
      </c>
      <c r="D109" s="34" t="s">
        <v>146</v>
      </c>
      <c r="E109" s="125"/>
      <c r="F109" s="125"/>
      <c r="G109" s="26">
        <v>130</v>
      </c>
      <c r="H109" s="26"/>
      <c r="I109" s="125"/>
      <c r="J109" s="125"/>
      <c r="K109" s="125"/>
      <c r="L109" s="120">
        <f t="shared" si="28"/>
        <v>130</v>
      </c>
      <c r="M109" s="125"/>
      <c r="N109" s="125"/>
      <c r="O109" s="125"/>
      <c r="P109" s="125"/>
      <c r="Q109" s="123">
        <f>L109</f>
        <v>130</v>
      </c>
      <c r="R109" s="135"/>
    </row>
    <row r="110" spans="1:18" ht="11.25" customHeight="1">
      <c r="A110" s="24"/>
      <c r="B110" s="25" t="s">
        <v>6</v>
      </c>
      <c r="C110" s="54" t="s">
        <v>102</v>
      </c>
      <c r="D110" s="34" t="s">
        <v>46</v>
      </c>
      <c r="E110" s="125"/>
      <c r="F110" s="125"/>
      <c r="G110" s="26">
        <v>0</v>
      </c>
      <c r="H110" s="26">
        <v>600</v>
      </c>
      <c r="I110" s="125">
        <v>0</v>
      </c>
      <c r="J110" s="125">
        <v>0</v>
      </c>
      <c r="K110" s="125"/>
      <c r="L110" s="130">
        <f t="shared" si="28"/>
        <v>600</v>
      </c>
      <c r="M110" s="125"/>
      <c r="N110" s="125"/>
      <c r="O110" s="125"/>
      <c r="P110" s="125"/>
      <c r="Q110" s="131">
        <f aca="true" t="shared" si="30" ref="Q110:Q115">SUM(L110:P110)</f>
        <v>600</v>
      </c>
      <c r="R110" s="135"/>
    </row>
    <row r="111" spans="1:18" ht="11.25" customHeight="1" thickBot="1">
      <c r="A111" s="18"/>
      <c r="B111" s="19" t="s">
        <v>7</v>
      </c>
      <c r="C111" s="57" t="s">
        <v>102</v>
      </c>
      <c r="D111" s="178" t="s">
        <v>154</v>
      </c>
      <c r="E111" s="140"/>
      <c r="F111" s="140"/>
      <c r="G111" s="139"/>
      <c r="H111" s="139">
        <f>2000+5000</f>
        <v>7000</v>
      </c>
      <c r="I111" s="140"/>
      <c r="J111" s="140"/>
      <c r="K111" s="140"/>
      <c r="L111" s="141">
        <f>SUM(E111:K111)</f>
        <v>7000</v>
      </c>
      <c r="M111" s="140"/>
      <c r="N111" s="140"/>
      <c r="O111" s="140"/>
      <c r="P111" s="140"/>
      <c r="Q111" s="142">
        <f t="shared" si="30"/>
        <v>7000</v>
      </c>
      <c r="R111" s="145"/>
    </row>
    <row r="112" spans="1:18" ht="12.75" customHeight="1">
      <c r="A112" s="10" t="s">
        <v>94</v>
      </c>
      <c r="B112" s="39"/>
      <c r="C112" s="63"/>
      <c r="D112" s="13" t="s">
        <v>69</v>
      </c>
      <c r="E112" s="143">
        <f aca="true" t="shared" si="31" ref="E112:K112">SUM(E113:E115)</f>
        <v>5580</v>
      </c>
      <c r="F112" s="143">
        <f t="shared" si="31"/>
        <v>1507</v>
      </c>
      <c r="G112" s="143">
        <f t="shared" si="31"/>
        <v>18875</v>
      </c>
      <c r="H112" s="143">
        <f t="shared" si="31"/>
        <v>0</v>
      </c>
      <c r="I112" s="143">
        <f>SUM(I113:I116)</f>
        <v>5900</v>
      </c>
      <c r="J112" s="143">
        <f t="shared" si="31"/>
        <v>0</v>
      </c>
      <c r="K112" s="143">
        <f t="shared" si="31"/>
        <v>0</v>
      </c>
      <c r="L112" s="143">
        <f>SUM(E112:K112)</f>
        <v>31862</v>
      </c>
      <c r="M112" s="143">
        <f>SUM(M113:M116)</f>
        <v>2000</v>
      </c>
      <c r="N112" s="143">
        <f>SUM(N113:N115)</f>
        <v>0</v>
      </c>
      <c r="O112" s="143">
        <f>SUM(O113:O115)</f>
        <v>0</v>
      </c>
      <c r="P112" s="143">
        <f>SUM(P113:P115)</f>
        <v>0</v>
      </c>
      <c r="Q112" s="13">
        <f t="shared" si="30"/>
        <v>33862</v>
      </c>
      <c r="R112" s="121">
        <f>R113</f>
        <v>2</v>
      </c>
    </row>
    <row r="113" spans="1:18" ht="12" customHeight="1">
      <c r="A113" s="20"/>
      <c r="B113" s="21" t="s">
        <v>5</v>
      </c>
      <c r="C113" s="55" t="s">
        <v>103</v>
      </c>
      <c r="D113" s="45" t="s">
        <v>161</v>
      </c>
      <c r="E113" s="122">
        <f>4980+600</f>
        <v>5580</v>
      </c>
      <c r="F113" s="122">
        <f>1345+162</f>
        <v>1507</v>
      </c>
      <c r="G113" s="23">
        <v>18875</v>
      </c>
      <c r="H113" s="23"/>
      <c r="I113" s="122">
        <v>0</v>
      </c>
      <c r="J113" s="122">
        <v>0</v>
      </c>
      <c r="K113" s="122"/>
      <c r="L113" s="143">
        <f>SUM(E113:K113)</f>
        <v>25962</v>
      </c>
      <c r="M113" s="122">
        <v>0</v>
      </c>
      <c r="N113" s="122"/>
      <c r="O113" s="122"/>
      <c r="P113" s="122"/>
      <c r="Q113" s="13">
        <f t="shared" si="30"/>
        <v>25962</v>
      </c>
      <c r="R113" s="124">
        <v>2</v>
      </c>
    </row>
    <row r="114" spans="1:18" ht="21.75" customHeight="1">
      <c r="A114" s="20"/>
      <c r="B114" s="21" t="s">
        <v>6</v>
      </c>
      <c r="C114" s="55" t="s">
        <v>102</v>
      </c>
      <c r="D114" s="45" t="s">
        <v>85</v>
      </c>
      <c r="E114" s="122"/>
      <c r="F114" s="122"/>
      <c r="G114" s="23"/>
      <c r="H114" s="23"/>
      <c r="I114" s="122">
        <v>500</v>
      </c>
      <c r="J114" s="122">
        <v>0</v>
      </c>
      <c r="K114" s="122"/>
      <c r="L114" s="143">
        <f t="shared" si="28"/>
        <v>500</v>
      </c>
      <c r="M114" s="122"/>
      <c r="N114" s="122"/>
      <c r="O114" s="23"/>
      <c r="P114" s="23"/>
      <c r="Q114" s="13">
        <f t="shared" si="30"/>
        <v>500</v>
      </c>
      <c r="R114" s="124"/>
    </row>
    <row r="115" spans="1:18" ht="22.5" customHeight="1">
      <c r="A115" s="20"/>
      <c r="B115" s="21" t="s">
        <v>7</v>
      </c>
      <c r="C115" s="55" t="s">
        <v>102</v>
      </c>
      <c r="D115" s="45" t="s">
        <v>163</v>
      </c>
      <c r="E115" s="122"/>
      <c r="F115" s="122"/>
      <c r="G115" s="23"/>
      <c r="H115" s="23"/>
      <c r="I115" s="122">
        <v>5400</v>
      </c>
      <c r="J115" s="122"/>
      <c r="K115" s="122"/>
      <c r="L115" s="120">
        <f>I115</f>
        <v>5400</v>
      </c>
      <c r="M115" s="122"/>
      <c r="N115" s="122"/>
      <c r="O115" s="23"/>
      <c r="P115" s="23"/>
      <c r="Q115" s="123">
        <f t="shared" si="30"/>
        <v>5400</v>
      </c>
      <c r="R115" s="107"/>
    </row>
    <row r="116" spans="1:18" ht="10.5" customHeight="1" thickBot="1">
      <c r="A116" s="18"/>
      <c r="B116" s="19" t="s">
        <v>8</v>
      </c>
      <c r="C116" s="57" t="s">
        <v>102</v>
      </c>
      <c r="D116" s="69" t="s">
        <v>162</v>
      </c>
      <c r="E116" s="140"/>
      <c r="F116" s="140"/>
      <c r="G116" s="139"/>
      <c r="H116" s="139"/>
      <c r="I116" s="140"/>
      <c r="J116" s="140"/>
      <c r="K116" s="140"/>
      <c r="L116" s="141">
        <v>0</v>
      </c>
      <c r="M116" s="140">
        <v>2000</v>
      </c>
      <c r="N116" s="140"/>
      <c r="O116" s="139"/>
      <c r="P116" s="139"/>
      <c r="Q116" s="142">
        <f>M116</f>
        <v>2000</v>
      </c>
      <c r="R116" s="112"/>
    </row>
    <row r="117" spans="1:18" ht="11.25" customHeight="1" thickBot="1">
      <c r="A117" s="14" t="s">
        <v>95</v>
      </c>
      <c r="B117" s="27" t="s">
        <v>5</v>
      </c>
      <c r="C117" s="56" t="s">
        <v>103</v>
      </c>
      <c r="D117" s="185" t="s">
        <v>118</v>
      </c>
      <c r="E117" s="183"/>
      <c r="F117" s="183"/>
      <c r="G117" s="184"/>
      <c r="H117" s="184"/>
      <c r="I117" s="183">
        <v>650</v>
      </c>
      <c r="J117" s="183">
        <v>0</v>
      </c>
      <c r="K117" s="183"/>
      <c r="L117" s="132">
        <f aca="true" t="shared" si="32" ref="L117:L124">SUM(E117:K117)</f>
        <v>650</v>
      </c>
      <c r="M117" s="183"/>
      <c r="N117" s="183"/>
      <c r="O117" s="184"/>
      <c r="P117" s="184"/>
      <c r="Q117" s="16">
        <f aca="true" t="shared" si="33" ref="Q117:Q123">SUM(L117:P117)</f>
        <v>650</v>
      </c>
      <c r="R117" s="152"/>
    </row>
    <row r="118" spans="1:18" s="28" customFormat="1" ht="12.75" customHeight="1" thickBot="1">
      <c r="A118" s="33" t="s">
        <v>113</v>
      </c>
      <c r="B118" s="77" t="s">
        <v>5</v>
      </c>
      <c r="C118" s="64" t="s">
        <v>102</v>
      </c>
      <c r="D118" s="17" t="s">
        <v>1</v>
      </c>
      <c r="E118" s="133">
        <f>66050</f>
        <v>66050</v>
      </c>
      <c r="F118" s="133">
        <f>8920</f>
        <v>8920</v>
      </c>
      <c r="G118" s="133">
        <f>6300+15000+3700+351+1226</f>
        <v>26577</v>
      </c>
      <c r="H118" s="133"/>
      <c r="I118" s="133"/>
      <c r="J118" s="133"/>
      <c r="K118" s="133"/>
      <c r="L118" s="133">
        <f t="shared" si="32"/>
        <v>101547</v>
      </c>
      <c r="M118" s="133">
        <v>5000</v>
      </c>
      <c r="N118" s="133"/>
      <c r="O118" s="133"/>
      <c r="P118" s="133"/>
      <c r="Q118" s="17">
        <f t="shared" si="33"/>
        <v>106547</v>
      </c>
      <c r="R118" s="134">
        <f>15+15+10+60</f>
        <v>100</v>
      </c>
    </row>
    <row r="119" spans="1:18" s="28" customFormat="1" ht="12.75" customHeight="1">
      <c r="A119" s="7" t="s">
        <v>96</v>
      </c>
      <c r="B119" s="75"/>
      <c r="C119" s="89"/>
      <c r="D119" s="9" t="s">
        <v>70</v>
      </c>
      <c r="E119" s="138">
        <f>SUM(E120:E125)</f>
        <v>679</v>
      </c>
      <c r="F119" s="138">
        <f aca="true" t="shared" si="34" ref="F119:K119">SUM(F120:F125)</f>
        <v>368</v>
      </c>
      <c r="G119" s="138">
        <f>SUM(G120:G125)</f>
        <v>34841</v>
      </c>
      <c r="H119" s="138">
        <f t="shared" si="34"/>
        <v>0</v>
      </c>
      <c r="I119" s="138">
        <f t="shared" si="34"/>
        <v>1750</v>
      </c>
      <c r="J119" s="138">
        <f t="shared" si="34"/>
        <v>0</v>
      </c>
      <c r="K119" s="138">
        <f t="shared" si="34"/>
        <v>0</v>
      </c>
      <c r="L119" s="138">
        <f t="shared" si="32"/>
        <v>37638</v>
      </c>
      <c r="M119" s="138">
        <f>SUM(M120:M125)</f>
        <v>6000</v>
      </c>
      <c r="N119" s="138">
        <f>SUM(N120:N124)</f>
        <v>0</v>
      </c>
      <c r="O119" s="138">
        <f>SUM(O120:O124)</f>
        <v>0</v>
      </c>
      <c r="P119" s="138">
        <f>SUM(P120:P124)</f>
        <v>0</v>
      </c>
      <c r="Q119" s="9">
        <f t="shared" si="33"/>
        <v>43638</v>
      </c>
      <c r="R119" s="144"/>
    </row>
    <row r="120" spans="1:18" ht="10.5" customHeight="1">
      <c r="A120" s="10"/>
      <c r="B120" s="42" t="s">
        <v>5</v>
      </c>
      <c r="C120" s="63" t="s">
        <v>103</v>
      </c>
      <c r="D120" s="23" t="s">
        <v>71</v>
      </c>
      <c r="E120" s="118">
        <v>400</v>
      </c>
      <c r="F120" s="118">
        <v>204</v>
      </c>
      <c r="G120" s="119">
        <f>15000-2903</f>
        <v>12097</v>
      </c>
      <c r="H120" s="119"/>
      <c r="I120" s="119"/>
      <c r="J120" s="118">
        <v>0</v>
      </c>
      <c r="K120" s="118"/>
      <c r="L120" s="120">
        <f t="shared" si="32"/>
        <v>12701</v>
      </c>
      <c r="M120" s="119"/>
      <c r="N120" s="119"/>
      <c r="O120" s="119"/>
      <c r="P120" s="119"/>
      <c r="Q120" s="123">
        <f t="shared" si="33"/>
        <v>12701</v>
      </c>
      <c r="R120" s="104"/>
    </row>
    <row r="121" spans="1:18" ht="10.5" customHeight="1">
      <c r="A121" s="20"/>
      <c r="B121" s="40" t="s">
        <v>6</v>
      </c>
      <c r="C121" s="55" t="s">
        <v>103</v>
      </c>
      <c r="D121" s="22" t="s">
        <v>124</v>
      </c>
      <c r="E121" s="122">
        <v>200</v>
      </c>
      <c r="F121" s="122">
        <v>99</v>
      </c>
      <c r="G121" s="23">
        <f>10000+1225+2000</f>
        <v>13225</v>
      </c>
      <c r="H121" s="23"/>
      <c r="I121" s="23"/>
      <c r="J121" s="122">
        <v>0</v>
      </c>
      <c r="K121" s="122">
        <f>100-100</f>
        <v>0</v>
      </c>
      <c r="L121" s="120">
        <f t="shared" si="32"/>
        <v>13524</v>
      </c>
      <c r="M121" s="23"/>
      <c r="N121" s="23"/>
      <c r="O121" s="23"/>
      <c r="P121" s="23"/>
      <c r="Q121" s="123">
        <f t="shared" si="33"/>
        <v>13524</v>
      </c>
      <c r="R121" s="107"/>
    </row>
    <row r="122" spans="1:18" ht="10.5" customHeight="1">
      <c r="A122" s="10"/>
      <c r="B122" s="42" t="s">
        <v>7</v>
      </c>
      <c r="C122" s="63" t="s">
        <v>103</v>
      </c>
      <c r="D122" s="12" t="s">
        <v>125</v>
      </c>
      <c r="E122" s="118"/>
      <c r="F122" s="118"/>
      <c r="G122" s="119">
        <v>2000</v>
      </c>
      <c r="H122" s="119"/>
      <c r="I122" s="119"/>
      <c r="J122" s="118"/>
      <c r="K122" s="118"/>
      <c r="L122" s="120">
        <f t="shared" si="32"/>
        <v>2000</v>
      </c>
      <c r="M122" s="119"/>
      <c r="N122" s="119"/>
      <c r="O122" s="119"/>
      <c r="P122" s="119"/>
      <c r="Q122" s="123">
        <f t="shared" si="33"/>
        <v>2000</v>
      </c>
      <c r="R122" s="104"/>
    </row>
    <row r="123" spans="1:18" ht="10.5" customHeight="1">
      <c r="A123" s="10"/>
      <c r="B123" s="42" t="s">
        <v>8</v>
      </c>
      <c r="C123" s="63" t="s">
        <v>103</v>
      </c>
      <c r="D123" s="12" t="s">
        <v>131</v>
      </c>
      <c r="E123" s="118"/>
      <c r="F123" s="118"/>
      <c r="G123" s="119">
        <v>0</v>
      </c>
      <c r="H123" s="119"/>
      <c r="I123" s="119">
        <f>800+250</f>
        <v>1050</v>
      </c>
      <c r="J123" s="118">
        <v>0</v>
      </c>
      <c r="K123" s="118"/>
      <c r="L123" s="120">
        <f t="shared" si="32"/>
        <v>1050</v>
      </c>
      <c r="M123" s="119"/>
      <c r="N123" s="119"/>
      <c r="O123" s="119"/>
      <c r="P123" s="119"/>
      <c r="Q123" s="123">
        <f t="shared" si="33"/>
        <v>1050</v>
      </c>
      <c r="R123" s="104"/>
    </row>
    <row r="124" spans="1:18" ht="10.5" customHeight="1">
      <c r="A124" s="24"/>
      <c r="B124" s="71" t="s">
        <v>9</v>
      </c>
      <c r="C124" s="54" t="s">
        <v>103</v>
      </c>
      <c r="D124" s="34" t="s">
        <v>117</v>
      </c>
      <c r="E124" s="125"/>
      <c r="F124" s="125"/>
      <c r="G124" s="26"/>
      <c r="H124" s="26"/>
      <c r="I124" s="26">
        <f>500+200</f>
        <v>700</v>
      </c>
      <c r="J124" s="125">
        <v>0</v>
      </c>
      <c r="K124" s="125"/>
      <c r="L124" s="130">
        <f t="shared" si="32"/>
        <v>700</v>
      </c>
      <c r="M124" s="26"/>
      <c r="N124" s="26"/>
      <c r="O124" s="26"/>
      <c r="P124" s="26"/>
      <c r="Q124" s="131">
        <f>SUM(L124:P124)</f>
        <v>700</v>
      </c>
      <c r="R124" s="113"/>
    </row>
    <row r="125" spans="1:18" ht="20.25" customHeight="1" thickBot="1">
      <c r="A125" s="18"/>
      <c r="B125" s="225" t="s">
        <v>10</v>
      </c>
      <c r="C125" s="57" t="s">
        <v>103</v>
      </c>
      <c r="D125" s="69" t="s">
        <v>149</v>
      </c>
      <c r="E125" s="140">
        <v>79</v>
      </c>
      <c r="F125" s="140">
        <v>65</v>
      </c>
      <c r="G125" s="139">
        <v>7519</v>
      </c>
      <c r="H125" s="139"/>
      <c r="I125" s="139"/>
      <c r="J125" s="140"/>
      <c r="K125" s="140"/>
      <c r="L125" s="141">
        <f>SUM(E125:K125)</f>
        <v>7663</v>
      </c>
      <c r="M125" s="139">
        <v>6000</v>
      </c>
      <c r="N125" s="139"/>
      <c r="O125" s="139"/>
      <c r="P125" s="139"/>
      <c r="Q125" s="142">
        <f>SUM(L125:P125)</f>
        <v>13663</v>
      </c>
      <c r="R125" s="112"/>
    </row>
    <row r="126" spans="1:18" s="28" customFormat="1" ht="12.75" customHeight="1">
      <c r="A126" s="7" t="s">
        <v>97</v>
      </c>
      <c r="B126" s="75"/>
      <c r="C126" s="89"/>
      <c r="D126" s="9" t="s">
        <v>72</v>
      </c>
      <c r="E126" s="138">
        <f>E127</f>
        <v>0</v>
      </c>
      <c r="F126" s="138">
        <f aca="true" t="shared" si="35" ref="F126:K126">F127</f>
        <v>0</v>
      </c>
      <c r="G126" s="138">
        <f>G127+G128</f>
        <v>61900</v>
      </c>
      <c r="H126" s="138">
        <f t="shared" si="35"/>
        <v>0</v>
      </c>
      <c r="I126" s="138">
        <f t="shared" si="35"/>
        <v>0</v>
      </c>
      <c r="J126" s="138">
        <f t="shared" si="35"/>
        <v>0</v>
      </c>
      <c r="K126" s="138">
        <f t="shared" si="35"/>
        <v>0</v>
      </c>
      <c r="L126" s="138">
        <f aca="true" t="shared" si="36" ref="L126:L143">SUM(E126:K126)</f>
        <v>61900</v>
      </c>
      <c r="M126" s="138">
        <f>M127+M128</f>
        <v>5800</v>
      </c>
      <c r="N126" s="138">
        <f>N127</f>
        <v>0</v>
      </c>
      <c r="O126" s="138">
        <f>O127</f>
        <v>0</v>
      </c>
      <c r="P126" s="138">
        <f>P127</f>
        <v>0</v>
      </c>
      <c r="Q126" s="9">
        <f>SUM(L126:P126)</f>
        <v>67700</v>
      </c>
      <c r="R126" s="144"/>
    </row>
    <row r="127" spans="1:18" ht="15.75" customHeight="1">
      <c r="A127" s="20"/>
      <c r="B127" s="240" t="s">
        <v>5</v>
      </c>
      <c r="C127" s="55" t="s">
        <v>103</v>
      </c>
      <c r="D127" s="270" t="s">
        <v>185</v>
      </c>
      <c r="E127" s="122"/>
      <c r="F127" s="122"/>
      <c r="G127" s="23">
        <f>34000+4000+140+3760+15000+5000-20000</f>
        <v>41900</v>
      </c>
      <c r="H127" s="23"/>
      <c r="I127" s="122"/>
      <c r="J127" s="122">
        <v>0</v>
      </c>
      <c r="K127" s="122"/>
      <c r="L127" s="120">
        <f t="shared" si="36"/>
        <v>41900</v>
      </c>
      <c r="M127" s="122">
        <v>4800</v>
      </c>
      <c r="N127" s="122"/>
      <c r="O127" s="122"/>
      <c r="P127" s="122"/>
      <c r="Q127" s="123">
        <f>SUM(L127:P127)</f>
        <v>46700</v>
      </c>
      <c r="R127" s="124"/>
    </row>
    <row r="128" spans="1:18" ht="17.25" customHeight="1" thickBot="1">
      <c r="A128" s="18"/>
      <c r="B128" s="257"/>
      <c r="C128" s="57" t="s">
        <v>102</v>
      </c>
      <c r="D128" s="271"/>
      <c r="E128" s="140"/>
      <c r="F128" s="140"/>
      <c r="G128" s="139">
        <v>20000</v>
      </c>
      <c r="H128" s="139"/>
      <c r="I128" s="140"/>
      <c r="J128" s="140"/>
      <c r="K128" s="140"/>
      <c r="L128" s="141">
        <f>SUM(G128:K128)</f>
        <v>20000</v>
      </c>
      <c r="M128" s="140">
        <v>1000</v>
      </c>
      <c r="N128" s="140"/>
      <c r="O128" s="140"/>
      <c r="P128" s="140"/>
      <c r="Q128" s="142">
        <f>SUM(L128:P128)</f>
        <v>21000</v>
      </c>
      <c r="R128" s="145"/>
    </row>
    <row r="129" spans="1:18" ht="12" customHeight="1">
      <c r="A129" s="14" t="s">
        <v>98</v>
      </c>
      <c r="B129" s="27"/>
      <c r="C129" s="56"/>
      <c r="D129" s="200" t="s">
        <v>126</v>
      </c>
      <c r="E129" s="132">
        <f>E130+E131+E132+E133+E134+E135</f>
        <v>0</v>
      </c>
      <c r="F129" s="132">
        <f aca="true" t="shared" si="37" ref="F129:K129">F130+F131+F132+F133+F134+F135</f>
        <v>0</v>
      </c>
      <c r="G129" s="132">
        <f t="shared" si="37"/>
        <v>0</v>
      </c>
      <c r="H129" s="132">
        <f t="shared" si="37"/>
        <v>0</v>
      </c>
      <c r="I129" s="132">
        <f t="shared" si="37"/>
        <v>39200</v>
      </c>
      <c r="J129" s="132">
        <f t="shared" si="37"/>
        <v>0</v>
      </c>
      <c r="K129" s="132">
        <f t="shared" si="37"/>
        <v>0</v>
      </c>
      <c r="L129" s="132">
        <f t="shared" si="36"/>
        <v>39200</v>
      </c>
      <c r="M129" s="132">
        <f>SUM(M130:M135)</f>
        <v>0</v>
      </c>
      <c r="N129" s="132">
        <f>SUM(N130:N135)</f>
        <v>27231</v>
      </c>
      <c r="O129" s="132">
        <f>SUM(O130:O135)</f>
        <v>0</v>
      </c>
      <c r="P129" s="132">
        <f>SUM(P130:P135)</f>
        <v>0</v>
      </c>
      <c r="Q129" s="16">
        <f aca="true" t="shared" si="38" ref="Q129:Q134">SUM(L129:P129)</f>
        <v>66431</v>
      </c>
      <c r="R129" s="109"/>
    </row>
    <row r="130" spans="1:18" ht="12" customHeight="1">
      <c r="A130" s="20"/>
      <c r="B130" s="21" t="s">
        <v>5</v>
      </c>
      <c r="C130" s="55" t="s">
        <v>103</v>
      </c>
      <c r="D130" s="22" t="s">
        <v>127</v>
      </c>
      <c r="E130" s="122"/>
      <c r="F130" s="122"/>
      <c r="G130" s="23"/>
      <c r="H130" s="23"/>
      <c r="I130" s="122">
        <f>530+530</f>
        <v>1060</v>
      </c>
      <c r="J130" s="122"/>
      <c r="K130" s="122"/>
      <c r="L130" s="120">
        <f t="shared" si="36"/>
        <v>1060</v>
      </c>
      <c r="M130" s="122"/>
      <c r="N130" s="122">
        <v>22231</v>
      </c>
      <c r="O130" s="122"/>
      <c r="P130" s="122"/>
      <c r="Q130" s="123">
        <f t="shared" si="38"/>
        <v>23291</v>
      </c>
      <c r="R130" s="124"/>
    </row>
    <row r="131" spans="1:18" ht="12" customHeight="1">
      <c r="A131" s="20"/>
      <c r="B131" s="21" t="s">
        <v>6</v>
      </c>
      <c r="C131" s="55" t="s">
        <v>103</v>
      </c>
      <c r="D131" s="22" t="s">
        <v>128</v>
      </c>
      <c r="E131" s="122"/>
      <c r="F131" s="122"/>
      <c r="G131" s="23"/>
      <c r="H131" s="23"/>
      <c r="I131" s="122">
        <f>530</f>
        <v>530</v>
      </c>
      <c r="J131" s="122"/>
      <c r="K131" s="122"/>
      <c r="L131" s="120">
        <f t="shared" si="36"/>
        <v>530</v>
      </c>
      <c r="M131" s="122"/>
      <c r="N131" s="122"/>
      <c r="O131" s="122"/>
      <c r="P131" s="122"/>
      <c r="Q131" s="123">
        <f t="shared" si="38"/>
        <v>530</v>
      </c>
      <c r="R131" s="124"/>
    </row>
    <row r="132" spans="1:18" ht="12" customHeight="1">
      <c r="A132" s="14"/>
      <c r="B132" s="27" t="s">
        <v>7</v>
      </c>
      <c r="C132" s="56" t="s">
        <v>103</v>
      </c>
      <c r="D132" s="15" t="s">
        <v>129</v>
      </c>
      <c r="E132" s="183"/>
      <c r="F132" s="183"/>
      <c r="G132" s="184"/>
      <c r="H132" s="184"/>
      <c r="I132" s="183">
        <f>400</f>
        <v>400</v>
      </c>
      <c r="J132" s="183"/>
      <c r="K132" s="183"/>
      <c r="L132" s="132">
        <f t="shared" si="36"/>
        <v>400</v>
      </c>
      <c r="M132" s="183"/>
      <c r="N132" s="183">
        <v>5000</v>
      </c>
      <c r="O132" s="183"/>
      <c r="P132" s="183"/>
      <c r="Q132" s="16">
        <f t="shared" si="38"/>
        <v>5400</v>
      </c>
      <c r="R132" s="152"/>
    </row>
    <row r="133" spans="1:18" ht="12" customHeight="1">
      <c r="A133" s="20"/>
      <c r="B133" s="21" t="s">
        <v>8</v>
      </c>
      <c r="C133" s="55" t="s">
        <v>103</v>
      </c>
      <c r="D133" s="22" t="s">
        <v>137</v>
      </c>
      <c r="E133" s="122"/>
      <c r="F133" s="122"/>
      <c r="G133" s="23"/>
      <c r="H133" s="23"/>
      <c r="I133" s="122">
        <f>690</f>
        <v>690</v>
      </c>
      <c r="J133" s="122"/>
      <c r="K133" s="122"/>
      <c r="L133" s="120">
        <f>I133</f>
        <v>690</v>
      </c>
      <c r="M133" s="122"/>
      <c r="N133" s="122"/>
      <c r="O133" s="122"/>
      <c r="P133" s="122"/>
      <c r="Q133" s="123">
        <f t="shared" si="38"/>
        <v>690</v>
      </c>
      <c r="R133" s="124"/>
    </row>
    <row r="134" spans="1:18" ht="12" customHeight="1">
      <c r="A134" s="14"/>
      <c r="B134" s="27" t="s">
        <v>9</v>
      </c>
      <c r="C134" s="56" t="s">
        <v>103</v>
      </c>
      <c r="D134" s="15" t="s">
        <v>138</v>
      </c>
      <c r="E134" s="183"/>
      <c r="F134" s="183"/>
      <c r="G134" s="184"/>
      <c r="H134" s="184"/>
      <c r="I134" s="183">
        <f>1130</f>
        <v>1130</v>
      </c>
      <c r="J134" s="183"/>
      <c r="K134" s="183"/>
      <c r="L134" s="132">
        <f>I134</f>
        <v>1130</v>
      </c>
      <c r="M134" s="183"/>
      <c r="N134" s="183"/>
      <c r="O134" s="183"/>
      <c r="P134" s="183"/>
      <c r="Q134" s="16">
        <f t="shared" si="38"/>
        <v>1130</v>
      </c>
      <c r="R134" s="152"/>
    </row>
    <row r="135" spans="1:18" ht="12" customHeight="1" thickBot="1">
      <c r="A135" s="18"/>
      <c r="B135" s="19" t="s">
        <v>10</v>
      </c>
      <c r="C135" s="57" t="s">
        <v>102</v>
      </c>
      <c r="D135" s="178" t="s">
        <v>173</v>
      </c>
      <c r="E135" s="140"/>
      <c r="F135" s="140"/>
      <c r="G135" s="139"/>
      <c r="H135" s="139"/>
      <c r="I135" s="140">
        <f>24400+10990</f>
        <v>35390</v>
      </c>
      <c r="J135" s="140"/>
      <c r="K135" s="140"/>
      <c r="L135" s="141">
        <f>SUM(E135:K135)</f>
        <v>35390</v>
      </c>
      <c r="M135" s="140">
        <f>18821-18821</f>
        <v>0</v>
      </c>
      <c r="N135" s="140"/>
      <c r="O135" s="140"/>
      <c r="P135" s="140"/>
      <c r="Q135" s="142">
        <f>SUM(L135:P135)</f>
        <v>35390</v>
      </c>
      <c r="R135" s="145"/>
    </row>
    <row r="136" spans="1:18" ht="12.75" customHeight="1" thickBot="1">
      <c r="A136" s="33" t="s">
        <v>99</v>
      </c>
      <c r="B136" s="78" t="s">
        <v>5</v>
      </c>
      <c r="C136" s="60" t="s">
        <v>103</v>
      </c>
      <c r="D136" s="197" t="s">
        <v>73</v>
      </c>
      <c r="E136" s="133"/>
      <c r="F136" s="133"/>
      <c r="G136" s="133">
        <f>125+4156</f>
        <v>4281</v>
      </c>
      <c r="H136" s="133"/>
      <c r="I136" s="133"/>
      <c r="J136" s="133">
        <v>0</v>
      </c>
      <c r="K136" s="133"/>
      <c r="L136" s="133">
        <f t="shared" si="36"/>
        <v>4281</v>
      </c>
      <c r="M136" s="133">
        <v>0</v>
      </c>
      <c r="N136" s="133"/>
      <c r="O136" s="133"/>
      <c r="P136" s="133"/>
      <c r="Q136" s="17">
        <f>SUM(L136:P136)</f>
        <v>4281</v>
      </c>
      <c r="R136" s="144"/>
    </row>
    <row r="137" spans="1:18" s="28" customFormat="1" ht="12" customHeight="1" thickBot="1">
      <c r="A137" s="33" t="s">
        <v>100</v>
      </c>
      <c r="B137" s="77" t="s">
        <v>5</v>
      </c>
      <c r="C137" s="64" t="s">
        <v>102</v>
      </c>
      <c r="D137" s="197" t="s">
        <v>74</v>
      </c>
      <c r="E137" s="133"/>
      <c r="F137" s="133"/>
      <c r="G137" s="133">
        <f>1900+500</f>
        <v>2400</v>
      </c>
      <c r="H137" s="133"/>
      <c r="I137" s="133"/>
      <c r="J137" s="133">
        <v>0</v>
      </c>
      <c r="K137" s="133"/>
      <c r="L137" s="133">
        <f t="shared" si="36"/>
        <v>2400</v>
      </c>
      <c r="M137" s="133">
        <v>0</v>
      </c>
      <c r="N137" s="133"/>
      <c r="O137" s="133"/>
      <c r="P137" s="133"/>
      <c r="Q137" s="17">
        <f>SUM(L137:P137)</f>
        <v>2400</v>
      </c>
      <c r="R137" s="129"/>
    </row>
    <row r="138" spans="1:18" s="28" customFormat="1" ht="12" customHeight="1">
      <c r="A138" s="7" t="s">
        <v>101</v>
      </c>
      <c r="B138" s="266" t="s">
        <v>5</v>
      </c>
      <c r="C138" s="89" t="s">
        <v>103</v>
      </c>
      <c r="D138" s="277" t="s">
        <v>180</v>
      </c>
      <c r="E138" s="138"/>
      <c r="F138" s="138"/>
      <c r="G138" s="138">
        <v>0</v>
      </c>
      <c r="H138" s="138"/>
      <c r="I138" s="138">
        <f>100+100+200+300+400+20+50+200+100+100</f>
        <v>1570</v>
      </c>
      <c r="J138" s="138">
        <v>0</v>
      </c>
      <c r="K138" s="138"/>
      <c r="L138" s="138">
        <f>SUM(E138:K138)</f>
        <v>1570</v>
      </c>
      <c r="M138" s="138"/>
      <c r="N138" s="138"/>
      <c r="O138" s="138"/>
      <c r="P138" s="138"/>
      <c r="Q138" s="9">
        <f>L138</f>
        <v>1570</v>
      </c>
      <c r="R138" s="144"/>
    </row>
    <row r="139" spans="1:18" s="28" customFormat="1" ht="12" customHeight="1" thickBot="1">
      <c r="A139" s="18"/>
      <c r="B139" s="267"/>
      <c r="C139" s="57" t="s">
        <v>102</v>
      </c>
      <c r="D139" s="278"/>
      <c r="E139" s="141"/>
      <c r="F139" s="141"/>
      <c r="G139" s="141"/>
      <c r="H139" s="141"/>
      <c r="I139" s="141"/>
      <c r="J139" s="141">
        <f>50+330</f>
        <v>380</v>
      </c>
      <c r="K139" s="141"/>
      <c r="L139" s="141">
        <f>SUM(E139:K139)</f>
        <v>380</v>
      </c>
      <c r="M139" s="141"/>
      <c r="N139" s="141"/>
      <c r="O139" s="141"/>
      <c r="P139" s="141"/>
      <c r="Q139" s="142">
        <f>L139</f>
        <v>380</v>
      </c>
      <c r="R139" s="145"/>
    </row>
    <row r="140" spans="1:18" s="28" customFormat="1" ht="12" customHeight="1" thickBot="1">
      <c r="A140" s="243" t="s">
        <v>175</v>
      </c>
      <c r="B140" s="244"/>
      <c r="C140" s="244"/>
      <c r="D140" s="244"/>
      <c r="E140" s="133">
        <f>E39+E40+E41+E42+E60+E63+E64+E79+E80+E85+E88+E92+E93+E94+E95+E100+E101+E107+E108+E112+E117+E118+E119+E126+E129+E136+E137+E138+E139</f>
        <v>110956</v>
      </c>
      <c r="F140" s="133">
        <f aca="true" t="shared" si="39" ref="F140:K140">F39+F40+F41+F42+F60+F63+F64+F79+F80+F85+F88+F92+F93+F94+F95+F100+F101+F107+F108+F112+F117+F118+F119+F126+F129+F136+F137+F138+F139</f>
        <v>22521</v>
      </c>
      <c r="G140" s="133">
        <f t="shared" si="39"/>
        <v>691687</v>
      </c>
      <c r="H140" s="133">
        <f t="shared" si="39"/>
        <v>7600</v>
      </c>
      <c r="I140" s="133">
        <f t="shared" si="39"/>
        <v>185886</v>
      </c>
      <c r="J140" s="133">
        <f>J39+J40+J41+J42+J60+J63+J64+J79+J80+J85+J88+J92+J93+J94+J95+J100+J101+J107+J108+J112+J117+J118+J119+J126+J129+J136+J137+J138+J139</f>
        <v>38440</v>
      </c>
      <c r="K140" s="133">
        <f t="shared" si="39"/>
        <v>322664</v>
      </c>
      <c r="L140" s="133">
        <f>SUM(E140:K140)</f>
        <v>1379754</v>
      </c>
      <c r="M140" s="133">
        <f>M39+M40+M41+M42+M60+M63+M64+M79+M80+M85+M88+M92+M93+M94+M95+M100+M101+M107+M108+M112+M117+M118+M119+M126+M129+M136+M137+M138</f>
        <v>1095825</v>
      </c>
      <c r="N140" s="133">
        <f>N39+N40+N41+N42+N60+N63+N64+N79+N80+N85+N88+N92+N93+N94+N95+N100+N101+N107+N108+N112+N117+N118+N119+N126+N129+N136+N137+N138</f>
        <v>41498</v>
      </c>
      <c r="O140" s="133">
        <f>O39+O40+O41+O42+O60+O63+O64+O79+O80+O85+O88+O92+O93+O94+O95+O100+O101+O107+O108+O112+O117+O118+O119+O126+O129+O136+O137+O138</f>
        <v>6923</v>
      </c>
      <c r="P140" s="133">
        <f>P39+P40+P41+P42+P60+P63+P64+P79+P80+P85+P88+P92+P93+P94+P95+P100+P101+P107+P108+P112+P117+P118+P119+P126+P129+P136+P137+P138</f>
        <v>0</v>
      </c>
      <c r="Q140" s="133">
        <f>SUM(L140:P140)</f>
        <v>2524000</v>
      </c>
      <c r="R140" s="158">
        <f>R39+R40+R41+R42+R60+R63+R64+R79+R80+R85+R88+R92+R93+R94+R95+R100+R101+R107+R108+R112+R118+R119+R126+R136+R137</f>
        <v>105</v>
      </c>
    </row>
    <row r="141" spans="1:18" s="70" customFormat="1" ht="12" customHeight="1">
      <c r="A141" s="263" t="s">
        <v>107</v>
      </c>
      <c r="B141" s="264"/>
      <c r="C141" s="264"/>
      <c r="D141" s="265"/>
      <c r="E141" s="146">
        <f>E39+E40+E41+E43+E47+E49+E52+E55+E58+E59+E61+E62+E63+E66+E68+E69+E72+E74+E76+E82+E86+E89+E90+E91+E92+E99+E100+E105+E106+E107+E110+E114+E115+E137+E77+E118+E111+E135+E56+E116+E104+E46+E128+E139</f>
        <v>76499</v>
      </c>
      <c r="F141" s="146">
        <f aca="true" t="shared" si="40" ref="F141:K141">F39+F40+F41+F43+F47+F49+F52+F55+F58+F59+F61+F62+F63+F66+F68+F69+F72+F74+F76+F82+F86+F89+F90+F91+F92+F99+F100+F105+F106+F107+F110+F114+F115+F137+F77+F118+F111+F135+F56+F116+F104+F46+F128+F139</f>
        <v>11823</v>
      </c>
      <c r="G141" s="146">
        <f t="shared" si="40"/>
        <v>461559</v>
      </c>
      <c r="H141" s="146">
        <f t="shared" si="40"/>
        <v>7600</v>
      </c>
      <c r="I141" s="146">
        <f t="shared" si="40"/>
        <v>177506</v>
      </c>
      <c r="J141" s="146">
        <f t="shared" si="40"/>
        <v>35935</v>
      </c>
      <c r="K141" s="146">
        <f t="shared" si="40"/>
        <v>314594</v>
      </c>
      <c r="L141" s="146">
        <f>SUM(E141:K141)</f>
        <v>1085516</v>
      </c>
      <c r="M141" s="146">
        <f>M39+M40+M41+M43+M47+M49+M52+M55+M58+M59+M61+M62+M63+M66+M68+M69+M72+M74+M76+M82+M86+M89+M90+M91+M92+M99+M100+M105+M106+M107+M110+M114+M115+M137+M77+M118+M111+M135+M56+M116+M104+M46+M128+M139</f>
        <v>975325</v>
      </c>
      <c r="N141" s="146">
        <f>N39+N40+N41+N43+N47+N49+N52+N55+N58+N59+N61+N62+N63+N66+N68+N69+N72+N74+N76+N82+N86+N89+N90+N91+N92+N99+N100+N105+N106+N107+N110+N114+N115+N137+N77+N118+N111+N135+N56+N116+N104+N46+N128+N139</f>
        <v>9754</v>
      </c>
      <c r="O141" s="146">
        <f>O39+O40+O41+O43+O47+O49+O52+O55+O58+O59+O61+O62+O63+O66+O68+O69+O72+O74+O76+O82+O86+O89+O90+O91+O92+O99+O100+O105+O106+O107+O110+O114+O115+O137+O77+O118+O111+O135+O56+O116+O104+O46+O128+O139</f>
        <v>6923</v>
      </c>
      <c r="P141" s="146">
        <f>P39+P40+P41+P43+P47+P49+P52+P55+P58+P59+P61+P62+P63+P66+P68+P69+P72+P74+P76+P82+P86+P89+P90+P91+P92+P99+P100+P105+P106+P107+P110+P114+P115+P137+P77+P118+P111+P135+P56+P116+P104+P46+P128+P139</f>
        <v>0</v>
      </c>
      <c r="Q141" s="146">
        <f>SUM(L141:P141)</f>
        <v>2077518</v>
      </c>
      <c r="R141" s="218">
        <f>R39+R40+R41+R43+R47+R49+R52+R55+R59+R61+R62+R63+R66+R68+R69+R72+R74+R76+R82+R86+R89+R90+R91+R92+R99+R100+R105+R107+R110+R114+R115+R137+R77+R118+R111+R135+R56+R116</f>
        <v>101</v>
      </c>
    </row>
    <row r="142" spans="1:18" s="70" customFormat="1" ht="12" customHeight="1">
      <c r="A142" s="249" t="s">
        <v>120</v>
      </c>
      <c r="B142" s="250"/>
      <c r="C142" s="250"/>
      <c r="D142" s="251"/>
      <c r="E142" s="149">
        <v>0</v>
      </c>
      <c r="F142" s="149">
        <v>0</v>
      </c>
      <c r="G142" s="149">
        <v>0</v>
      </c>
      <c r="H142" s="149">
        <v>0</v>
      </c>
      <c r="I142" s="149">
        <f>+I74</f>
        <v>0</v>
      </c>
      <c r="J142" s="149">
        <f>+J74</f>
        <v>0</v>
      </c>
      <c r="K142" s="149">
        <v>0</v>
      </c>
      <c r="L142" s="149">
        <f t="shared" si="36"/>
        <v>0</v>
      </c>
      <c r="M142" s="149">
        <v>0</v>
      </c>
      <c r="N142" s="149"/>
      <c r="O142" s="149">
        <f>+O707</f>
        <v>0</v>
      </c>
      <c r="P142" s="149">
        <f>+P74</f>
        <v>0</v>
      </c>
      <c r="Q142" s="149">
        <f>SUM(L142:P142)</f>
        <v>0</v>
      </c>
      <c r="R142" s="163">
        <f>+R74</f>
        <v>0</v>
      </c>
    </row>
    <row r="143" spans="1:18" s="70" customFormat="1" ht="12" customHeight="1" thickBot="1">
      <c r="A143" s="274" t="s">
        <v>108</v>
      </c>
      <c r="B143" s="275"/>
      <c r="C143" s="275"/>
      <c r="D143" s="276"/>
      <c r="E143" s="155">
        <f>E45+E50+E53+E54+E57+E67+E71+E73+E75+E79+E81+E83+E84+E87+E93+E94+E96+E97+E98+E102+E103+E113+E117+E119+E127+E129-E135+E136+E138+E109+E44+E70+E78</f>
        <v>34457</v>
      </c>
      <c r="F143" s="155">
        <f aca="true" t="shared" si="41" ref="F143:K143">F45+F50+F53+F54+F57+F67+F71+F73+F75+F79+F81+F83+F84+F87+F93+F94+F96+F97+F98+F102+F103+F113+F117+F119+F127+F129-F135+F136+F138+F109+F44+F70+F78</f>
        <v>10698</v>
      </c>
      <c r="G143" s="155">
        <f>G45+G50+G53+G54+G57+G67+G71+G73+G75+G79+G81+G83+G84+G87+G93+G94+G96+G97+G98+G102+G103+G113+G117+G119+G127+G129-G135+G136+G138+G109+G44+G70+G78</f>
        <v>230128</v>
      </c>
      <c r="H143" s="155">
        <f t="shared" si="41"/>
        <v>0</v>
      </c>
      <c r="I143" s="155">
        <f t="shared" si="41"/>
        <v>8380</v>
      </c>
      <c r="J143" s="155">
        <f t="shared" si="41"/>
        <v>2505</v>
      </c>
      <c r="K143" s="155">
        <f t="shared" si="41"/>
        <v>8070</v>
      </c>
      <c r="L143" s="155">
        <f t="shared" si="36"/>
        <v>294238</v>
      </c>
      <c r="M143" s="155">
        <f>M45+M50+M53+M54+M57+M67+M71+M73+M75+M79+M81+M83+M84+M87+M93+M94+M96+M97+M98+M102+M103+M113+M117+M119+M127+M129-M135+M136+M138+M109+M44+M70+M78</f>
        <v>120500</v>
      </c>
      <c r="N143" s="155">
        <f>N45+N50+N53+N54+N57+N67+N71+N73+N75+N79+N81+N83+N84+N87+N93+N94+N96+N97+N98+N102+N103+N113+N117+N119+N127+N129-N135+N136+N138+N109+N44+N70+N78</f>
        <v>31744</v>
      </c>
      <c r="O143" s="155">
        <f>O45+O50+O53+O54+O57+O67+O71+O73+O75+O79+O81+O83+O84+O87+O93+O94+O96+O97+O98+O102+O103+O113+O117+O119+O127+O129-O135+O136+O138+O109+O44+O70+O78</f>
        <v>0</v>
      </c>
      <c r="P143" s="155">
        <f>P45+P50+P53+P54+P57+P67+P71+P73+P75+P79+P81+P83+P84+P87+P93+P94+P96+P97+P98+P102+P103+P113+P117+P119+P127+P129-P135+P136+P138+P109+P44+P70+P78</f>
        <v>0</v>
      </c>
      <c r="Q143" s="155">
        <f>SUM(L143:P143)</f>
        <v>446482</v>
      </c>
      <c r="R143" s="167">
        <f>R45+R50+R53+R54+R57+R58+R67+R71+R73+R75+R79+R81+R83+R84+R87+R93+R94+R96+R97+R98+R102+R103+R113+R117+R119+R127+R129+R136+R138+R109</f>
        <v>4</v>
      </c>
    </row>
    <row r="144" spans="1:18" s="28" customFormat="1" ht="11.25" customHeight="1">
      <c r="A144" s="238" t="s">
        <v>49</v>
      </c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</row>
    <row r="145" spans="1:18" s="28" customFormat="1" ht="12" customHeight="1">
      <c r="A145" s="24" t="s">
        <v>90</v>
      </c>
      <c r="B145" s="25">
        <v>1</v>
      </c>
      <c r="C145" s="54" t="s">
        <v>102</v>
      </c>
      <c r="D145" s="198" t="s">
        <v>167</v>
      </c>
      <c r="E145" s="130"/>
      <c r="F145" s="130"/>
      <c r="G145" s="125">
        <v>18307</v>
      </c>
      <c r="H145" s="130"/>
      <c r="I145" s="130"/>
      <c r="J145" s="125"/>
      <c r="K145" s="130"/>
      <c r="L145" s="130">
        <f>SUM(E145:K145)</f>
        <v>18307</v>
      </c>
      <c r="M145" s="130"/>
      <c r="N145" s="130"/>
      <c r="O145" s="130">
        <v>0</v>
      </c>
      <c r="P145" s="130"/>
      <c r="Q145" s="131">
        <f>L145+O145+N145</f>
        <v>18307</v>
      </c>
      <c r="R145" s="135">
        <v>0</v>
      </c>
    </row>
    <row r="146" spans="1:18" s="28" customFormat="1" ht="11.25" customHeight="1">
      <c r="A146" s="245" t="s">
        <v>136</v>
      </c>
      <c r="B146" s="25"/>
      <c r="C146" s="54" t="s">
        <v>103</v>
      </c>
      <c r="D146" s="268" t="s">
        <v>188</v>
      </c>
      <c r="E146" s="130"/>
      <c r="F146" s="130"/>
      <c r="G146" s="125">
        <v>2000000</v>
      </c>
      <c r="H146" s="130"/>
      <c r="I146" s="130"/>
      <c r="J146" s="130"/>
      <c r="K146" s="130"/>
      <c r="L146" s="130">
        <f>SUM(E146:K146)</f>
        <v>2000000</v>
      </c>
      <c r="M146" s="130"/>
      <c r="N146" s="130"/>
      <c r="O146" s="130"/>
      <c r="P146" s="130"/>
      <c r="Q146" s="131">
        <f>SUM(L146:P146)</f>
        <v>2000000</v>
      </c>
      <c r="R146" s="135"/>
    </row>
    <row r="147" spans="1:18" s="28" customFormat="1" ht="10.5" customHeight="1" thickBot="1">
      <c r="A147" s="246"/>
      <c r="B147" s="19"/>
      <c r="C147" s="57" t="s">
        <v>102</v>
      </c>
      <c r="D147" s="269"/>
      <c r="E147" s="141"/>
      <c r="F147" s="141"/>
      <c r="G147" s="140">
        <v>3000000</v>
      </c>
      <c r="H147" s="141"/>
      <c r="I147" s="141"/>
      <c r="J147" s="141"/>
      <c r="K147" s="141"/>
      <c r="L147" s="141">
        <f>SUM(E147:K147)</f>
        <v>3000000</v>
      </c>
      <c r="M147" s="141"/>
      <c r="N147" s="141"/>
      <c r="O147" s="141"/>
      <c r="P147" s="141"/>
      <c r="Q147" s="142">
        <f>SUM(L147:P147)</f>
        <v>3000000</v>
      </c>
      <c r="R147" s="145"/>
    </row>
    <row r="148" spans="1:18" ht="23.25" customHeight="1" thickBot="1">
      <c r="A148" s="231" t="s">
        <v>176</v>
      </c>
      <c r="B148" s="232"/>
      <c r="C148" s="232"/>
      <c r="D148" s="233"/>
      <c r="E148" s="133">
        <f>E140+E145+E35</f>
        <v>259598</v>
      </c>
      <c r="F148" s="133">
        <f>F140+F145+F35</f>
        <v>64118</v>
      </c>
      <c r="G148" s="133">
        <f>G140+G35</f>
        <v>737091</v>
      </c>
      <c r="H148" s="133">
        <f>H140+H145+H35</f>
        <v>8300</v>
      </c>
      <c r="I148" s="133">
        <f>I140+I145+I35</f>
        <v>185886</v>
      </c>
      <c r="J148" s="133">
        <f>J140+J145+J35</f>
        <v>67502</v>
      </c>
      <c r="K148" s="133">
        <f>K140+K145+K35</f>
        <v>322664</v>
      </c>
      <c r="L148" s="133">
        <f>SUM(E148:K148)+G147+G146+G145</f>
        <v>6663466</v>
      </c>
      <c r="M148" s="133">
        <f>M140+M145+M35</f>
        <v>1095825</v>
      </c>
      <c r="N148" s="133">
        <f>N140+N145+N35</f>
        <v>41498</v>
      </c>
      <c r="O148" s="133">
        <f>O140+O145+O35</f>
        <v>6923</v>
      </c>
      <c r="P148" s="133">
        <f>P140+P145+P35</f>
        <v>0</v>
      </c>
      <c r="Q148" s="133">
        <f>SUM(L148:P148)</f>
        <v>7807712</v>
      </c>
      <c r="R148" s="134">
        <f>R140+R145+R35</f>
        <v>150</v>
      </c>
    </row>
    <row r="149" spans="1:18" ht="12.75" customHeight="1" thickBot="1">
      <c r="A149" s="234" t="s">
        <v>177</v>
      </c>
      <c r="B149" s="235"/>
      <c r="C149" s="235"/>
      <c r="D149" s="235"/>
      <c r="E149" s="196">
        <f>E16+E148</f>
        <v>604503</v>
      </c>
      <c r="F149" s="196">
        <f aca="true" t="shared" si="42" ref="F149:K149">F16+F148</f>
        <v>161784</v>
      </c>
      <c r="G149" s="196">
        <f t="shared" si="42"/>
        <v>840380</v>
      </c>
      <c r="H149" s="196">
        <f t="shared" si="42"/>
        <v>8480</v>
      </c>
      <c r="I149" s="196">
        <f t="shared" si="42"/>
        <v>185886</v>
      </c>
      <c r="J149" s="196">
        <f t="shared" si="42"/>
        <v>87482</v>
      </c>
      <c r="K149" s="196">
        <f t="shared" si="42"/>
        <v>322664</v>
      </c>
      <c r="L149" s="196">
        <f>SUM(E149:K149)+G147+G146+G145</f>
        <v>7229486</v>
      </c>
      <c r="M149" s="196">
        <f>M16+M148</f>
        <v>1098325</v>
      </c>
      <c r="N149" s="196">
        <f>N16+N148</f>
        <v>41498</v>
      </c>
      <c r="O149" s="196">
        <f>O16+O148</f>
        <v>6923</v>
      </c>
      <c r="P149" s="196">
        <f>P16+P148</f>
        <v>0</v>
      </c>
      <c r="Q149" s="46">
        <f>SUM(L149:P149)</f>
        <v>8376232</v>
      </c>
      <c r="R149" s="134">
        <f>R16+R148</f>
        <v>280.25</v>
      </c>
    </row>
    <row r="150" spans="1:18" s="53" customFormat="1" ht="12.75" customHeight="1">
      <c r="A150" s="272" t="s">
        <v>107</v>
      </c>
      <c r="B150" s="273"/>
      <c r="C150" s="273"/>
      <c r="D150" s="273"/>
      <c r="E150" s="208">
        <f>E9+E11+E15+E22+E24+E26+E28+E30+E31+E33+E34+E39+E40+E41+E43+E47+E49+E52+E55+E58+E59+E61+E62+E63+E66+E68+E69+E72+E74+E76+E82+E86+E89+E90+E91+E92+E99+E100+E105+E106+E107+E114+E115+E137+E77+E110+E118+E111+E135+E56+E116+E104+E46+E128+E139</f>
        <v>427195</v>
      </c>
      <c r="F150" s="208">
        <f>F9+F11+F15+F22+F24+F26+F28+F30+F31+F33+F34+F39+F40+F41+F43+F47+F49+F52+F55+F58+F59+F61+F62+F63+F66+F68+F69+F72+F74+F76+F82+F86+F89+F90+F91+F92+F99+F100+F105+F106+F107+F114+F115+F137+F77+F110+F118+F111+F135+F56+F116+F104+F46+F128+F139</f>
        <v>111393</v>
      </c>
      <c r="G150" s="208">
        <f>G9+G11+G15+G22+G24+G26+G28+G30+G31+G33+G34+G39+G40+G41+G43+G47+G49+G52+G55+G58+G59+G61+G62+G63+G66+G68+G69+G72+G74+G76+G82+G86+G89+G90+G91+G92+G99+G100+G105+G106+G107+G114+G115+G137+G77+G110+G118+G111+G135+G56+G116+G104+G46+G128+G139</f>
        <v>546302</v>
      </c>
      <c r="H150" s="208">
        <f>H9+H11+H15+H22+H24+H26+H30+H31+H33+H34+H39+H40+H41+H43+H47+H49+H52+H55+H58+H59+H61+H62+H63+H66+H68+H69+H72+H74+H76+H82+H86+H89+H90+H91+H92+H99+H100+H105+H106+H107+H114+H115+H137+H77+H110+H118+H111+H135+H56+H116+H104+H46+H128+H139</f>
        <v>8300</v>
      </c>
      <c r="I150" s="208">
        <f>I9+I11+I15+I22+I24+I26+I30+I31+I33+I34+I39+I40+I41+I43+I47+I49+I52+I55+I58+I59+I61+I62+I63+I66+I68+I69+I72+I74+I76+I82+I86+I89+I90+I91+I92+I99+I100+I105+I106+I107+I114+I115+I137+I77+I110+I118+I111+I135+I56+I116+I104+I46+I128+I139</f>
        <v>177506</v>
      </c>
      <c r="J150" s="208">
        <f>J9+J11+J15+J22+J24+J26+J30+J31+J33+J34+J39+J40+J41+J43+J47+J49+J52+J55+J58+J59+J61+J62+J63+J66+J68+J69+J72+J74+J76+J82+J86+J89+J90+J91+J92+J99+J100+J105+J106+J107+J114+J115+J137+J77+J110+J118+J111+J135+J56+J116+J104+J46+J128+J139</f>
        <v>83102</v>
      </c>
      <c r="K150" s="208">
        <f>K9+K11+K15+K22+K24+K26+K30+K31+K33+K34+K39+K40+K41+K43+K47+K49+K52+K55+K58+K59+K61+K62+K63+K66+K68+K69+K72+K74+K76+K82+K86+K89+K90+K91+K92+K99+K100+K105+K106+K107+K114+K115+K137+K77+K110+K118+K111+K135+K56+K116+K104+K46+K128+K139</f>
        <v>314594</v>
      </c>
      <c r="L150" s="159">
        <f>SUM(E150:K150)+G147+G145</f>
        <v>4686699</v>
      </c>
      <c r="M150" s="208">
        <f>M9+M11+M15+M22+M24+M26+M30+M31+M33+M34+M39+M40+M41+M43+M47+M49+M52+M55+M58+M59+M61+M62+M63+M66+M68+M69+M72+M74+M76+M82+M86+M89+M90+M91+M92+M99+M100+M105+M106+M107+M114+M115+M137+M77+M110+M118+M111+M135+M56+M116+M104+M46+M128+M139</f>
        <v>975325</v>
      </c>
      <c r="N150" s="208">
        <f>N9+N11+N15+N22+N24+N26+N30+N31+N33+N34+N39+N40+N41+N43+N47+N49+N52+N55+N58+N59+N61+N62+N63+N66+N68+N69+N72+N74+N76+N82+N86+N89+N90+N91+N92+N99+N100+N105+N106+N107+N114+N115+N137+N77+N110+N118+N111+N135+N56+N116+N104+N46+N128+N139</f>
        <v>9754</v>
      </c>
      <c r="O150" s="208">
        <f>O9+O11+O15+O22+O24+O26+O30+O31+O33+O34+O39+O40+O41+O43+O47+O49+O52+O55+O58+O59+O61+O62+O63+O66+O68+O69+O72+O74+O76+O82+O86+O89+O90+O91+O92+O99+O100+O105+O106+O107+O114+O115+O137+O77+O110+O118+O111+O135+O56+O116+O104+O46+O128+O139</f>
        <v>6923</v>
      </c>
      <c r="P150" s="208">
        <f>P9+P11+P15+P22+P24+P26+P30+P31+P33+P34+P39+P40+P41+P43+P47+P49+P52+P55+P58+P59+P61+P62+P63+P66+P68+P69+P72+P74+P76+P82+P86+P89+P90+P91+P92+P99+P100+P105+P106+P107+P114+P115+P137+P77+P110+P118+P111+P135+P56+P116+P104+P46+P128+P139</f>
        <v>0</v>
      </c>
      <c r="Q150" s="159">
        <f>L150+M150+O150+P150+N150</f>
        <v>5678701</v>
      </c>
      <c r="R150" s="208">
        <f>R9+R11+R15+R22+R24+R26+R30+R31+R33+R34+R39+R40+R41+R43+R47+R49+R52+R55+R59+R61+R62+R63+R66+R68+R69+R72+R74+R76+R82+R86+R89+R90+R91+R92+R99+R100+R105+R107+R114+R115+R137+R77+R110+R118+R111+R135+R56+R116</f>
        <v>225.10000000000002</v>
      </c>
    </row>
    <row r="151" spans="1:18" s="53" customFormat="1" ht="12.75" customHeight="1">
      <c r="A151" s="249" t="s">
        <v>120</v>
      </c>
      <c r="B151" s="250"/>
      <c r="C151" s="250"/>
      <c r="D151" s="251"/>
      <c r="E151" s="209">
        <f>E23</f>
        <v>45201</v>
      </c>
      <c r="F151" s="209">
        <f>F23</f>
        <v>12317</v>
      </c>
      <c r="G151" s="209">
        <f>G23</f>
        <v>8200</v>
      </c>
      <c r="H151" s="209">
        <v>0</v>
      </c>
      <c r="I151" s="209">
        <f>I23</f>
        <v>0</v>
      </c>
      <c r="J151" s="209">
        <f>J23</f>
        <v>0</v>
      </c>
      <c r="K151" s="209">
        <f>K23</f>
        <v>0</v>
      </c>
      <c r="L151" s="153">
        <f>SUM(E151:K151)</f>
        <v>65718</v>
      </c>
      <c r="M151" s="209">
        <f>M23</f>
        <v>0</v>
      </c>
      <c r="N151" s="209">
        <f>N23</f>
        <v>0</v>
      </c>
      <c r="O151" s="209">
        <f>O23</f>
        <v>0</v>
      </c>
      <c r="P151" s="209">
        <f>P23</f>
        <v>0</v>
      </c>
      <c r="Q151" s="153">
        <f>SUM(L151:P151)</f>
        <v>65718</v>
      </c>
      <c r="R151" s="164">
        <f>R23</f>
        <v>12.2</v>
      </c>
    </row>
    <row r="152" spans="1:18" s="53" customFormat="1" ht="12.75" customHeight="1" thickBot="1">
      <c r="A152" s="229" t="s">
        <v>108</v>
      </c>
      <c r="B152" s="230"/>
      <c r="C152" s="230"/>
      <c r="D152" s="230"/>
      <c r="E152" s="210">
        <f>E10+E13+E14+E25+E45+E50+E53+E54+E57+E67+E70+E71+E73+E75+E79+E81+E83+E84+E87+E93+E94+E96+E97+E98+E102+E103+E113+E117+E119+E127+E129-E135+E136+E138+E109+E44+E78+E27</f>
        <v>132107</v>
      </c>
      <c r="F152" s="210">
        <f aca="true" t="shared" si="43" ref="F152:K152">F10+F13+F14+F25+F45+F50+F53+F54+F57+F67+F70+F71+F73+F75+F79+F81+F83+F84+F87+F93+F94+F96+F97+F98+F102+F103+F113+F117+F119+F127+F129-F135+F136+F138+F109+F44+F78+F27</f>
        <v>38074</v>
      </c>
      <c r="G152" s="210">
        <f>G10+G13+G14+G25+G45+G50+G53+G54+G57+G67+G70+G71+G73+G75+G79+G81+G83+G84+G87+G93+G94+G96+G97+G98+G102+G103+G113+G117+G119+G127+G129-G135+G136+G138+G109+G44+G78+G27</f>
        <v>285878</v>
      </c>
      <c r="H152" s="210">
        <f t="shared" si="43"/>
        <v>180</v>
      </c>
      <c r="I152" s="210">
        <f t="shared" si="43"/>
        <v>8380</v>
      </c>
      <c r="J152" s="210">
        <f t="shared" si="43"/>
        <v>4380</v>
      </c>
      <c r="K152" s="210">
        <f t="shared" si="43"/>
        <v>8070</v>
      </c>
      <c r="L152" s="160">
        <f>SUM(E152:K152)+G146</f>
        <v>2477069</v>
      </c>
      <c r="M152" s="210">
        <f>M10+M13+M14+M25+M45+M50+M53+M54+M57+M67+M70+M71+M73+M75+M79+M81+M83+M84+M87+M93+M94+M96+M97+M98+M102+M103+M113+M117+M119+M127+M129-M135+M136+M138+M109+M44+M78+M27</f>
        <v>123000</v>
      </c>
      <c r="N152" s="210">
        <f>N10+N13+N14+N25+N45+N50+N53+N54+N57+N67+N70+N71+N73+N75+N79+N81+N83+N84+N87+N93+N94+N96+N97+N98+N102+N103+N113+N117+N119+N127+N129-N135+N136+N138+N109+N44+N78+N27</f>
        <v>31744</v>
      </c>
      <c r="O152" s="210">
        <f>O10+O13+O14+O25+O45+O50+O53+O54+O57+O67+O70+O71+O73+O75+O79+O81+O83+O84+O87+O93+O94+O96+O97+O98+O102+O103+O113+O117+O119+O127+O129-O135+O136+O138+O109+O44+O78+O27</f>
        <v>0</v>
      </c>
      <c r="P152" s="210">
        <f>P10+P13+P14+P25+P45+P50+P53+P54+P57+P67+P70+P71+P73+P75+P79+P81+P83+P84+P87+P93+P94+P96+P97+P98+P102+P103+P113+P117+P119+P127+P129-P135+P136+P138+P109+P44+P78+P27</f>
        <v>0</v>
      </c>
      <c r="Q152" s="160">
        <f>SUM(L152:P152)</f>
        <v>2631813</v>
      </c>
      <c r="R152" s="168">
        <f>R10+R13+R14+R25+R45+R50+R53+R54+R57+R58+R67+R71+R73+R75+R79+R81+R83+R84+R87+R93+R94+R96+R97+R98+R102+R103+R113+R117+R119+R126+R129+R136+R138+R145+R109</f>
        <v>42.95</v>
      </c>
    </row>
    <row r="153" spans="3:18" ht="12.75" customHeight="1">
      <c r="C153" s="161"/>
      <c r="Q153" s="165"/>
      <c r="R153" s="162"/>
    </row>
    <row r="154" spans="5:18" ht="21" customHeight="1">
      <c r="E154" s="212"/>
      <c r="F154" s="212"/>
      <c r="G154" s="212"/>
      <c r="H154" s="212"/>
      <c r="I154" s="212"/>
      <c r="J154" s="212"/>
      <c r="K154" s="212"/>
      <c r="L154" s="166"/>
      <c r="M154" s="212"/>
      <c r="N154" s="212"/>
      <c r="O154" s="212"/>
      <c r="P154" s="212"/>
      <c r="Q154" s="166"/>
      <c r="R154" s="162"/>
    </row>
    <row r="155" spans="5:18" ht="12.75" customHeight="1">
      <c r="E155" s="212"/>
      <c r="F155" s="212"/>
      <c r="G155" s="212"/>
      <c r="H155" s="212"/>
      <c r="I155" s="212"/>
      <c r="J155" s="212"/>
      <c r="K155" s="212"/>
      <c r="L155" s="166"/>
      <c r="M155" s="212"/>
      <c r="N155" s="212"/>
      <c r="O155" s="212"/>
      <c r="P155" s="212"/>
      <c r="Q155" s="166"/>
      <c r="R155" s="219"/>
    </row>
    <row r="156" spans="5:18" ht="12.75" customHeight="1">
      <c r="E156" s="212"/>
      <c r="F156" s="212"/>
      <c r="G156" s="212"/>
      <c r="H156" s="212"/>
      <c r="I156" s="212"/>
      <c r="J156" s="212"/>
      <c r="K156" s="212"/>
      <c r="L156" s="166"/>
      <c r="M156" s="212"/>
      <c r="N156" s="212"/>
      <c r="O156" s="212"/>
      <c r="P156" s="212"/>
      <c r="Q156" s="166"/>
      <c r="R156" s="219"/>
    </row>
    <row r="157" spans="5:18" ht="12.75" customHeight="1">
      <c r="E157" s="212"/>
      <c r="F157" s="212"/>
      <c r="G157" s="212"/>
      <c r="H157" s="212"/>
      <c r="I157" s="212"/>
      <c r="J157" s="212"/>
      <c r="K157" s="212"/>
      <c r="L157" s="166"/>
      <c r="M157" s="212"/>
      <c r="N157" s="212"/>
      <c r="O157" s="212"/>
      <c r="P157" s="212"/>
      <c r="Q157" s="166"/>
      <c r="R157" s="100"/>
    </row>
    <row r="158" spans="5:18" ht="12.75" customHeight="1">
      <c r="E158" s="212"/>
      <c r="F158" s="212"/>
      <c r="G158" s="212"/>
      <c r="H158" s="212"/>
      <c r="I158" s="212"/>
      <c r="J158" s="212"/>
      <c r="K158" s="212"/>
      <c r="L158" s="166"/>
      <c r="M158" s="212"/>
      <c r="N158" s="212"/>
      <c r="O158" s="212"/>
      <c r="P158" s="212"/>
      <c r="Q158" s="166"/>
      <c r="R158" s="115"/>
    </row>
    <row r="159" spans="5:18" ht="12.75" customHeight="1">
      <c r="E159" s="212"/>
      <c r="F159" s="212"/>
      <c r="G159" s="212"/>
      <c r="H159" s="212"/>
      <c r="I159" s="212"/>
      <c r="J159" s="212"/>
      <c r="K159" s="212"/>
      <c r="L159" s="166"/>
      <c r="M159" s="212"/>
      <c r="N159" s="212"/>
      <c r="O159" s="212"/>
      <c r="P159" s="212"/>
      <c r="Q159" s="166"/>
      <c r="R159" s="100"/>
    </row>
    <row r="160" spans="4:18" ht="12.75" customHeight="1">
      <c r="D160" s="211"/>
      <c r="E160" s="212"/>
      <c r="F160" s="212"/>
      <c r="G160" s="212"/>
      <c r="H160" s="212"/>
      <c r="I160" s="212"/>
      <c r="J160" s="212"/>
      <c r="K160" s="212"/>
      <c r="L160" s="166"/>
      <c r="M160" s="212"/>
      <c r="N160" s="212"/>
      <c r="O160" s="212"/>
      <c r="P160" s="212"/>
      <c r="Q160" s="166"/>
      <c r="R160" s="100"/>
    </row>
    <row r="161" spans="4:18" ht="12.75" customHeight="1">
      <c r="D161" s="211"/>
      <c r="E161" s="212"/>
      <c r="F161" s="212"/>
      <c r="G161" s="212"/>
      <c r="H161" s="212"/>
      <c r="I161" s="212"/>
      <c r="J161" s="212"/>
      <c r="K161" s="212"/>
      <c r="L161" s="166"/>
      <c r="M161" s="212"/>
      <c r="N161" s="212"/>
      <c r="O161" s="212"/>
      <c r="P161" s="212"/>
      <c r="Q161" s="166"/>
      <c r="R161" s="115"/>
    </row>
    <row r="162" spans="4:18" ht="12.75" customHeight="1">
      <c r="D162" s="211"/>
      <c r="E162" s="212"/>
      <c r="F162" s="212"/>
      <c r="G162" s="212"/>
      <c r="H162" s="212"/>
      <c r="I162" s="212"/>
      <c r="J162" s="212"/>
      <c r="K162" s="212"/>
      <c r="L162" s="166"/>
      <c r="M162" s="212"/>
      <c r="N162" s="212"/>
      <c r="O162" s="212"/>
      <c r="P162" s="212"/>
      <c r="Q162" s="166"/>
      <c r="R162" s="100"/>
    </row>
    <row r="163" spans="4:18" ht="12.75" customHeight="1">
      <c r="D163" s="211"/>
      <c r="E163" s="211"/>
      <c r="F163" s="211"/>
      <c r="G163" s="211"/>
      <c r="H163" s="211"/>
      <c r="I163" s="211"/>
      <c r="J163" s="211"/>
      <c r="K163" s="211"/>
      <c r="Q163" s="165"/>
      <c r="R163" s="100"/>
    </row>
    <row r="164" spans="4:18" ht="12.75" customHeight="1">
      <c r="D164" s="211"/>
      <c r="E164" s="211"/>
      <c r="F164" s="211"/>
      <c r="G164" s="211"/>
      <c r="H164" s="211"/>
      <c r="I164" s="211"/>
      <c r="J164" s="211"/>
      <c r="K164" s="211"/>
      <c r="Q164" s="165"/>
      <c r="R164" s="117"/>
    </row>
    <row r="165" spans="5:18" ht="12.75" customHeight="1">
      <c r="E165" s="211"/>
      <c r="F165" s="211"/>
      <c r="G165" s="211"/>
      <c r="H165" s="211"/>
      <c r="I165" s="211"/>
      <c r="J165" s="211"/>
      <c r="K165" s="211"/>
      <c r="Q165" s="165"/>
      <c r="R165" s="100"/>
    </row>
    <row r="166" spans="5:18" ht="12.75" customHeight="1">
      <c r="E166" s="211"/>
      <c r="F166" s="211"/>
      <c r="G166" s="211"/>
      <c r="H166" s="211"/>
      <c r="I166" s="211"/>
      <c r="J166" s="211"/>
      <c r="K166" s="211"/>
      <c r="Q166" s="165"/>
      <c r="R166" s="100"/>
    </row>
    <row r="167" spans="5:18" ht="12.75" customHeight="1">
      <c r="E167" s="211"/>
      <c r="F167" s="211"/>
      <c r="G167" s="211"/>
      <c r="H167" s="211"/>
      <c r="I167" s="211"/>
      <c r="J167" s="211"/>
      <c r="K167" s="211"/>
      <c r="Q167" s="165"/>
      <c r="R167" s="100"/>
    </row>
    <row r="168" spans="5:18" ht="12.75" customHeight="1">
      <c r="E168" s="211"/>
      <c r="F168" s="211"/>
      <c r="G168" s="211"/>
      <c r="H168" s="211"/>
      <c r="I168" s="211"/>
      <c r="J168" s="211"/>
      <c r="K168" s="211"/>
      <c r="Q168" s="165"/>
      <c r="R168" s="117"/>
    </row>
    <row r="169" spans="5:18" ht="12.75" customHeight="1">
      <c r="E169" s="211"/>
      <c r="F169" s="211"/>
      <c r="G169" s="211"/>
      <c r="H169" s="211"/>
      <c r="I169" s="211"/>
      <c r="J169" s="211"/>
      <c r="K169" s="211"/>
      <c r="Q169" s="165"/>
      <c r="R169" s="100"/>
    </row>
    <row r="170" spans="5:18" ht="12.75" customHeight="1">
      <c r="E170" s="211"/>
      <c r="F170" s="211"/>
      <c r="G170" s="211"/>
      <c r="H170" s="211"/>
      <c r="I170" s="211"/>
      <c r="J170" s="211"/>
      <c r="K170" s="211"/>
      <c r="Q170" s="165"/>
      <c r="R170" s="115"/>
    </row>
    <row r="171" spans="5:18" ht="12.75" customHeight="1">
      <c r="E171" s="211"/>
      <c r="F171" s="211"/>
      <c r="G171" s="211"/>
      <c r="H171" s="211"/>
      <c r="I171" s="211"/>
      <c r="J171" s="211"/>
      <c r="K171" s="211"/>
      <c r="Q171" s="165"/>
      <c r="R171" s="115"/>
    </row>
    <row r="172" spans="5:17" ht="12.75" customHeight="1">
      <c r="E172" s="211"/>
      <c r="F172" s="211"/>
      <c r="G172" s="211"/>
      <c r="H172" s="211"/>
      <c r="I172" s="211"/>
      <c r="J172" s="211"/>
      <c r="K172" s="211"/>
      <c r="Q172" s="165"/>
    </row>
    <row r="173" spans="5:17" ht="12.75" customHeight="1">
      <c r="E173" s="211"/>
      <c r="F173" s="211"/>
      <c r="G173" s="211"/>
      <c r="H173" s="211"/>
      <c r="I173" s="211"/>
      <c r="J173" s="211"/>
      <c r="K173" s="211"/>
      <c r="Q173" s="165"/>
    </row>
    <row r="174" spans="5:17" ht="12.75" customHeight="1">
      <c r="E174" s="211"/>
      <c r="F174" s="211"/>
      <c r="G174" s="211"/>
      <c r="H174" s="211"/>
      <c r="I174" s="211"/>
      <c r="J174" s="211"/>
      <c r="K174" s="211"/>
      <c r="Q174" s="165"/>
    </row>
    <row r="175" spans="5:17" ht="12.75" customHeight="1">
      <c r="E175" s="211"/>
      <c r="F175" s="211"/>
      <c r="G175" s="211"/>
      <c r="H175" s="211"/>
      <c r="I175" s="211"/>
      <c r="J175" s="211"/>
      <c r="K175" s="211"/>
      <c r="Q175" s="165"/>
    </row>
    <row r="176" spans="5:17" ht="12.75" customHeight="1">
      <c r="E176" s="211"/>
      <c r="F176" s="211"/>
      <c r="G176" s="211"/>
      <c r="H176" s="211"/>
      <c r="I176" s="211"/>
      <c r="J176" s="211"/>
      <c r="K176" s="211"/>
      <c r="Q176" s="165"/>
    </row>
  </sheetData>
  <sheetProtection/>
  <mergeCells count="51">
    <mergeCell ref="B45:B46"/>
    <mergeCell ref="K6:K7"/>
    <mergeCell ref="D43:D44"/>
    <mergeCell ref="B43:B44"/>
    <mergeCell ref="D45:D46"/>
    <mergeCell ref="A38:D38"/>
    <mergeCell ref="A5:B5"/>
    <mergeCell ref="P6:P7"/>
    <mergeCell ref="I6:I7"/>
    <mergeCell ref="O6:O7"/>
    <mergeCell ref="N6:N7"/>
    <mergeCell ref="A36:D36"/>
    <mergeCell ref="N1:R1"/>
    <mergeCell ref="A17:D17"/>
    <mergeCell ref="A19:D19"/>
    <mergeCell ref="A6:B6"/>
    <mergeCell ref="I5:K5"/>
    <mergeCell ref="N5:P5"/>
    <mergeCell ref="A7:B7"/>
    <mergeCell ref="A16:D16"/>
    <mergeCell ref="C5:C7"/>
    <mergeCell ref="A18:D18"/>
    <mergeCell ref="A141:D141"/>
    <mergeCell ref="A151:D151"/>
    <mergeCell ref="B138:B139"/>
    <mergeCell ref="D146:D147"/>
    <mergeCell ref="D71:D72"/>
    <mergeCell ref="D127:D128"/>
    <mergeCell ref="A150:D150"/>
    <mergeCell ref="A143:D143"/>
    <mergeCell ref="D138:D139"/>
    <mergeCell ref="D69:D70"/>
    <mergeCell ref="B69:B70"/>
    <mergeCell ref="J6:J7"/>
    <mergeCell ref="B48:B50"/>
    <mergeCell ref="B71:B72"/>
    <mergeCell ref="B127:B128"/>
    <mergeCell ref="B65:B67"/>
    <mergeCell ref="B51:B53"/>
    <mergeCell ref="A35:D35"/>
    <mergeCell ref="A37:D37"/>
    <mergeCell ref="A152:D152"/>
    <mergeCell ref="A148:D148"/>
    <mergeCell ref="A149:D149"/>
    <mergeCell ref="B74:B75"/>
    <mergeCell ref="A144:R144"/>
    <mergeCell ref="B55:B57"/>
    <mergeCell ref="A140:D140"/>
    <mergeCell ref="A146:A147"/>
    <mergeCell ref="D74:D75"/>
    <mergeCell ref="A142:D14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6" r:id="rId2"/>
  <rowBreaks count="3" manualBreakCount="3">
    <brk id="41" max="15" man="1"/>
    <brk id="79" max="17" man="1"/>
    <brk id="114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Molnár Éva</cp:lastModifiedBy>
  <cp:lastPrinted>2016-08-22T12:32:32Z</cp:lastPrinted>
  <dcterms:created xsi:type="dcterms:W3CDTF">2006-02-08T00:02:41Z</dcterms:created>
  <dcterms:modified xsi:type="dcterms:W3CDTF">2016-10-04T12:07:27Z</dcterms:modified>
  <cp:category/>
  <cp:version/>
  <cp:contentType/>
  <cp:contentStatus/>
</cp:coreProperties>
</file>